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4.xml" ContentType="application/vnd.openxmlformats-officedocument.spreadsheetml.pivotTable+xml"/>
  <Override PartName="/xl/worksheets/sheet7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pivotTables/pivotTable1.xml" ContentType="application/vnd.openxmlformats-officedocument.spreadsheetml.pivot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5565" yWindow="915" windowWidth="10815" windowHeight="9060" tabRatio="838" firstSheet="2" activeTab="2"/>
  </bookViews>
  <sheets>
    <sheet name="Catálogo PEC" sheetId="20" state="hidden" r:id="rId1"/>
    <sheet name="Índice" sheetId="106" state="hidden" r:id="rId2"/>
    <sheet name="Indigenas" sheetId="107" r:id="rId3"/>
    <sheet name="Anexo 9 (SHCP)" sheetId="105" state="hidden" r:id="rId4"/>
    <sheet name="Anexo 10 (Validación)" sheetId="13" state="hidden" r:id="rId5"/>
    <sheet name="Anexo 16" sheetId="21" state="hidden" r:id="rId6"/>
    <sheet name="Anexo 16 (2)" sheetId="86" state="hidden" r:id="rId7"/>
    <sheet name="Anexo 25 (Eliminar)" sheetId="40" state="hidden" r:id="rId8"/>
    <sheet name="TD" sheetId="53" state="hidden" r:id="rId9"/>
    <sheet name="PEC-INDÍGENAS" sheetId="104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\a">#N/A</definedName>
    <definedName name="\b">#N/A</definedName>
    <definedName name="\c" localSheetId="5">#REF!</definedName>
    <definedName name="\c" localSheetId="6">#REF!</definedName>
    <definedName name="\c" localSheetId="7">#REF!</definedName>
    <definedName name="\c" localSheetId="3">#REF!</definedName>
    <definedName name="\c" localSheetId="1">#REF!</definedName>
    <definedName name="\c" localSheetId="2">#REF!</definedName>
    <definedName name="\c" localSheetId="9">#REF!</definedName>
    <definedName name="\c" localSheetId="8">#REF!</definedName>
    <definedName name="\c">#REF!</definedName>
    <definedName name="\p">#N/A</definedName>
    <definedName name="\s">#N/A</definedName>
    <definedName name="\z" localSheetId="5">#REF!</definedName>
    <definedName name="\z" localSheetId="6">#REF!</definedName>
    <definedName name="\z" localSheetId="7">#REF!</definedName>
    <definedName name="\z" localSheetId="3">#REF!</definedName>
    <definedName name="\z" localSheetId="1">#REF!</definedName>
    <definedName name="\z" localSheetId="2">#REF!</definedName>
    <definedName name="\z" localSheetId="9">#REF!</definedName>
    <definedName name="\z" localSheetId="8">#REF!</definedName>
    <definedName name="\z">#REF!</definedName>
    <definedName name="_________ABR1" localSheetId="5">[1]!ABR&amp;[1]!MAY&amp;[1]!JUN&amp;[1]!JUL&amp;[1]!AGO&amp;[1]!SEP</definedName>
    <definedName name="_________ABR1" localSheetId="6">[1]!ABR&amp;[1]!MAY&amp;[1]!JUN&amp;[1]!JUL&amp;[1]!AGO&amp;[1]!SEP</definedName>
    <definedName name="_________ABR1" localSheetId="2">[1]!ABR&amp;[1]!MAY&amp;[1]!JUN&amp;[1]!JUL&amp;[1]!AGO&amp;[1]!SEP</definedName>
    <definedName name="_________ABR1">[1]!ABR&amp;[1]!MAY&amp;[1]!JUN&amp;[1]!JUL&amp;[1]!AGO&amp;[1]!SEP</definedName>
    <definedName name="_________AGO1" localSheetId="5">[1]!AGO&amp;[1]!SEP&amp;[1]!OCT&amp;[1]!NOV&amp;[1]!DIC</definedName>
    <definedName name="_________AGO1" localSheetId="6">[1]!AGO&amp;[1]!SEP&amp;[1]!OCT&amp;[1]!NOV&amp;[1]!DIC</definedName>
    <definedName name="_________AGO1" localSheetId="2">[1]!AGO&amp;[1]!SEP&amp;[1]!OCT&amp;[1]!NOV&amp;[1]!DIC</definedName>
    <definedName name="_________AGO1">[1]!AGO&amp;[1]!SEP&amp;[1]!OCT&amp;[1]!NOV&amp;[1]!DIC</definedName>
    <definedName name="_________FEB1" localSheetId="5">[1]!FEB&amp;[1]!MAR&amp;[1]!ABR&amp;[1]!MAY&amp;[1]!JUN&amp;[1]!JUL</definedName>
    <definedName name="_________FEB1" localSheetId="6">[1]!FEB&amp;[1]!MAR&amp;[1]!ABR&amp;[1]!MAY&amp;[1]!JUN&amp;[1]!JUL</definedName>
    <definedName name="_________FEB1" localSheetId="2">[1]!FEB&amp;[1]!MAR&amp;[1]!ABR&amp;[1]!MAY&amp;[1]!JUN&amp;[1]!JUL</definedName>
    <definedName name="_________FEB1">[1]!FEB&amp;[1]!MAR&amp;[1]!ABR&amp;[1]!MAY&amp;[1]!JUN&amp;[1]!JUL</definedName>
    <definedName name="_________JUL1" localSheetId="5">[1]!JUL&amp;[1]!AGO&amp;[1]!SEP&amp;[1]!OCT&amp;[1]!NOV</definedName>
    <definedName name="_________JUL1" localSheetId="6">[1]!JUL&amp;[1]!AGO&amp;[1]!SEP&amp;[1]!OCT&amp;[1]!NOV</definedName>
    <definedName name="_________JUL1" localSheetId="2">[1]!JUL&amp;[1]!AGO&amp;[1]!SEP&amp;[1]!OCT&amp;[1]!NOV</definedName>
    <definedName name="_________JUL1">[1]!JUL&amp;[1]!AGO&amp;[1]!SEP&amp;[1]!OCT&amp;[1]!NOV</definedName>
    <definedName name="_________JUN1" localSheetId="5">[1]!JUN&amp;[1]!JUL&amp;[1]!AGO&amp;[1]!SEP&amp;[1]!OCT</definedName>
    <definedName name="_________JUN1" localSheetId="6">[1]!JUN&amp;[1]!JUL&amp;[1]!AGO&amp;[1]!SEP&amp;[1]!OCT</definedName>
    <definedName name="_________JUN1" localSheetId="2">[1]!JUN&amp;[1]!JUL&amp;[1]!AGO&amp;[1]!SEP&amp;[1]!OCT</definedName>
    <definedName name="_________JUN1">[1]!JUN&amp;[1]!JUL&amp;[1]!AGO&amp;[1]!SEP&amp;[1]!OCT</definedName>
    <definedName name="_________MAR1" localSheetId="5">[1]!MAR&amp;[1]!ABR&amp;[1]!MAY&amp;[1]!JUN&amp;[1]!JUL&amp;[1]!AGO</definedName>
    <definedName name="_________MAR1" localSheetId="6">[1]!MAR&amp;[1]!ABR&amp;[1]!MAY&amp;[1]!JUN&amp;[1]!JUL&amp;[1]!AGO</definedName>
    <definedName name="_________MAR1" localSheetId="2">[1]!MAR&amp;[1]!ABR&amp;[1]!MAY&amp;[1]!JUN&amp;[1]!JUL&amp;[1]!AGO</definedName>
    <definedName name="_________MAR1">[1]!MAR&amp;[1]!ABR&amp;[1]!MAY&amp;[1]!JUN&amp;[1]!JUL&amp;[1]!AGO</definedName>
    <definedName name="_________MAY1" localSheetId="5">[1]!MAY&amp;[1]!JUN&amp;[1]!JUL&amp;[1]!AGO&amp;[1]!SEP</definedName>
    <definedName name="_________MAY1" localSheetId="6">[1]!MAY&amp;[1]!JUN&amp;[1]!JUL&amp;[1]!AGO&amp;[1]!SEP</definedName>
    <definedName name="_________MAY1" localSheetId="2">[1]!MAY&amp;[1]!JUN&amp;[1]!JUL&amp;[1]!AGO&amp;[1]!SEP</definedName>
    <definedName name="_________MAY1">[1]!MAY&amp;[1]!JUN&amp;[1]!JUL&amp;[1]!AGO&amp;[1]!SEP</definedName>
    <definedName name="_________NOV1" localSheetId="5">[1]!NOV&amp;[1]!DIC</definedName>
    <definedName name="_________NOV1" localSheetId="6">[1]!NOV&amp;[1]!DIC</definedName>
    <definedName name="_________NOV1" localSheetId="2">[1]!NOV&amp;[1]!DIC</definedName>
    <definedName name="_________NOV1">[1]!NOV&amp;[1]!DIC</definedName>
    <definedName name="_________OCT1" localSheetId="5">[1]!OCT&amp;[1]!NOV&amp;[1]!DIC</definedName>
    <definedName name="_________OCT1" localSheetId="6">[1]!OCT&amp;[1]!NOV&amp;[1]!DIC</definedName>
    <definedName name="_________OCT1" localSheetId="2">[1]!OCT&amp;[1]!NOV&amp;[1]!DIC</definedName>
    <definedName name="_________OCT1">[1]!OCT&amp;[1]!NOV&amp;[1]!DIC</definedName>
    <definedName name="_________SEP1" localSheetId="5">[1]!SEP&amp;[1]!OCT&amp;[1]!NOV&amp;[1]!DIC</definedName>
    <definedName name="_________SEP1" localSheetId="6">[1]!SEP&amp;[1]!OCT&amp;[1]!NOV&amp;[1]!DIC</definedName>
    <definedName name="_________SEP1" localSheetId="2">[1]!SEP&amp;[1]!OCT&amp;[1]!NOV&amp;[1]!DIC</definedName>
    <definedName name="_________SEP1">[1]!SEP&amp;[1]!OCT&amp;[1]!NOV&amp;[1]!DIC</definedName>
    <definedName name="________cad179" localSheetId="5">'[2]Mod Eco Controlados 99'!#REF!</definedName>
    <definedName name="________cad179" localSheetId="6">'[2]Mod Eco Controlados 99'!#REF!</definedName>
    <definedName name="________cad179" localSheetId="7">'[2]Mod Eco Controlados 99'!#REF!</definedName>
    <definedName name="________cad179" localSheetId="3">'[2]Mod Eco Controlados 99'!#REF!</definedName>
    <definedName name="________cad179" localSheetId="2">'[2]Mod Eco Controlados 99'!#REF!</definedName>
    <definedName name="________cad179" localSheetId="9">'[2]Mod Eco Controlados 99'!#REF!</definedName>
    <definedName name="________cad179" localSheetId="8">'[2]Mod Eco Controlados 99'!#REF!</definedName>
    <definedName name="________cad179">'[2]Mod Eco Controlados 99'!#REF!</definedName>
    <definedName name="________def1">'[3]Premisas IMSS'!$M$12</definedName>
    <definedName name="________def2">'[3]Premisas IMSS'!$M$13</definedName>
    <definedName name="________def3">'[3]Premisas IMSS'!$M$14</definedName>
    <definedName name="________def4">'[3]Premisas IMSS'!$M$15</definedName>
    <definedName name="________def5">'[3]Premisas IMSS'!$M$16</definedName>
    <definedName name="________def6">'[3]Premisas IMSS'!$M$17</definedName>
    <definedName name="________FEB1" localSheetId="5">[1]!FEB&amp;[1]!MAR&amp;[1]!ABR&amp;[1]!MAY&amp;[1]!JUN&amp;[1]!JUL</definedName>
    <definedName name="________FEB1" localSheetId="6">[1]!FEB&amp;[1]!MAR&amp;[1]!ABR&amp;[1]!MAY&amp;[1]!JUN&amp;[1]!JUL</definedName>
    <definedName name="________FEB1" localSheetId="2">[1]!FEB&amp;[1]!MAR&amp;[1]!ABR&amp;[1]!MAY&amp;[1]!JUN&amp;[1]!JUL</definedName>
    <definedName name="________FEB1">[1]!FEB&amp;[1]!MAR&amp;[1]!ABR&amp;[1]!MAY&amp;[1]!JUN&amp;[1]!JUL</definedName>
    <definedName name="________JUL1" localSheetId="5">[1]!JUL&amp;[1]!AGO&amp;[1]!SEP&amp;[1]!OCT&amp;[1]!NOV</definedName>
    <definedName name="________JUL1" localSheetId="6">[1]!JUL&amp;[1]!AGO&amp;[1]!SEP&amp;[1]!OCT&amp;[1]!NOV</definedName>
    <definedName name="________JUL1" localSheetId="2">[1]!JUL&amp;[1]!AGO&amp;[1]!SEP&amp;[1]!OCT&amp;[1]!NOV</definedName>
    <definedName name="________JUL1">[1]!JUL&amp;[1]!AGO&amp;[1]!SEP&amp;[1]!OCT&amp;[1]!NOV</definedName>
    <definedName name="________JUN1" localSheetId="5">[1]!JUN&amp;[1]!JUL&amp;[1]!AGO&amp;[1]!SEP&amp;[1]!OCT</definedName>
    <definedName name="________JUN1" localSheetId="6">[1]!JUN&amp;[1]!JUL&amp;[1]!AGO&amp;[1]!SEP&amp;[1]!OCT</definedName>
    <definedName name="________JUN1" localSheetId="2">[1]!JUN&amp;[1]!JUL&amp;[1]!AGO&amp;[1]!SEP&amp;[1]!OCT</definedName>
    <definedName name="________JUN1">[1]!JUN&amp;[1]!JUL&amp;[1]!AGO&amp;[1]!SEP&amp;[1]!OCT</definedName>
    <definedName name="________OCT1" localSheetId="5">[1]!OCT&amp;[1]!NOV&amp;[1]!DIC</definedName>
    <definedName name="________OCT1" localSheetId="6">[1]!OCT&amp;[1]!NOV&amp;[1]!DIC</definedName>
    <definedName name="________OCT1" localSheetId="2">[1]!OCT&amp;[1]!NOV&amp;[1]!DIC</definedName>
    <definedName name="________OCT1">[1]!OCT&amp;[1]!NOV&amp;[1]!DIC</definedName>
    <definedName name="________SEP1" localSheetId="5">[1]!SEP&amp;[1]!OCT&amp;[1]!NOV&amp;[1]!DIC</definedName>
    <definedName name="________SEP1" localSheetId="6">[1]!SEP&amp;[1]!OCT&amp;[1]!NOV&amp;[1]!DIC</definedName>
    <definedName name="________SEP1" localSheetId="2">[1]!SEP&amp;[1]!OCT&amp;[1]!NOV&amp;[1]!DIC</definedName>
    <definedName name="________SEP1">[1]!SEP&amp;[1]!OCT&amp;[1]!NOV&amp;[1]!DIC</definedName>
    <definedName name="________smg97">'[3]Premisa macro'!$E$4</definedName>
    <definedName name="_______ABR1" localSheetId="5">[1]!ABR&amp;[1]!MAY&amp;[1]!JUN&amp;[1]!JUL&amp;[1]!AGO&amp;[1]!SEP</definedName>
    <definedName name="_______ABR1" localSheetId="6">[1]!ABR&amp;[1]!MAY&amp;[1]!JUN&amp;[1]!JUL&amp;[1]!AGO&amp;[1]!SEP</definedName>
    <definedName name="_______ABR1" localSheetId="2">[1]!ABR&amp;[1]!MAY&amp;[1]!JUN&amp;[1]!JUL&amp;[1]!AGO&amp;[1]!SEP</definedName>
    <definedName name="_______ABR1">[1]!ABR&amp;[1]!MAY&amp;[1]!JUN&amp;[1]!JUL&amp;[1]!AGO&amp;[1]!SEP</definedName>
    <definedName name="_______ABR2">[4]edofza4!$C$22</definedName>
    <definedName name="_______AGO1" localSheetId="5">[1]!AGO&amp;[1]!SEP&amp;[1]!OCT&amp;[1]!NOV&amp;[1]!DIC</definedName>
    <definedName name="_______AGO1" localSheetId="6">[1]!AGO&amp;[1]!SEP&amp;[1]!OCT&amp;[1]!NOV&amp;[1]!DIC</definedName>
    <definedName name="_______AGO1" localSheetId="2">[1]!AGO&amp;[1]!SEP&amp;[1]!OCT&amp;[1]!NOV&amp;[1]!DIC</definedName>
    <definedName name="_______AGO1">[1]!AGO&amp;[1]!SEP&amp;[1]!OCT&amp;[1]!NOV&amp;[1]!DIC</definedName>
    <definedName name="_______AGO2">[4]edofza8!$C$22</definedName>
    <definedName name="_______CFD02" localSheetId="5">#REF!</definedName>
    <definedName name="_______CFD02" localSheetId="6">#REF!</definedName>
    <definedName name="_______CFD02" localSheetId="7">#REF!</definedName>
    <definedName name="_______CFD02" localSheetId="3">#REF!</definedName>
    <definedName name="_______CFD02" localSheetId="1">#REF!</definedName>
    <definedName name="_______CFD02" localSheetId="2">#REF!</definedName>
    <definedName name="_______CFD02" localSheetId="9">#REF!</definedName>
    <definedName name="_______CFD02" localSheetId="8">#REF!</definedName>
    <definedName name="_______CFD02">#REF!</definedName>
    <definedName name="_______def1">'[5]Premisas IMSS'!$M$12</definedName>
    <definedName name="_______def2">'[5]Premisas IMSS'!$M$13</definedName>
    <definedName name="_______def3">'[5]Premisas IMSS'!$M$14</definedName>
    <definedName name="_______def4">'[5]Premisas IMSS'!$M$15</definedName>
    <definedName name="_______def5">'[5]Premisas IMSS'!$M$16</definedName>
    <definedName name="_______def6">'[5]Premisas IMSS'!$M$17</definedName>
    <definedName name="_______DIC2">[4]edofza12!$C$22</definedName>
    <definedName name="_______ENE2">[4]edofza1!$C$22</definedName>
    <definedName name="_______FEB1" localSheetId="5">[1]!FEB&amp;[1]!MAR&amp;[1]!ABR&amp;[1]!MAY&amp;[1]!JUN&amp;[1]!JUL</definedName>
    <definedName name="_______FEB1" localSheetId="6">[1]!FEB&amp;[1]!MAR&amp;[1]!ABR&amp;[1]!MAY&amp;[1]!JUN&amp;[1]!JUL</definedName>
    <definedName name="_______FEB1" localSheetId="2">[1]!FEB&amp;[1]!MAR&amp;[1]!ABR&amp;[1]!MAY&amp;[1]!JUN&amp;[1]!JUL</definedName>
    <definedName name="_______FEB1">[1]!FEB&amp;[1]!MAR&amp;[1]!ABR&amp;[1]!MAY&amp;[1]!JUN&amp;[1]!JUL</definedName>
    <definedName name="_______FEB2">[4]edofza2!$C$22</definedName>
    <definedName name="_______JUL1" localSheetId="5">[1]!JUL&amp;[1]!AGO&amp;[1]!SEP&amp;[1]!OCT&amp;[1]!NOV</definedName>
    <definedName name="_______JUL1" localSheetId="6">[1]!JUL&amp;[1]!AGO&amp;[1]!SEP&amp;[1]!OCT&amp;[1]!NOV</definedName>
    <definedName name="_______JUL1" localSheetId="2">[1]!JUL&amp;[1]!AGO&amp;[1]!SEP&amp;[1]!OCT&amp;[1]!NOV</definedName>
    <definedName name="_______JUL1">[1]!JUL&amp;[1]!AGO&amp;[1]!SEP&amp;[1]!OCT&amp;[1]!NOV</definedName>
    <definedName name="_______JUL2">[4]edofza7!$C$22</definedName>
    <definedName name="_______JUN1" localSheetId="5">[1]!JUN&amp;[1]!JUL&amp;[1]!AGO&amp;[1]!SEP&amp;[1]!OCT</definedName>
    <definedName name="_______JUN1" localSheetId="6">[1]!JUN&amp;[1]!JUL&amp;[1]!AGO&amp;[1]!SEP&amp;[1]!OCT</definedName>
    <definedName name="_______JUN1" localSheetId="2">[1]!JUN&amp;[1]!JUL&amp;[1]!AGO&amp;[1]!SEP&amp;[1]!OCT</definedName>
    <definedName name="_______JUN1">[1]!JUN&amp;[1]!JUL&amp;[1]!AGO&amp;[1]!SEP&amp;[1]!OCT</definedName>
    <definedName name="_______JUN2">[4]edofza6!$C$22</definedName>
    <definedName name="_______MAR1" localSheetId="5">[1]!MAR&amp;[1]!ABR&amp;[1]!MAY&amp;[1]!JUN&amp;[1]!JUL&amp;[1]!AGO</definedName>
    <definedName name="_______MAR1" localSheetId="6">[1]!MAR&amp;[1]!ABR&amp;[1]!MAY&amp;[1]!JUN&amp;[1]!JUL&amp;[1]!AGO</definedName>
    <definedName name="_______MAR1" localSheetId="2">[1]!MAR&amp;[1]!ABR&amp;[1]!MAY&amp;[1]!JUN&amp;[1]!JUL&amp;[1]!AGO</definedName>
    <definedName name="_______MAR1">[1]!MAR&amp;[1]!ABR&amp;[1]!MAY&amp;[1]!JUN&amp;[1]!JUL&amp;[1]!AGO</definedName>
    <definedName name="_______MAR2">[4]edofza3!$C$22</definedName>
    <definedName name="_______MAY1" localSheetId="5">[1]!MAY&amp;[1]!JUN&amp;[1]!JUL&amp;[1]!AGO&amp;[1]!SEP</definedName>
    <definedName name="_______MAY1" localSheetId="6">[1]!MAY&amp;[1]!JUN&amp;[1]!JUL&amp;[1]!AGO&amp;[1]!SEP</definedName>
    <definedName name="_______MAY1" localSheetId="2">[1]!MAY&amp;[1]!JUN&amp;[1]!JUL&amp;[1]!AGO&amp;[1]!SEP</definedName>
    <definedName name="_______MAY1">[1]!MAY&amp;[1]!JUN&amp;[1]!JUL&amp;[1]!AGO&amp;[1]!SEP</definedName>
    <definedName name="_______MAY2">[4]edofza5!$C$22</definedName>
    <definedName name="_______NOV1" localSheetId="5">[1]!NOV&amp;[1]!DIC</definedName>
    <definedName name="_______NOV1" localSheetId="6">[1]!NOV&amp;[1]!DIC</definedName>
    <definedName name="_______NOV1" localSheetId="2">[1]!NOV&amp;[1]!DIC</definedName>
    <definedName name="_______NOV1">[1]!NOV&amp;[1]!DIC</definedName>
    <definedName name="_______NOV2">[4]edofza11!$C$43</definedName>
    <definedName name="_______OCT1" localSheetId="5">[1]!OCT&amp;[1]!NOV&amp;[1]!DIC</definedName>
    <definedName name="_______OCT1" localSheetId="6">[1]!OCT&amp;[1]!NOV&amp;[1]!DIC</definedName>
    <definedName name="_______OCT1" localSheetId="2">[1]!OCT&amp;[1]!NOV&amp;[1]!DIC</definedName>
    <definedName name="_______OCT1">[1]!OCT&amp;[1]!NOV&amp;[1]!DIC</definedName>
    <definedName name="_______OCT2">[4]edofza10!$C$22</definedName>
    <definedName name="_______PIB08" localSheetId="5">#REF!</definedName>
    <definedName name="_______PIB08" localSheetId="6">#REF!</definedName>
    <definedName name="_______PIB08" localSheetId="7">#REF!</definedName>
    <definedName name="_______PIB08" localSheetId="3">#REF!</definedName>
    <definedName name="_______PIB08" localSheetId="1">#REF!</definedName>
    <definedName name="_______PIB08" localSheetId="2">#REF!</definedName>
    <definedName name="_______PIB08" localSheetId="9">#REF!</definedName>
    <definedName name="_______PIB08" localSheetId="8">#REF!</definedName>
    <definedName name="_______PIB08">#REF!</definedName>
    <definedName name="_______SEP1" localSheetId="5">[1]!SEP&amp;[1]!OCT&amp;[1]!NOV&amp;[1]!DIC</definedName>
    <definedName name="_______SEP1" localSheetId="6">[1]!SEP&amp;[1]!OCT&amp;[1]!NOV&amp;[1]!DIC</definedName>
    <definedName name="_______SEP1" localSheetId="2">[1]!SEP&amp;[1]!OCT&amp;[1]!NOV&amp;[1]!DIC</definedName>
    <definedName name="_______SEP1">[1]!SEP&amp;[1]!OCT&amp;[1]!NOV&amp;[1]!DIC</definedName>
    <definedName name="_______SEP2">[4]edofza9!$C$22</definedName>
    <definedName name="_______smg97">'[5]Premisa macro'!$E$4</definedName>
    <definedName name="_______syt03" localSheetId="5">#REF!</definedName>
    <definedName name="_______syt03" localSheetId="6">#REF!</definedName>
    <definedName name="_______syt03" localSheetId="7">#REF!</definedName>
    <definedName name="_______syt03" localSheetId="3">#REF!</definedName>
    <definedName name="_______syt03" localSheetId="1">#REF!</definedName>
    <definedName name="_______syt03" localSheetId="2">#REF!</definedName>
    <definedName name="_______syt03" localSheetId="9">#REF!</definedName>
    <definedName name="_______syt03" localSheetId="8">#REF!</definedName>
    <definedName name="_______syt03">#REF!</definedName>
    <definedName name="_______TDC2001">'[6]Tipos de Cambio'!$C$4</definedName>
    <definedName name="______ABR1" localSheetId="5">[1]!ABR&amp;[1]!MAY&amp;[1]!JUN&amp;[1]!JUL&amp;[1]!AGO&amp;[1]!SEP</definedName>
    <definedName name="______ABR1" localSheetId="6">[1]!ABR&amp;[1]!MAY&amp;[1]!JUN&amp;[1]!JUL&amp;[1]!AGO&amp;[1]!SEP</definedName>
    <definedName name="______ABR1" localSheetId="2">[1]!ABR&amp;[1]!MAY&amp;[1]!JUN&amp;[1]!JUL&amp;[1]!AGO&amp;[1]!SEP</definedName>
    <definedName name="______ABR1">[1]!ABR&amp;[1]!MAY&amp;[1]!JUN&amp;[1]!JUL&amp;[1]!AGO&amp;[1]!SEP</definedName>
    <definedName name="______ABR2">[4]edofza4!$C$22</definedName>
    <definedName name="______AGO1" localSheetId="5">[1]!AGO&amp;[1]!SEP&amp;[1]!OCT&amp;[1]!NOV&amp;[1]!DIC</definedName>
    <definedName name="______AGO1" localSheetId="6">[1]!AGO&amp;[1]!SEP&amp;[1]!OCT&amp;[1]!NOV&amp;[1]!DIC</definedName>
    <definedName name="______AGO1" localSheetId="2">[1]!AGO&amp;[1]!SEP&amp;[1]!OCT&amp;[1]!NOV&amp;[1]!DIC</definedName>
    <definedName name="______AGO1">[1]!AGO&amp;[1]!SEP&amp;[1]!OCT&amp;[1]!NOV&amp;[1]!DIC</definedName>
    <definedName name="______AGO2">[4]edofza8!$C$22</definedName>
    <definedName name="______def1">'[5]Premisas IMSS'!$M$12</definedName>
    <definedName name="______def2">'[5]Premisas IMSS'!$M$13</definedName>
    <definedName name="______def3">'[5]Premisas IMSS'!$M$14</definedName>
    <definedName name="______def4">'[5]Premisas IMSS'!$M$15</definedName>
    <definedName name="______def5">'[5]Premisas IMSS'!$M$16</definedName>
    <definedName name="______def6">'[5]Premisas IMSS'!$M$17</definedName>
    <definedName name="______DIC2">[4]edofza12!$C$22</definedName>
    <definedName name="______ENE2">[4]edofza1!$C$22</definedName>
    <definedName name="______FEB1" localSheetId="5">[1]!FEB&amp;[1]!MAR&amp;[1]!ABR&amp;[1]!MAY&amp;[1]!JUN&amp;[1]!JUL</definedName>
    <definedName name="______FEB1" localSheetId="6">[1]!FEB&amp;[1]!MAR&amp;[1]!ABR&amp;[1]!MAY&amp;[1]!JUN&amp;[1]!JUL</definedName>
    <definedName name="______FEB1" localSheetId="2">[1]!FEB&amp;[1]!MAR&amp;[1]!ABR&amp;[1]!MAY&amp;[1]!JUN&amp;[1]!JUL</definedName>
    <definedName name="______FEB1">[1]!FEB&amp;[1]!MAR&amp;[1]!ABR&amp;[1]!MAY&amp;[1]!JUN&amp;[1]!JUL</definedName>
    <definedName name="______FEB2">[4]edofza2!$C$22</definedName>
    <definedName name="______JUL1" localSheetId="5">[1]!JUL&amp;[1]!AGO&amp;[1]!SEP&amp;[1]!OCT&amp;[1]!NOV</definedName>
    <definedName name="______JUL1" localSheetId="6">[1]!JUL&amp;[1]!AGO&amp;[1]!SEP&amp;[1]!OCT&amp;[1]!NOV</definedName>
    <definedName name="______JUL1" localSheetId="2">[1]!JUL&amp;[1]!AGO&amp;[1]!SEP&amp;[1]!OCT&amp;[1]!NOV</definedName>
    <definedName name="______JUL1">[1]!JUL&amp;[1]!AGO&amp;[1]!SEP&amp;[1]!OCT&amp;[1]!NOV</definedName>
    <definedName name="______JUL2">[4]edofza7!$C$22</definedName>
    <definedName name="______JUN1" localSheetId="5">[1]!JUN&amp;[1]!JUL&amp;[1]!AGO&amp;[1]!SEP&amp;[1]!OCT</definedName>
    <definedName name="______JUN1" localSheetId="6">[1]!JUN&amp;[1]!JUL&amp;[1]!AGO&amp;[1]!SEP&amp;[1]!OCT</definedName>
    <definedName name="______JUN1" localSheetId="2">[1]!JUN&amp;[1]!JUL&amp;[1]!AGO&amp;[1]!SEP&amp;[1]!OCT</definedName>
    <definedName name="______JUN1">[1]!JUN&amp;[1]!JUL&amp;[1]!AGO&amp;[1]!SEP&amp;[1]!OCT</definedName>
    <definedName name="______JUN2">[4]edofza6!$C$22</definedName>
    <definedName name="______MAR1" localSheetId="5">[1]!MAR&amp;[1]!ABR&amp;[1]!MAY&amp;[1]!JUN&amp;[1]!JUL&amp;[1]!AGO</definedName>
    <definedName name="______MAR1" localSheetId="6">[1]!MAR&amp;[1]!ABR&amp;[1]!MAY&amp;[1]!JUN&amp;[1]!JUL&amp;[1]!AGO</definedName>
    <definedName name="______MAR1" localSheetId="2">[1]!MAR&amp;[1]!ABR&amp;[1]!MAY&amp;[1]!JUN&amp;[1]!JUL&amp;[1]!AGO</definedName>
    <definedName name="______MAR1">[1]!MAR&amp;[1]!ABR&amp;[1]!MAY&amp;[1]!JUN&amp;[1]!JUL&amp;[1]!AGO</definedName>
    <definedName name="______MAR2">[4]edofza3!$C$22</definedName>
    <definedName name="______MAY1" localSheetId="5">[1]!MAY&amp;[1]!JUN&amp;[1]!JUL&amp;[1]!AGO&amp;[1]!SEP</definedName>
    <definedName name="______MAY1" localSheetId="6">[1]!MAY&amp;[1]!JUN&amp;[1]!JUL&amp;[1]!AGO&amp;[1]!SEP</definedName>
    <definedName name="______MAY1" localSheetId="2">[1]!MAY&amp;[1]!JUN&amp;[1]!JUL&amp;[1]!AGO&amp;[1]!SEP</definedName>
    <definedName name="______MAY1">[1]!MAY&amp;[1]!JUN&amp;[1]!JUL&amp;[1]!AGO&amp;[1]!SEP</definedName>
    <definedName name="______MAY2">[4]edofza5!$C$22</definedName>
    <definedName name="______NOV1" localSheetId="5">[1]!NOV&amp;[1]!DIC</definedName>
    <definedName name="______NOV1" localSheetId="6">[1]!NOV&amp;[1]!DIC</definedName>
    <definedName name="______NOV1" localSheetId="2">[1]!NOV&amp;[1]!DIC</definedName>
    <definedName name="______NOV1">[1]!NOV&amp;[1]!DIC</definedName>
    <definedName name="______NOV2">[4]edofza11!$C$43</definedName>
    <definedName name="______OCT1" localSheetId="5">[1]!OCT&amp;[1]!NOV&amp;[1]!DIC</definedName>
    <definedName name="______OCT1" localSheetId="6">[1]!OCT&amp;[1]!NOV&amp;[1]!DIC</definedName>
    <definedName name="______OCT1" localSheetId="2">[1]!OCT&amp;[1]!NOV&amp;[1]!DIC</definedName>
    <definedName name="______OCT1">[1]!OCT&amp;[1]!NOV&amp;[1]!DIC</definedName>
    <definedName name="______OCT2">[4]edofza10!$C$22</definedName>
    <definedName name="______SEP1" localSheetId="5">[1]!SEP&amp;[1]!OCT&amp;[1]!NOV&amp;[1]!DIC</definedName>
    <definedName name="______SEP1" localSheetId="6">[1]!SEP&amp;[1]!OCT&amp;[1]!NOV&amp;[1]!DIC</definedName>
    <definedName name="______SEP1" localSheetId="2">[1]!SEP&amp;[1]!OCT&amp;[1]!NOV&amp;[1]!DIC</definedName>
    <definedName name="______SEP1">[1]!SEP&amp;[1]!OCT&amp;[1]!NOV&amp;[1]!DIC</definedName>
    <definedName name="______SEP2">[4]edofza9!$C$22</definedName>
    <definedName name="______smg97">'[5]Premisa macro'!$E$4</definedName>
    <definedName name="______TDC2001">'[6]Tipos de Cambio'!$C$4</definedName>
    <definedName name="_____ABR1" localSheetId="5">[1]!ABR&amp;[1]!MAY&amp;[1]!JUN&amp;[1]!JUL&amp;[1]!AGO&amp;[1]!SEP</definedName>
    <definedName name="_____ABR1" localSheetId="6">[1]!ABR&amp;[1]!MAY&amp;[1]!JUN&amp;[1]!JUL&amp;[1]!AGO&amp;[1]!SEP</definedName>
    <definedName name="_____ABR1" localSheetId="2">[1]!ABR&amp;[1]!MAY&amp;[1]!JUN&amp;[1]!JUL&amp;[1]!AGO&amp;[1]!SEP</definedName>
    <definedName name="_____ABR1">[1]!ABR&amp;[1]!MAY&amp;[1]!JUN&amp;[1]!JUL&amp;[1]!AGO&amp;[1]!SEP</definedName>
    <definedName name="_____ABR2">[4]edofza4!$C$22</definedName>
    <definedName name="_____AGO1" localSheetId="5">[1]!AGO&amp;[1]!SEP&amp;[1]!OCT&amp;[1]!NOV&amp;[1]!DIC</definedName>
    <definedName name="_____AGO1" localSheetId="6">[1]!AGO&amp;[1]!SEP&amp;[1]!OCT&amp;[1]!NOV&amp;[1]!DIC</definedName>
    <definedName name="_____AGO1" localSheetId="2">[1]!AGO&amp;[1]!SEP&amp;[1]!OCT&amp;[1]!NOV&amp;[1]!DIC</definedName>
    <definedName name="_____AGO1">[1]!AGO&amp;[1]!SEP&amp;[1]!OCT&amp;[1]!NOV&amp;[1]!DIC</definedName>
    <definedName name="_____AGO2">[4]edofza8!$C$22</definedName>
    <definedName name="_____def1">'[5]Premisas IMSS'!$M$12</definedName>
    <definedName name="_____def2">'[5]Premisas IMSS'!$M$13</definedName>
    <definedName name="_____def3">'[5]Premisas IMSS'!$M$14</definedName>
    <definedName name="_____def4">'[5]Premisas IMSS'!$M$15</definedName>
    <definedName name="_____def5">'[5]Premisas IMSS'!$M$16</definedName>
    <definedName name="_____def6">'[5]Premisas IMSS'!$M$17</definedName>
    <definedName name="_____DIC2">[4]edofza12!$C$22</definedName>
    <definedName name="_____ENE2">[4]edofza1!$C$22</definedName>
    <definedName name="_____FEB1" localSheetId="5">[1]!FEB&amp;[1]!MAR&amp;[1]!ABR&amp;[1]!MAY&amp;[1]!JUN&amp;[1]!JUL</definedName>
    <definedName name="_____FEB1" localSheetId="6">[1]!FEB&amp;[1]!MAR&amp;[1]!ABR&amp;[1]!MAY&amp;[1]!JUN&amp;[1]!JUL</definedName>
    <definedName name="_____FEB1" localSheetId="2">[1]!FEB&amp;[1]!MAR&amp;[1]!ABR&amp;[1]!MAY&amp;[1]!JUN&amp;[1]!JUL</definedName>
    <definedName name="_____FEB1">[1]!FEB&amp;[1]!MAR&amp;[1]!ABR&amp;[1]!MAY&amp;[1]!JUN&amp;[1]!JUL</definedName>
    <definedName name="_____FEB2">[4]edofza2!$C$22</definedName>
    <definedName name="_____JUL1" localSheetId="5">[1]!JUL&amp;[1]!AGO&amp;[1]!SEP&amp;[1]!OCT&amp;[1]!NOV</definedName>
    <definedName name="_____JUL1" localSheetId="6">[1]!JUL&amp;[1]!AGO&amp;[1]!SEP&amp;[1]!OCT&amp;[1]!NOV</definedName>
    <definedName name="_____JUL1" localSheetId="2">[1]!JUL&amp;[1]!AGO&amp;[1]!SEP&amp;[1]!OCT&amp;[1]!NOV</definedName>
    <definedName name="_____JUL1">[1]!JUL&amp;[1]!AGO&amp;[1]!SEP&amp;[1]!OCT&amp;[1]!NOV</definedName>
    <definedName name="_____JUL2">[4]edofza7!$C$22</definedName>
    <definedName name="_____JUN1" localSheetId="5">[1]!JUN&amp;[1]!JUL&amp;[1]!AGO&amp;[1]!SEP&amp;[1]!OCT</definedName>
    <definedName name="_____JUN1" localSheetId="6">[1]!JUN&amp;[1]!JUL&amp;[1]!AGO&amp;[1]!SEP&amp;[1]!OCT</definedName>
    <definedName name="_____JUN1" localSheetId="2">[1]!JUN&amp;[1]!JUL&amp;[1]!AGO&amp;[1]!SEP&amp;[1]!OCT</definedName>
    <definedName name="_____JUN1">[1]!JUN&amp;[1]!JUL&amp;[1]!AGO&amp;[1]!SEP&amp;[1]!OCT</definedName>
    <definedName name="_____JUN2">[4]edofza6!$C$22</definedName>
    <definedName name="_____MAR1" localSheetId="5">[1]!MAR&amp;[1]!ABR&amp;[1]!MAY&amp;[1]!JUN&amp;[1]!JUL&amp;[1]!AGO</definedName>
    <definedName name="_____MAR1" localSheetId="6">[1]!MAR&amp;[1]!ABR&amp;[1]!MAY&amp;[1]!JUN&amp;[1]!JUL&amp;[1]!AGO</definedName>
    <definedName name="_____MAR1" localSheetId="2">[1]!MAR&amp;[1]!ABR&amp;[1]!MAY&amp;[1]!JUN&amp;[1]!JUL&amp;[1]!AGO</definedName>
    <definedName name="_____MAR1">[1]!MAR&amp;[1]!ABR&amp;[1]!MAY&amp;[1]!JUN&amp;[1]!JUL&amp;[1]!AGO</definedName>
    <definedName name="_____MAR2">[4]edofza3!$C$22</definedName>
    <definedName name="_____MAY1" localSheetId="5">[1]!MAY&amp;[1]!JUN&amp;[1]!JUL&amp;[1]!AGO&amp;[1]!SEP</definedName>
    <definedName name="_____MAY1" localSheetId="6">[1]!MAY&amp;[1]!JUN&amp;[1]!JUL&amp;[1]!AGO&amp;[1]!SEP</definedName>
    <definedName name="_____MAY1" localSheetId="2">[1]!MAY&amp;[1]!JUN&amp;[1]!JUL&amp;[1]!AGO&amp;[1]!SEP</definedName>
    <definedName name="_____MAY1">[1]!MAY&amp;[1]!JUN&amp;[1]!JUL&amp;[1]!AGO&amp;[1]!SEP</definedName>
    <definedName name="_____MAY2">[4]edofza5!$C$22</definedName>
    <definedName name="_____NOV1" localSheetId="5">[1]!NOV&amp;[1]!DIC</definedName>
    <definedName name="_____NOV1" localSheetId="6">[1]!NOV&amp;[1]!DIC</definedName>
    <definedName name="_____NOV1" localSheetId="2">[1]!NOV&amp;[1]!DIC</definedName>
    <definedName name="_____NOV1">[1]!NOV&amp;[1]!DIC</definedName>
    <definedName name="_____NOV2">[4]edofza11!$C$43</definedName>
    <definedName name="_____OCT1" localSheetId="5">[1]!OCT&amp;[1]!NOV&amp;[1]!DIC</definedName>
    <definedName name="_____OCT1" localSheetId="6">[1]!OCT&amp;[1]!NOV&amp;[1]!DIC</definedName>
    <definedName name="_____OCT1" localSheetId="2">[1]!OCT&amp;[1]!NOV&amp;[1]!DIC</definedName>
    <definedName name="_____OCT1">[1]!OCT&amp;[1]!NOV&amp;[1]!DIC</definedName>
    <definedName name="_____OCT2">[4]edofza10!$C$22</definedName>
    <definedName name="_____SEP1" localSheetId="5">[1]!SEP&amp;[1]!OCT&amp;[1]!NOV&amp;[1]!DIC</definedName>
    <definedName name="_____SEP1" localSheetId="6">[1]!SEP&amp;[1]!OCT&amp;[1]!NOV&amp;[1]!DIC</definedName>
    <definedName name="_____SEP1" localSheetId="2">[1]!SEP&amp;[1]!OCT&amp;[1]!NOV&amp;[1]!DIC</definedName>
    <definedName name="_____SEP1">[1]!SEP&amp;[1]!OCT&amp;[1]!NOV&amp;[1]!DIC</definedName>
    <definedName name="_____SEP2">[4]edofza9!$C$22</definedName>
    <definedName name="_____smg97">'[5]Premisa macro'!$E$4</definedName>
    <definedName name="_____TDC2001">'[6]Tipos de Cambio'!$C$4</definedName>
    <definedName name="____ABR1" localSheetId="5">[1]!ABR&amp;[1]!MAY&amp;[1]!JUN&amp;[1]!JUL&amp;[1]!AGO&amp;[1]!SEP</definedName>
    <definedName name="____ABR1" localSheetId="6">[1]!ABR&amp;[1]!MAY&amp;[1]!JUN&amp;[1]!JUL&amp;[1]!AGO&amp;[1]!SEP</definedName>
    <definedName name="____ABR1" localSheetId="2">[1]!ABR&amp;[1]!MAY&amp;[1]!JUN&amp;[1]!JUL&amp;[1]!AGO&amp;[1]!SEP</definedName>
    <definedName name="____ABR1">[1]!ABR&amp;[1]!MAY&amp;[1]!JUN&amp;[1]!JUL&amp;[1]!AGO&amp;[1]!SEP</definedName>
    <definedName name="____ABR2">[4]edofza4!$C$22</definedName>
    <definedName name="____AGO1" localSheetId="5">[1]!AGO&amp;[1]!SEP&amp;[1]!OCT&amp;[1]!NOV&amp;[1]!DIC</definedName>
    <definedName name="____AGO1" localSheetId="6">[1]!AGO&amp;[1]!SEP&amp;[1]!OCT&amp;[1]!NOV&amp;[1]!DIC</definedName>
    <definedName name="____AGO1" localSheetId="2">[1]!AGO&amp;[1]!SEP&amp;[1]!OCT&amp;[1]!NOV&amp;[1]!DIC</definedName>
    <definedName name="____AGO1">[1]!AGO&amp;[1]!SEP&amp;[1]!OCT&amp;[1]!NOV&amp;[1]!DIC</definedName>
    <definedName name="____AGO2">[4]edofza8!$C$22</definedName>
    <definedName name="____def1">'[5]Premisas IMSS'!$M$12</definedName>
    <definedName name="____def2">'[5]Premisas IMSS'!$M$13</definedName>
    <definedName name="____def3">'[5]Premisas IMSS'!$M$14</definedName>
    <definedName name="____def4">'[5]Premisas IMSS'!$M$15</definedName>
    <definedName name="____def5">'[5]Premisas IMSS'!$M$16</definedName>
    <definedName name="____def6">'[5]Premisas IMSS'!$M$17</definedName>
    <definedName name="____DIC2">[4]edofza12!$C$22</definedName>
    <definedName name="____ENE2">[4]edofza1!$C$22</definedName>
    <definedName name="____FEB1" localSheetId="5">[1]!FEB&amp;[1]!MAR&amp;[1]!ABR&amp;[1]!MAY&amp;[1]!JUN&amp;[1]!JUL</definedName>
    <definedName name="____FEB1" localSheetId="6">[1]!FEB&amp;[1]!MAR&amp;[1]!ABR&amp;[1]!MAY&amp;[1]!JUN&amp;[1]!JUL</definedName>
    <definedName name="____FEB1" localSheetId="2">[1]!FEB&amp;[1]!MAR&amp;[1]!ABR&amp;[1]!MAY&amp;[1]!JUN&amp;[1]!JUL</definedName>
    <definedName name="____FEB1">[1]!FEB&amp;[1]!MAR&amp;[1]!ABR&amp;[1]!MAY&amp;[1]!JUN&amp;[1]!JUL</definedName>
    <definedName name="____FEB2">[4]edofza2!$C$22</definedName>
    <definedName name="____JUL1" localSheetId="5">[1]!JUL&amp;[1]!AGO&amp;[1]!SEP&amp;[1]!OCT&amp;[1]!NOV</definedName>
    <definedName name="____JUL1" localSheetId="6">[1]!JUL&amp;[1]!AGO&amp;[1]!SEP&amp;[1]!OCT&amp;[1]!NOV</definedName>
    <definedName name="____JUL1" localSheetId="2">[1]!JUL&amp;[1]!AGO&amp;[1]!SEP&amp;[1]!OCT&amp;[1]!NOV</definedName>
    <definedName name="____JUL1">[1]!JUL&amp;[1]!AGO&amp;[1]!SEP&amp;[1]!OCT&amp;[1]!NOV</definedName>
    <definedName name="____JUL2">[4]edofza7!$C$22</definedName>
    <definedName name="____JUN1" localSheetId="5">[1]!JUN&amp;[1]!JUL&amp;[1]!AGO&amp;[1]!SEP&amp;[1]!OCT</definedName>
    <definedName name="____JUN1" localSheetId="6">[1]!JUN&amp;[1]!JUL&amp;[1]!AGO&amp;[1]!SEP&amp;[1]!OCT</definedName>
    <definedName name="____JUN1" localSheetId="2">[1]!JUN&amp;[1]!JUL&amp;[1]!AGO&amp;[1]!SEP&amp;[1]!OCT</definedName>
    <definedName name="____JUN1">[1]!JUN&amp;[1]!JUL&amp;[1]!AGO&amp;[1]!SEP&amp;[1]!OCT</definedName>
    <definedName name="____JUN2">[4]edofza6!$C$22</definedName>
    <definedName name="____MAR1" localSheetId="5">[1]!MAR&amp;[1]!ABR&amp;[1]!MAY&amp;[1]!JUN&amp;[1]!JUL&amp;[1]!AGO</definedName>
    <definedName name="____MAR1" localSheetId="6">[1]!MAR&amp;[1]!ABR&amp;[1]!MAY&amp;[1]!JUN&amp;[1]!JUL&amp;[1]!AGO</definedName>
    <definedName name="____MAR1" localSheetId="2">[1]!MAR&amp;[1]!ABR&amp;[1]!MAY&amp;[1]!JUN&amp;[1]!JUL&amp;[1]!AGO</definedName>
    <definedName name="____MAR1">[1]!MAR&amp;[1]!ABR&amp;[1]!MAY&amp;[1]!JUN&amp;[1]!JUL&amp;[1]!AGO</definedName>
    <definedName name="____MAR2">[4]edofza3!$C$22</definedName>
    <definedName name="____MAY1" localSheetId="5">[1]!MAY&amp;[1]!JUN&amp;[1]!JUL&amp;[1]!AGO&amp;[1]!SEP</definedName>
    <definedName name="____MAY1" localSheetId="6">[1]!MAY&amp;[1]!JUN&amp;[1]!JUL&amp;[1]!AGO&amp;[1]!SEP</definedName>
    <definedName name="____MAY1" localSheetId="2">[1]!MAY&amp;[1]!JUN&amp;[1]!JUL&amp;[1]!AGO&amp;[1]!SEP</definedName>
    <definedName name="____MAY1">[1]!MAY&amp;[1]!JUN&amp;[1]!JUL&amp;[1]!AGO&amp;[1]!SEP</definedName>
    <definedName name="____MAY2">[4]edofza5!$C$22</definedName>
    <definedName name="____NOV1" localSheetId="5">[1]!NOV&amp;[1]!DIC</definedName>
    <definedName name="____NOV1" localSheetId="6">[1]!NOV&amp;[1]!DIC</definedName>
    <definedName name="____NOV1" localSheetId="2">[1]!NOV&amp;[1]!DIC</definedName>
    <definedName name="____NOV1">[1]!NOV&amp;[1]!DIC</definedName>
    <definedName name="____NOV2">[4]edofza11!$C$43</definedName>
    <definedName name="____OCT1" localSheetId="5">[1]!OCT&amp;[1]!NOV&amp;[1]!DIC</definedName>
    <definedName name="____OCT1" localSheetId="6">[1]!OCT&amp;[1]!NOV&amp;[1]!DIC</definedName>
    <definedName name="____OCT1" localSheetId="2">[1]!OCT&amp;[1]!NOV&amp;[1]!DIC</definedName>
    <definedName name="____OCT1">[1]!OCT&amp;[1]!NOV&amp;[1]!DIC</definedName>
    <definedName name="____OCT2">[4]edofza10!$C$22</definedName>
    <definedName name="____SEP1" localSheetId="5">[1]!SEP&amp;[1]!OCT&amp;[1]!NOV&amp;[1]!DIC</definedName>
    <definedName name="____SEP1" localSheetId="6">[1]!SEP&amp;[1]!OCT&amp;[1]!NOV&amp;[1]!DIC</definedName>
    <definedName name="____SEP1" localSheetId="2">[1]!SEP&amp;[1]!OCT&amp;[1]!NOV&amp;[1]!DIC</definedName>
    <definedName name="____SEP1">[1]!SEP&amp;[1]!OCT&amp;[1]!NOV&amp;[1]!DIC</definedName>
    <definedName name="____SEP2">[4]edofza9!$C$22</definedName>
    <definedName name="____smg97">'[5]Premisa macro'!$E$4</definedName>
    <definedName name="____TDC2001">'[6]Tipos de Cambio'!$C$4</definedName>
    <definedName name="___ABR2">[4]edofza4!$C$22</definedName>
    <definedName name="___AGO2">[4]edofza8!$C$22</definedName>
    <definedName name="___def1">'[5]Premisas IMSS'!$M$12</definedName>
    <definedName name="___def2">'[5]Premisas IMSS'!$M$13</definedName>
    <definedName name="___def3">'[5]Premisas IMSS'!$M$14</definedName>
    <definedName name="___def4">'[5]Premisas IMSS'!$M$15</definedName>
    <definedName name="___def5">'[5]Premisas IMSS'!$M$16</definedName>
    <definedName name="___def6">'[5]Premisas IMSS'!$M$17</definedName>
    <definedName name="___DIC2">[4]edofza12!$C$22</definedName>
    <definedName name="___ENE2">[4]edofza1!$C$22</definedName>
    <definedName name="___FEB2">[4]edofza2!$C$22</definedName>
    <definedName name="___JUL2">[4]edofza7!$C$22</definedName>
    <definedName name="___JUN2">[4]edofza6!$C$22</definedName>
    <definedName name="___MAR2">[4]edofza3!$C$22</definedName>
    <definedName name="___MAY2">[4]edofza5!$C$22</definedName>
    <definedName name="___NOV2">[4]edofza11!$C$43</definedName>
    <definedName name="___OCT2">[4]edofza10!$C$22</definedName>
    <definedName name="___SEP2">[4]edofza9!$C$22</definedName>
    <definedName name="___smg97">'[5]Premisa macro'!$E$4</definedName>
    <definedName name="___TDC2001">'[6]Tipos de Cambio'!$C$4</definedName>
    <definedName name="__ABR2">[4]edofza4!$C$22</definedName>
    <definedName name="__AGO1" localSheetId="5">[1]!AGO&amp;[1]!SEP&amp;[1]!OCT&amp;[1]!NOV&amp;[1]!DIC</definedName>
    <definedName name="__AGO1" localSheetId="6">[1]!AGO&amp;[1]!SEP&amp;[1]!OCT&amp;[1]!NOV&amp;[1]!DIC</definedName>
    <definedName name="__AGO1" localSheetId="2">[1]!AGO&amp;[1]!SEP&amp;[1]!OCT&amp;[1]!NOV&amp;[1]!DIC</definedName>
    <definedName name="__AGO1">[1]!AGO&amp;[1]!SEP&amp;[1]!OCT&amp;[1]!NOV&amp;[1]!DIC</definedName>
    <definedName name="__AGO2">[4]edofza8!$C$22</definedName>
    <definedName name="__CAN2" localSheetId="5" hidden="1">{"Bruto",#N/A,FALSE,"CONV3T.XLS";"Neto",#N/A,FALSE,"CONV3T.XLS";"UnoB",#N/A,FALSE,"CONV3T.XLS";"Bruto",#N/A,FALSE,"CONV4T.XLS";"Neto",#N/A,FALSE,"CONV4T.XLS";"UnoB",#N/A,FALSE,"CONV4T.XLS"}</definedName>
    <definedName name="__CAN2" localSheetId="6" hidden="1">{"Bruto",#N/A,FALSE,"CONV3T.XLS";"Neto",#N/A,FALSE,"CONV3T.XLS";"UnoB",#N/A,FALSE,"CONV3T.XLS";"Bruto",#N/A,FALSE,"CONV4T.XLS";"Neto",#N/A,FALSE,"CONV4T.XLS";"UnoB",#N/A,FALSE,"CONV4T.XLS"}</definedName>
    <definedName name="__CAN2" localSheetId="3" hidden="1">{"Bruto",#N/A,FALSE,"CONV3T.XLS";"Neto",#N/A,FALSE,"CONV3T.XLS";"UnoB",#N/A,FALSE,"CONV3T.XLS";"Bruto",#N/A,FALSE,"CONV4T.XLS";"Neto",#N/A,FALSE,"CONV4T.XLS";"UnoB",#N/A,FALSE,"CONV4T.XLS"}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5" hidden="1">{"Bruto",#N/A,FALSE,"CONV3T.XLS";"Neto",#N/A,FALSE,"CONV3T.XLS";"UnoB",#N/A,FALSE,"CONV3T.XLS";"Bruto",#N/A,FALSE,"CONV4T.XLS";"Neto",#N/A,FALSE,"CONV4T.XLS";"UnoB",#N/A,FALSE,"CONV4T.XLS"}</definedName>
    <definedName name="__CAN4" localSheetId="6" hidden="1">{"Bruto",#N/A,FALSE,"CONV3T.XLS";"Neto",#N/A,FALSE,"CONV3T.XLS";"UnoB",#N/A,FALSE,"CONV3T.XLS";"Bruto",#N/A,FALSE,"CONV4T.XLS";"Neto",#N/A,FALSE,"CONV4T.XLS";"UnoB",#N/A,FALSE,"CONV4T.XLS"}</definedName>
    <definedName name="__CAN4" localSheetId="3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OR4" localSheetId="5" hidden="1">{"Bruto",#N/A,FALSE,"CONV3T.XLS";"Neto",#N/A,FALSE,"CONV3T.XLS";"UnoB",#N/A,FALSE,"CONV3T.XLS";"Bruto",#N/A,FALSE,"CONV4T.XLS";"Neto",#N/A,FALSE,"CONV4T.XLS";"UnoB",#N/A,FALSE,"CONV4T.XLS"}</definedName>
    <definedName name="__COR4" localSheetId="6" hidden="1">{"Bruto",#N/A,FALSE,"CONV3T.XLS";"Neto",#N/A,FALSE,"CONV3T.XLS";"UnoB",#N/A,FALSE,"CONV3T.XLS";"Bruto",#N/A,FALSE,"CONV4T.XLS";"Neto",#N/A,FALSE,"CONV4T.XLS";"UnoB",#N/A,FALSE,"CONV4T.XLS"}</definedName>
    <definedName name="__COR4" localSheetId="3" hidden="1">{"Bruto",#N/A,FALSE,"CONV3T.XLS";"Neto",#N/A,FALSE,"CONV3T.XLS";"UnoB",#N/A,FALSE,"CONV3T.XLS";"Bruto",#N/A,FALSE,"CONV4T.XLS";"Neto",#N/A,FALSE,"CONV4T.XLS";"UnoB",#N/A,FALSE,"CONV4T.XLS"}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5" hidden="1">{"Bruto",#N/A,FALSE,"CONV3T.XLS";"Neto",#N/A,FALSE,"CONV3T.XLS";"UnoB",#N/A,FALSE,"CONV3T.XLS";"Bruto",#N/A,FALSE,"CONV4T.XLS";"Neto",#N/A,FALSE,"CONV4T.XLS";"UnoB",#N/A,FALSE,"CONV4T.XLS"}</definedName>
    <definedName name="__COS4" localSheetId="6" hidden="1">{"Bruto",#N/A,FALSE,"CONV3T.XLS";"Neto",#N/A,FALSE,"CONV3T.XLS";"UnoB",#N/A,FALSE,"CONV3T.XLS";"Bruto",#N/A,FALSE,"CONV4T.XLS";"Neto",#N/A,FALSE,"CONV4T.XLS";"UnoB",#N/A,FALSE,"CONV4T.XLS"}</definedName>
    <definedName name="__COS4" localSheetId="3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'[5]Premisas IMSS'!$M$12</definedName>
    <definedName name="__def2">'[5]Premisas IMSS'!$M$13</definedName>
    <definedName name="__def3">'[5]Premisas IMSS'!$M$14</definedName>
    <definedName name="__def4">'[5]Premisas IMSS'!$M$15</definedName>
    <definedName name="__def5">'[5]Premisas IMSS'!$M$16</definedName>
    <definedName name="__def6">'[5]Premisas IMSS'!$M$17</definedName>
    <definedName name="__DIC2">[4]edofza12!$C$22</definedName>
    <definedName name="__ee1" localSheetId="5" hidden="1">{"Bruto",#N/A,FALSE,"CONV3T.XLS";"Neto",#N/A,FALSE,"CONV3T.XLS";"UnoB",#N/A,FALSE,"CONV3T.XLS";"Bruto",#N/A,FALSE,"CONV4T.XLS";"Neto",#N/A,FALSE,"CONV4T.XLS";"UnoB",#N/A,FALSE,"CONV4T.XLS"}</definedName>
    <definedName name="__ee1" localSheetId="6" hidden="1">{"Bruto",#N/A,FALSE,"CONV3T.XLS";"Neto",#N/A,FALSE,"CONV3T.XLS";"UnoB",#N/A,FALSE,"CONV3T.XLS";"Bruto",#N/A,FALSE,"CONV4T.XLS";"Neto",#N/A,FALSE,"CONV4T.XLS";"UnoB",#N/A,FALSE,"CONV4T.XLS"}</definedName>
    <definedName name="__ee1" localSheetId="3" hidden="1">{"Bruto",#N/A,FALSE,"CONV3T.XLS";"Neto",#N/A,FALSE,"CONV3T.XLS";"UnoB",#N/A,FALSE,"CONV3T.XLS";"Bruto",#N/A,FALSE,"CONV4T.XLS";"Neto",#N/A,FALSE,"CONV4T.XLS";"UnoB",#N/A,FALSE,"CONV4T.XLS"}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[4]edofza1!$C$22</definedName>
    <definedName name="__esc2" localSheetId="5" hidden="1">{"Bruto",#N/A,FALSE,"CONV3T.XLS";"Neto",#N/A,FALSE,"CONV3T.XLS";"UnoB",#N/A,FALSE,"CONV3T.XLS";"Bruto",#N/A,FALSE,"CONV4T.XLS";"Neto",#N/A,FALSE,"CONV4T.XLS";"UnoB",#N/A,FALSE,"CONV4T.XLS"}</definedName>
    <definedName name="__esc2" localSheetId="6" hidden="1">{"Bruto",#N/A,FALSE,"CONV3T.XLS";"Neto",#N/A,FALSE,"CONV3T.XLS";"UnoB",#N/A,FALSE,"CONV3T.XLS";"Bruto",#N/A,FALSE,"CONV4T.XLS";"Neto",#N/A,FALSE,"CONV4T.XLS";"UnoB",#N/A,FALSE,"CONV4T.XLS"}</definedName>
    <definedName name="__esc2" localSheetId="3" hidden="1">{"Bruto",#N/A,FALSE,"CONV3T.XLS";"Neto",#N/A,FALSE,"CONV3T.XLS";"UnoB",#N/A,FALSE,"CONV3T.XLS";"Bruto",#N/A,FALSE,"CONV4T.XLS";"Neto",#N/A,FALSE,"CONV4T.XLS";"UnoB",#N/A,FALSE,"CONV4T.XLS"}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5" hidden="1">{"Bruto",#N/A,FALSE,"CONV3T.XLS";"Neto",#N/A,FALSE,"CONV3T.XLS";"UnoB",#N/A,FALSE,"CONV3T.XLS";"Bruto",#N/A,FALSE,"CONV4T.XLS";"Neto",#N/A,FALSE,"CONV4T.XLS";"UnoB",#N/A,FALSE,"CONV4T.XLS"}</definedName>
    <definedName name="__ESC4" localSheetId="6" hidden="1">{"Bruto",#N/A,FALSE,"CONV3T.XLS";"Neto",#N/A,FALSE,"CONV3T.XLS";"UnoB",#N/A,FALSE,"CONV3T.XLS";"Bruto",#N/A,FALSE,"CONV4T.XLS";"Neto",#N/A,FALSE,"CONV4T.XLS";"UnoB",#N/A,FALSE,"CONV4T.XLS"}</definedName>
    <definedName name="__ESC4" localSheetId="3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2">[4]edofza2!$C$22</definedName>
    <definedName name="__JUL2">[4]edofza7!$C$22</definedName>
    <definedName name="__JUN2">[4]edofza6!$C$22</definedName>
    <definedName name="__MAR2">[4]edofza3!$C$22</definedName>
    <definedName name="__MAY2">[4]edofza5!$C$22</definedName>
    <definedName name="__mor2" localSheetId="5" hidden="1">{"Bruto",#N/A,FALSE,"CONV3T.XLS";"Neto",#N/A,FALSE,"CONV3T.XLS";"UnoB",#N/A,FALSE,"CONV3T.XLS";"Bruto",#N/A,FALSE,"CONV4T.XLS";"Neto",#N/A,FALSE,"CONV4T.XLS";"UnoB",#N/A,FALSE,"CONV4T.XLS"}</definedName>
    <definedName name="__mor2" localSheetId="6" hidden="1">{"Bruto",#N/A,FALSE,"CONV3T.XLS";"Neto",#N/A,FALSE,"CONV3T.XLS";"UnoB",#N/A,FALSE,"CONV3T.XLS";"Bruto",#N/A,FALSE,"CONV4T.XLS";"Neto",#N/A,FALSE,"CONV4T.XLS";"UnoB",#N/A,FALSE,"CONV4T.XLS"}</definedName>
    <definedName name="__mor2" localSheetId="3" hidden="1">{"Bruto",#N/A,FALSE,"CONV3T.XLS";"Neto",#N/A,FALSE,"CONV3T.XLS";"UnoB",#N/A,FALSE,"CONV3T.XLS";"Bruto",#N/A,FALSE,"CONV4T.XLS";"Neto",#N/A,FALSE,"CONV4T.XLS";"UnoB",#N/A,FALSE,"CONV4T.XLS"}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5" hidden="1">{"Bruto",#N/A,FALSE,"CONV3T.XLS";"Neto",#N/A,FALSE,"CONV3T.XLS";"UnoB",#N/A,FALSE,"CONV3T.XLS";"Bruto",#N/A,FALSE,"CONV4T.XLS";"Neto",#N/A,FALSE,"CONV4T.XLS";"UnoB",#N/A,FALSE,"CONV4T.XLS"}</definedName>
    <definedName name="__MOR4" localSheetId="6" hidden="1">{"Bruto",#N/A,FALSE,"CONV3T.XLS";"Neto",#N/A,FALSE,"CONV3T.XLS";"UnoB",#N/A,FALSE,"CONV3T.XLS";"Bruto",#N/A,FALSE,"CONV4T.XLS";"Neto",#N/A,FALSE,"CONV4T.XLS";"UnoB",#N/A,FALSE,"CONV4T.XLS"}</definedName>
    <definedName name="__MOR4" localSheetId="3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 localSheetId="5">[1]!NOV&amp;[1]!DIC</definedName>
    <definedName name="__NOV1" localSheetId="6">[1]!NOV&amp;[1]!DIC</definedName>
    <definedName name="__NOV1" localSheetId="2">[1]!NOV&amp;[1]!DIC</definedName>
    <definedName name="__NOV1">[1]!NOV&amp;[1]!DIC</definedName>
    <definedName name="__NOV2">[4]edofza11!$C$43</definedName>
    <definedName name="__OCT1" localSheetId="5">[1]!OCT&amp;[1]!NOV&amp;[1]!DIC</definedName>
    <definedName name="__OCT1" localSheetId="6">[1]!OCT&amp;[1]!NOV&amp;[1]!DIC</definedName>
    <definedName name="__OCT1" localSheetId="2">[1]!OCT&amp;[1]!NOV&amp;[1]!DIC</definedName>
    <definedName name="__OCT1">[1]!OCT&amp;[1]!NOV&amp;[1]!DIC</definedName>
    <definedName name="__OCT2">[4]edofza10!$C$22</definedName>
    <definedName name="__pa2" localSheetId="5" hidden="1">{"Bruto",#N/A,FALSE,"CONV3T.XLS";"Neto",#N/A,FALSE,"CONV3T.XLS";"UnoB",#N/A,FALSE,"CONV3T.XLS";"Bruto",#N/A,FALSE,"CONV4T.XLS";"Neto",#N/A,FALSE,"CONV4T.XLS";"UnoB",#N/A,FALSE,"CONV4T.XLS"}</definedName>
    <definedName name="__pa2" localSheetId="6" hidden="1">{"Bruto",#N/A,FALSE,"CONV3T.XLS";"Neto",#N/A,FALSE,"CONV3T.XLS";"UnoB",#N/A,FALSE,"CONV3T.XLS";"Bruto",#N/A,FALSE,"CONV4T.XLS";"Neto",#N/A,FALSE,"CONV4T.XLS";"UnoB",#N/A,FALSE,"CONV4T.XLS"}</definedName>
    <definedName name="__pa2" localSheetId="3" hidden="1">{"Bruto",#N/A,FALSE,"CONV3T.XLS";"Neto",#N/A,FALSE,"CONV3T.XLS";"UnoB",#N/A,FALSE,"CONV3T.XLS";"Bruto",#N/A,FALSE,"CONV4T.XLS";"Neto",#N/A,FALSE,"CONV4T.XLS";"UnoB",#N/A,FALSE,"CONV4T.XLS"}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5" hidden="1">{"Bruto",#N/A,FALSE,"CONV3T.XLS";"Neto",#N/A,FALSE,"CONV3T.XLS";"UnoB",#N/A,FALSE,"CONV3T.XLS";"Bruto",#N/A,FALSE,"CONV4T.XLS";"Neto",#N/A,FALSE,"CONV4T.XLS";"UnoB",#N/A,FALSE,"CONV4T.XLS"}</definedName>
    <definedName name="__PAJ4" localSheetId="6" hidden="1">{"Bruto",#N/A,FALSE,"CONV3T.XLS";"Neto",#N/A,FALSE,"CONV3T.XLS";"UnoB",#N/A,FALSE,"CONV3T.XLS";"Bruto",#N/A,FALSE,"CONV4T.XLS";"Neto",#N/A,FALSE,"CONV4T.XLS";"UnoB",#N/A,FALSE,"CONV4T.XLS"}</definedName>
    <definedName name="__PAJ4" localSheetId="3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SEP1" localSheetId="5">[1]!SEP&amp;[1]!OCT&amp;[1]!NOV&amp;[1]!DIC</definedName>
    <definedName name="__SEP1" localSheetId="6">[1]!SEP&amp;[1]!OCT&amp;[1]!NOV&amp;[1]!DIC</definedName>
    <definedName name="__SEP1" localSheetId="2">[1]!SEP&amp;[1]!OCT&amp;[1]!NOV&amp;[1]!DIC</definedName>
    <definedName name="__SEP1">[1]!SEP&amp;[1]!OCT&amp;[1]!NOV&amp;[1]!DIC</definedName>
    <definedName name="__SEP2">[4]edofza9!$C$22</definedName>
    <definedName name="__smg97">'[5]Premisa macro'!$E$4</definedName>
    <definedName name="__TDC2001">'[6]Tipos de Cambio'!$C$4</definedName>
    <definedName name="__tul2" localSheetId="5" hidden="1">{"Bruto",#N/A,FALSE,"CONV3T.XLS";"Neto",#N/A,FALSE,"CONV3T.XLS";"UnoB",#N/A,FALSE,"CONV3T.XLS";"Bruto",#N/A,FALSE,"CONV4T.XLS";"Neto",#N/A,FALSE,"CONV4T.XLS";"UnoB",#N/A,FALSE,"CONV4T.XLS"}</definedName>
    <definedName name="__tul2" localSheetId="6" hidden="1">{"Bruto",#N/A,FALSE,"CONV3T.XLS";"Neto",#N/A,FALSE,"CONV3T.XLS";"UnoB",#N/A,FALSE,"CONV3T.XLS";"Bruto",#N/A,FALSE,"CONV4T.XLS";"Neto",#N/A,FALSE,"CONV4T.XLS";"UnoB",#N/A,FALSE,"CONV4T.XLS"}</definedName>
    <definedName name="__tul2" localSheetId="3" hidden="1">{"Bruto",#N/A,FALSE,"CONV3T.XLS";"Neto",#N/A,FALSE,"CONV3T.XLS";"UnoB",#N/A,FALSE,"CONV3T.XLS";"Bruto",#N/A,FALSE,"CONV4T.XLS";"Neto",#N/A,FALSE,"CONV4T.XLS";"UnoB",#N/A,FALSE,"CONV4T.XLS"}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5" hidden="1">{"Bruto",#N/A,FALSE,"CONV3T.XLS";"Neto",#N/A,FALSE,"CONV3T.XLS";"UnoB",#N/A,FALSE,"CONV3T.XLS";"Bruto",#N/A,FALSE,"CONV4T.XLS";"Neto",#N/A,FALSE,"CONV4T.XLS";"UnoB",#N/A,FALSE,"CONV4T.XLS"}</definedName>
    <definedName name="__TUL4" localSheetId="6" hidden="1">{"Bruto",#N/A,FALSE,"CONV3T.XLS";"Neto",#N/A,FALSE,"CONV3T.XLS";"UnoB",#N/A,FALSE,"CONV3T.XLS";"Bruto",#N/A,FALSE,"CONV4T.XLS";"Neto",#N/A,FALSE,"CONV4T.XLS";"UnoB",#N/A,FALSE,"CONV4T.XLS"}</definedName>
    <definedName name="__TUL4" localSheetId="3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5" hidden="1">{"Bruto",#N/A,FALSE,"CONV3T.XLS";"Neto",#N/A,FALSE,"CONV3T.XLS";"UnoB",#N/A,FALSE,"CONV3T.XLS";"Bruto",#N/A,FALSE,"CONV4T.XLS";"Neto",#N/A,FALSE,"CONV4T.XLS";"UnoB",#N/A,FALSE,"CONV4T.XLS"}</definedName>
    <definedName name="__WRN4444" localSheetId="6" hidden="1">{"Bruto",#N/A,FALSE,"CONV3T.XLS";"Neto",#N/A,FALSE,"CONV3T.XLS";"UnoB",#N/A,FALSE,"CONV3T.XLS";"Bruto",#N/A,FALSE,"CONV4T.XLS";"Neto",#N/A,FALSE,"CONV4T.XLS";"UnoB",#N/A,FALSE,"CONV4T.XLS"}</definedName>
    <definedName name="__WRN4444" localSheetId="3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5">[7]BANPRO99!#REF!</definedName>
    <definedName name="_3O0504" localSheetId="6">[7]BANPRO99!#REF!</definedName>
    <definedName name="_3O0504" localSheetId="7">[7]BANPRO99!#REF!</definedName>
    <definedName name="_3O0504" localSheetId="3">[7]BANPRO99!#REF!</definedName>
    <definedName name="_3O0504" localSheetId="2">[7]BANPRO99!#REF!</definedName>
    <definedName name="_3O0504" localSheetId="9">[7]BANPRO99!#REF!</definedName>
    <definedName name="_3O0504" localSheetId="8">[7]BANPRO99!#REF!</definedName>
    <definedName name="_3O0504">[7]BANPRO99!#REF!</definedName>
    <definedName name="_5000DEF">#N/A</definedName>
    <definedName name="_6000">#N/A</definedName>
    <definedName name="_6000DEF">#N/A</definedName>
    <definedName name="_ABR1" localSheetId="5">[1]!ABR&amp;[1]!MAY&amp;[1]!JUN&amp;[1]!JUL&amp;[1]!AGO&amp;[1]!SEP</definedName>
    <definedName name="_ABR1" localSheetId="6">[1]!ABR&amp;[1]!MAY&amp;[1]!JUN&amp;[1]!JUL&amp;[1]!AGO&amp;[1]!SEP</definedName>
    <definedName name="_ABR1" localSheetId="2">[1]!ABR&amp;[1]!MAY&amp;[1]!JUN&amp;[1]!JUL&amp;[1]!AGO&amp;[1]!SEP</definedName>
    <definedName name="_ABR1">[1]!ABR&amp;[1]!MAY&amp;[1]!JUN&amp;[1]!JUL&amp;[1]!AGO&amp;[1]!SEP</definedName>
    <definedName name="_ABR2">[4]edofza4!$C$22</definedName>
    <definedName name="_AGO1" localSheetId="5">[1]!AGO&amp;[1]!SEP&amp;[1]!OCT&amp;[1]!NOV&amp;[1]!DIC</definedName>
    <definedName name="_AGO1" localSheetId="6">[1]!AGO&amp;[1]!SEP&amp;[1]!OCT&amp;[1]!NOV&amp;[1]!DIC</definedName>
    <definedName name="_AGO1" localSheetId="2">[1]!AGO&amp;[1]!SEP&amp;[1]!OCT&amp;[1]!NOV&amp;[1]!DIC</definedName>
    <definedName name="_AGO1">[1]!AGO&amp;[1]!SEP&amp;[1]!OCT&amp;[1]!NOV&amp;[1]!DIC</definedName>
    <definedName name="_AGO2">[4]edofza8!$C$22</definedName>
    <definedName name="_ASA96" localSheetId="5">#REF!</definedName>
    <definedName name="_ASA96" localSheetId="6">#REF!</definedName>
    <definedName name="_ASA96" localSheetId="7">#REF!</definedName>
    <definedName name="_ASA96" localSheetId="3">#REF!</definedName>
    <definedName name="_ASA96" localSheetId="1">#REF!</definedName>
    <definedName name="_ASA96" localSheetId="2">#REF!</definedName>
    <definedName name="_ASA96" localSheetId="9">#REF!</definedName>
    <definedName name="_ASA96" localSheetId="8">#REF!</definedName>
    <definedName name="_ASA96">#REF!</definedName>
    <definedName name="_base" localSheetId="5">[7]BANPRO99!#REF!</definedName>
    <definedName name="_base" localSheetId="6">[7]BANPRO99!#REF!</definedName>
    <definedName name="_base" localSheetId="7">[7]BANPRO99!#REF!</definedName>
    <definedName name="_base" localSheetId="3">[7]BANPRO99!#REF!</definedName>
    <definedName name="_base" localSheetId="2">[7]BANPRO99!#REF!</definedName>
    <definedName name="_base" localSheetId="9">[7]BANPRO99!#REF!</definedName>
    <definedName name="_base" localSheetId="8">[7]BANPRO99!#REF!</definedName>
    <definedName name="_base">[7]BANPRO99!#REF!</definedName>
    <definedName name="_cad179" localSheetId="5">'[2]Mod Eco Controlados 99'!#REF!</definedName>
    <definedName name="_cad179" localSheetId="6">'[2]Mod Eco Controlados 99'!#REF!</definedName>
    <definedName name="_cad179" localSheetId="7">'[2]Mod Eco Controlados 99'!#REF!</definedName>
    <definedName name="_cad179" localSheetId="3">'[2]Mod Eco Controlados 99'!#REF!</definedName>
    <definedName name="_cad179" localSheetId="2">'[2]Mod Eco Controlados 99'!#REF!</definedName>
    <definedName name="_cad179" localSheetId="9">'[2]Mod Eco Controlados 99'!#REF!</definedName>
    <definedName name="_cad179" localSheetId="8">'[2]Mod Eco Controlados 99'!#REF!</definedName>
    <definedName name="_cad179">'[2]Mod Eco Controlados 99'!#REF!</definedName>
    <definedName name="_CAN2" localSheetId="5" hidden="1">{"Bruto",#N/A,FALSE,"CONV3T.XLS";"Neto",#N/A,FALSE,"CONV3T.XLS";"UnoB",#N/A,FALSE,"CONV3T.XLS";"Bruto",#N/A,FALSE,"CONV4T.XLS";"Neto",#N/A,FALSE,"CONV4T.XLS";"UnoB",#N/A,FALSE,"CONV4T.XLS"}</definedName>
    <definedName name="_CAN2" localSheetId="6" hidden="1">{"Bruto",#N/A,FALSE,"CONV3T.XLS";"Neto",#N/A,FALSE,"CONV3T.XLS";"UnoB",#N/A,FALSE,"CONV3T.XLS";"Bruto",#N/A,FALSE,"CONV4T.XLS";"Neto",#N/A,FALSE,"CONV4T.XLS";"UnoB",#N/A,FALSE,"CONV4T.XLS"}</definedName>
    <definedName name="_CAN2" localSheetId="3" hidden="1">{"Bruto",#N/A,FALSE,"CONV3T.XLS";"Neto",#N/A,FALSE,"CONV3T.XLS";"UnoB",#N/A,FALSE,"CONV3T.XLS";"Bruto",#N/A,FALSE,"CONV4T.XLS";"Neto",#N/A,FALSE,"CONV4T.XLS";"UnoB",#N/A,FALSE,"CONV4T.XLS"}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5" hidden="1">{"Bruto",#N/A,FALSE,"CONV3T.XLS";"Neto",#N/A,FALSE,"CONV3T.XLS";"UnoB",#N/A,FALSE,"CONV3T.XLS";"Bruto",#N/A,FALSE,"CONV4T.XLS";"Neto",#N/A,FALSE,"CONV4T.XLS";"UnoB",#N/A,FALSE,"CONV4T.XLS"}</definedName>
    <definedName name="_CAN4" localSheetId="6" hidden="1">{"Bruto",#N/A,FALSE,"CONV3T.XLS";"Neto",#N/A,FALSE,"CONV3T.XLS";"UnoB",#N/A,FALSE,"CONV3T.XLS";"Bruto",#N/A,FALSE,"CONV4T.XLS";"Neto",#N/A,FALSE,"CONV4T.XLS";"UnoB",#N/A,FALSE,"CONV4T.XLS"}</definedName>
    <definedName name="_CAN4" localSheetId="3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2">#REF!</definedName>
    <definedName name="_CFD02">#REF!</definedName>
    <definedName name="_CFE96" localSheetId="5">#REF!</definedName>
    <definedName name="_CFE96" localSheetId="6">#REF!</definedName>
    <definedName name="_CFE96" localSheetId="7">#REF!</definedName>
    <definedName name="_CFE96" localSheetId="3">#REF!</definedName>
    <definedName name="_CFE96" localSheetId="1">#REF!</definedName>
    <definedName name="_CFE96" localSheetId="2">#REF!</definedName>
    <definedName name="_CFE96" localSheetId="9">#REF!</definedName>
    <definedName name="_CFE96" localSheetId="8">#REF!</definedName>
    <definedName name="_CFE96">#REF!</definedName>
    <definedName name="_CON96" localSheetId="5">#REF!</definedName>
    <definedName name="_CON96" localSheetId="6">#REF!</definedName>
    <definedName name="_CON96" localSheetId="7">#REF!</definedName>
    <definedName name="_CON96" localSheetId="3">#REF!</definedName>
    <definedName name="_CON96" localSheetId="1">#REF!</definedName>
    <definedName name="_CON96" localSheetId="2">#REF!</definedName>
    <definedName name="_CON96" localSheetId="9">#REF!</definedName>
    <definedName name="_CON96" localSheetId="8">#REF!</definedName>
    <definedName name="_CON96">#REF!</definedName>
    <definedName name="_def1">'[5]Premisas IMSS'!$M$12</definedName>
    <definedName name="_def2">'[5]Premisas IMSS'!$M$13</definedName>
    <definedName name="_def3">'[5]Premisas IMSS'!$M$14</definedName>
    <definedName name="_def4">'[5]Premisas IMSS'!$M$15</definedName>
    <definedName name="_def5">'[5]Premisas IMSS'!$M$16</definedName>
    <definedName name="_def6">'[5]Premisas IMSS'!$M$17</definedName>
    <definedName name="_DIC2">[4]edofza12!$C$22</definedName>
    <definedName name="_ee1" localSheetId="5" hidden="1">{"Bruto",#N/A,FALSE,"CONV3T.XLS";"Neto",#N/A,FALSE,"CONV3T.XLS";"UnoB",#N/A,FALSE,"CONV3T.XLS";"Bruto",#N/A,FALSE,"CONV4T.XLS";"Neto",#N/A,FALSE,"CONV4T.XLS";"UnoB",#N/A,FALSE,"CONV4T.XLS"}</definedName>
    <definedName name="_ee1" localSheetId="6" hidden="1">{"Bruto",#N/A,FALSE,"CONV3T.XLS";"Neto",#N/A,FALSE,"CONV3T.XLS";"UnoB",#N/A,FALSE,"CONV3T.XLS";"Bruto",#N/A,FALSE,"CONV4T.XLS";"Neto",#N/A,FALSE,"CONV4T.XLS";"UnoB",#N/A,FALSE,"CONV4T.XLS"}</definedName>
    <definedName name="_ee1" localSheetId="3" hidden="1">{"Bruto",#N/A,FALSE,"CONV3T.XLS";"Neto",#N/A,FALSE,"CONV3T.XLS";"UnoB",#N/A,FALSE,"CONV3T.XLS";"Bruto",#N/A,FALSE,"CONV4T.XLS";"Neto",#N/A,FALSE,"CONV4T.XLS";"UnoB",#N/A,FALSE,"CONV4T.XLS"}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[4]edofza1!$C$22</definedName>
    <definedName name="_esc2" localSheetId="5" hidden="1">{"Bruto",#N/A,FALSE,"CONV3T.XLS";"Neto",#N/A,FALSE,"CONV3T.XLS";"UnoB",#N/A,FALSE,"CONV3T.XLS";"Bruto",#N/A,FALSE,"CONV4T.XLS";"Neto",#N/A,FALSE,"CONV4T.XLS";"UnoB",#N/A,FALSE,"CONV4T.XLS"}</definedName>
    <definedName name="_esc2" localSheetId="6" hidden="1">{"Bruto",#N/A,FALSE,"CONV3T.XLS";"Neto",#N/A,FALSE,"CONV3T.XLS";"UnoB",#N/A,FALSE,"CONV3T.XLS";"Bruto",#N/A,FALSE,"CONV4T.XLS";"Neto",#N/A,FALSE,"CONV4T.XLS";"UnoB",#N/A,FALSE,"CONV4T.XLS"}</definedName>
    <definedName name="_esc2" localSheetId="3" hidden="1">{"Bruto",#N/A,FALSE,"CONV3T.XLS";"Neto",#N/A,FALSE,"CONV3T.XLS";"UnoB",#N/A,FALSE,"CONV3T.XLS";"Bruto",#N/A,FALSE,"CONV4T.XLS";"Neto",#N/A,FALSE,"CONV4T.XLS";"UnoB",#N/A,FALSE,"CONV4T.XLS"}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5" hidden="1">{"Bruto",#N/A,FALSE,"CONV3T.XLS";"Neto",#N/A,FALSE,"CONV3T.XLS";"UnoB",#N/A,FALSE,"CONV3T.XLS";"Bruto",#N/A,FALSE,"CONV4T.XLS";"Neto",#N/A,FALSE,"CONV4T.XLS";"UnoB",#N/A,FALSE,"CONV4T.XLS"}</definedName>
    <definedName name="_ESC4" localSheetId="6" hidden="1">{"Bruto",#N/A,FALSE,"CONV3T.XLS";"Neto",#N/A,FALSE,"CONV3T.XLS";"UnoB",#N/A,FALSE,"CONV3T.XLS";"Bruto",#N/A,FALSE,"CONV4T.XLS";"Neto",#N/A,FALSE,"CONV4T.XLS";"UnoB",#N/A,FALSE,"CONV4T.XLS"}</definedName>
    <definedName name="_ESC4" localSheetId="3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 localSheetId="5">[1]!FEB&amp;[1]!MAR&amp;[1]!ABR&amp;[1]!MAY&amp;[1]!JUN&amp;[1]!JUL</definedName>
    <definedName name="_FEB1" localSheetId="6">[1]!FEB&amp;[1]!MAR&amp;[1]!ABR&amp;[1]!MAY&amp;[1]!JUN&amp;[1]!JUL</definedName>
    <definedName name="_FEB1" localSheetId="2">[1]!FEB&amp;[1]!MAR&amp;[1]!ABR&amp;[1]!MAY&amp;[1]!JUN&amp;[1]!JUL</definedName>
    <definedName name="_FEB1">[1]!FEB&amp;[1]!MAR&amp;[1]!ABR&amp;[1]!MAY&amp;[1]!JUN&amp;[1]!JUL</definedName>
    <definedName name="_FEB2">[4]edofza2!$C$22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3" hidden="1">#REF!</definedName>
    <definedName name="_Fill" localSheetId="1" hidden="1">#REF!</definedName>
    <definedName name="_Fill" localSheetId="2" hidden="1">#REF!</definedName>
    <definedName name="_Fill" localSheetId="9" hidden="1">#REF!</definedName>
    <definedName name="_Fill" localSheetId="8" hidden="1">#REF!</definedName>
    <definedName name="_Fill" hidden="1">#REF!</definedName>
    <definedName name="_xlnm._FilterDatabase" localSheetId="5" hidden="1">'Anexo 16'!$A$3:$AB$383</definedName>
    <definedName name="_xlnm._FilterDatabase" localSheetId="6" hidden="1">'Anexo 16 (2)'!$A$3:$AB$233</definedName>
    <definedName name="_xlnm._FilterDatabase" localSheetId="0" hidden="1">'Catálogo PEC'!$B$3:$F$282</definedName>
    <definedName name="_xlnm._FilterDatabase" localSheetId="2" hidden="1">Indigenas!$A$9:$K$31</definedName>
    <definedName name="_JUL1" localSheetId="5">[1]!JUL&amp;[1]!AGO&amp;[1]!SEP&amp;[1]!OCT&amp;[1]!NOV</definedName>
    <definedName name="_JUL1" localSheetId="6">[1]!JUL&amp;[1]!AGO&amp;[1]!SEP&amp;[1]!OCT&amp;[1]!NOV</definedName>
    <definedName name="_JUL1" localSheetId="2">[1]!JUL&amp;[1]!AGO&amp;[1]!SEP&amp;[1]!OCT&amp;[1]!NOV</definedName>
    <definedName name="_JUL1">[1]!JUL&amp;[1]!AGO&amp;[1]!SEP&amp;[1]!OCT&amp;[1]!NOV</definedName>
    <definedName name="_JUL2">[4]edofza7!$C$22</definedName>
    <definedName name="_JUN1" localSheetId="5">[1]!JUN&amp;[1]!JUL&amp;[1]!AGO&amp;[1]!SEP&amp;[1]!OCT</definedName>
    <definedName name="_JUN1" localSheetId="6">[1]!JUN&amp;[1]!JUL&amp;[1]!AGO&amp;[1]!SEP&amp;[1]!OCT</definedName>
    <definedName name="_JUN1" localSheetId="2">[1]!JUN&amp;[1]!JUL&amp;[1]!AGO&amp;[1]!SEP&amp;[1]!OCT</definedName>
    <definedName name="_JUN1">[1]!JUN&amp;[1]!JUL&amp;[1]!AGO&amp;[1]!SEP&amp;[1]!OCT</definedName>
    <definedName name="_JUN2">[4]edofza6!$C$22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3" hidden="1">#REF!</definedName>
    <definedName name="_Key1" localSheetId="1" hidden="1">#REF!</definedName>
    <definedName name="_Key1" localSheetId="2" hidden="1">#REF!</definedName>
    <definedName name="_Key1" localSheetId="9" hidden="1">#REF!</definedName>
    <definedName name="_Key1" localSheetId="8" hidden="1">#REF!</definedName>
    <definedName name="_Key1" hidden="1">#REF!</definedName>
    <definedName name="_MAR1" localSheetId="5">[1]!MAR&amp;[1]!ABR&amp;[1]!MAY&amp;[1]!JUN&amp;[1]!JUL&amp;[1]!AGO</definedName>
    <definedName name="_MAR1" localSheetId="6">[1]!MAR&amp;[1]!ABR&amp;[1]!MAY&amp;[1]!JUN&amp;[1]!JUL&amp;[1]!AGO</definedName>
    <definedName name="_MAR1" localSheetId="2">[1]!MAR&amp;[1]!ABR&amp;[1]!MAY&amp;[1]!JUN&amp;[1]!JUL&amp;[1]!AGO</definedName>
    <definedName name="_MAR1">[1]!MAR&amp;[1]!ABR&amp;[1]!MAY&amp;[1]!JUN&amp;[1]!JUL&amp;[1]!AGO</definedName>
    <definedName name="_MAR2">[4]edofza3!$C$22</definedName>
    <definedName name="_MAY1" localSheetId="5">[1]!MAY&amp;[1]!JUN&amp;[1]!JUL&amp;[1]!AGO&amp;[1]!SEP</definedName>
    <definedName name="_MAY1" localSheetId="6">[1]!MAY&amp;[1]!JUN&amp;[1]!JUL&amp;[1]!AGO&amp;[1]!SEP</definedName>
    <definedName name="_MAY1" localSheetId="2">[1]!MAY&amp;[1]!JUN&amp;[1]!JUL&amp;[1]!AGO&amp;[1]!SEP</definedName>
    <definedName name="_MAY1">[1]!MAY&amp;[1]!JUN&amp;[1]!JUL&amp;[1]!AGO&amp;[1]!SEP</definedName>
    <definedName name="_MAY2">[4]edofza5!$C$22</definedName>
    <definedName name="_mor2" localSheetId="5" hidden="1">{"Bruto",#N/A,FALSE,"CONV3T.XLS";"Neto",#N/A,FALSE,"CONV3T.XLS";"UnoB",#N/A,FALSE,"CONV3T.XLS";"Bruto",#N/A,FALSE,"CONV4T.XLS";"Neto",#N/A,FALSE,"CONV4T.XLS";"UnoB",#N/A,FALSE,"CONV4T.XLS"}</definedName>
    <definedName name="_mor2" localSheetId="6" hidden="1">{"Bruto",#N/A,FALSE,"CONV3T.XLS";"Neto",#N/A,FALSE,"CONV3T.XLS";"UnoB",#N/A,FALSE,"CONV3T.XLS";"Bruto",#N/A,FALSE,"CONV4T.XLS";"Neto",#N/A,FALSE,"CONV4T.XLS";"UnoB",#N/A,FALSE,"CONV4T.XLS"}</definedName>
    <definedName name="_mor2" localSheetId="3" hidden="1">{"Bruto",#N/A,FALSE,"CONV3T.XLS";"Neto",#N/A,FALSE,"CONV3T.XLS";"UnoB",#N/A,FALSE,"CONV3T.XLS";"Bruto",#N/A,FALSE,"CONV4T.XLS";"Neto",#N/A,FALSE,"CONV4T.XLS";"UnoB",#N/A,FALSE,"CONV4T.XLS"}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5" hidden="1">{"Bruto",#N/A,FALSE,"CONV3T.XLS";"Neto",#N/A,FALSE,"CONV3T.XLS";"UnoB",#N/A,FALSE,"CONV3T.XLS";"Bruto",#N/A,FALSE,"CONV4T.XLS";"Neto",#N/A,FALSE,"CONV4T.XLS";"UnoB",#N/A,FALSE,"CONV4T.XLS"}</definedName>
    <definedName name="_MOR4" localSheetId="6" hidden="1">{"Bruto",#N/A,FALSE,"CONV3T.XLS";"Neto",#N/A,FALSE,"CONV3T.XLS";"UnoB",#N/A,FALSE,"CONV3T.XLS";"Bruto",#N/A,FALSE,"CONV4T.XLS";"Neto",#N/A,FALSE,"CONV4T.XLS";"UnoB",#N/A,FALSE,"CONV4T.XLS"}</definedName>
    <definedName name="_MOR4" localSheetId="3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 localSheetId="5">[1]!NOV&amp;[1]!DIC</definedName>
    <definedName name="_NOV1" localSheetId="6">[1]!NOV&amp;[1]!DIC</definedName>
    <definedName name="_NOV1" localSheetId="2">[1]!NOV&amp;[1]!DIC</definedName>
    <definedName name="_NOV1">[1]!NOV&amp;[1]!DIC</definedName>
    <definedName name="_NOV2">[4]edofza11!$C$43</definedName>
    <definedName name="_OCT1" localSheetId="5">[1]!OCT&amp;[1]!NOV&amp;[1]!DIC</definedName>
    <definedName name="_OCT1" localSheetId="6">[1]!OCT&amp;[1]!NOV&amp;[1]!DIC</definedName>
    <definedName name="_OCT1" localSheetId="2">[1]!OCT&amp;[1]!NOV&amp;[1]!DIC</definedName>
    <definedName name="_OCT1">[1]!OCT&amp;[1]!NOV&amp;[1]!DIC</definedName>
    <definedName name="_OCT2">[4]edofza10!$C$22</definedName>
    <definedName name="_Order1" hidden="1">255</definedName>
    <definedName name="_pa2" localSheetId="5" hidden="1">{"Bruto",#N/A,FALSE,"CONV3T.XLS";"Neto",#N/A,FALSE,"CONV3T.XLS";"UnoB",#N/A,FALSE,"CONV3T.XLS";"Bruto",#N/A,FALSE,"CONV4T.XLS";"Neto",#N/A,FALSE,"CONV4T.XLS";"UnoB",#N/A,FALSE,"CONV4T.XLS"}</definedName>
    <definedName name="_pa2" localSheetId="6" hidden="1">{"Bruto",#N/A,FALSE,"CONV3T.XLS";"Neto",#N/A,FALSE,"CONV3T.XLS";"UnoB",#N/A,FALSE,"CONV3T.XLS";"Bruto",#N/A,FALSE,"CONV4T.XLS";"Neto",#N/A,FALSE,"CONV4T.XLS";"UnoB",#N/A,FALSE,"CONV4T.XLS"}</definedName>
    <definedName name="_pa2" localSheetId="3" hidden="1">{"Bruto",#N/A,FALSE,"CONV3T.XLS";"Neto",#N/A,FALSE,"CONV3T.XLS";"UnoB",#N/A,FALSE,"CONV3T.XLS";"Bruto",#N/A,FALSE,"CONV4T.XLS";"Neto",#N/A,FALSE,"CONV4T.XLS";"UnoB",#N/A,FALSE,"CONV4T.XLS"}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5" hidden="1">{"Bruto",#N/A,FALSE,"CONV3T.XLS";"Neto",#N/A,FALSE,"CONV3T.XLS";"UnoB",#N/A,FALSE,"CONV3T.XLS";"Bruto",#N/A,FALSE,"CONV4T.XLS";"Neto",#N/A,FALSE,"CONV4T.XLS";"UnoB",#N/A,FALSE,"CONV4T.XLS"}</definedName>
    <definedName name="_PAJ4" localSheetId="6" hidden="1">{"Bruto",#N/A,FALSE,"CONV3T.XLS";"Neto",#N/A,FALSE,"CONV3T.XLS";"UnoB",#N/A,FALSE,"CONV3T.XLS";"Bruto",#N/A,FALSE,"CONV4T.XLS";"Neto",#N/A,FALSE,"CONV4T.XLS";"UnoB",#N/A,FALSE,"CONV4T.XLS"}</definedName>
    <definedName name="_PAJ4" localSheetId="3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5">#REF!</definedName>
    <definedName name="_PEM96" localSheetId="6">#REF!</definedName>
    <definedName name="_PEM96" localSheetId="7">#REF!</definedName>
    <definedName name="_PEM96" localSheetId="3">#REF!</definedName>
    <definedName name="_PEM96" localSheetId="1">#REF!</definedName>
    <definedName name="_PEM96" localSheetId="2">#REF!</definedName>
    <definedName name="_PEM96" localSheetId="9">#REF!</definedName>
    <definedName name="_PEM96" localSheetId="8">#REF!</definedName>
    <definedName name="_PEM96">#REF!</definedName>
    <definedName name="_PIB08" localSheetId="2">#REF!</definedName>
    <definedName name="_PIB08">#REF!</definedName>
    <definedName name="_PIP96" localSheetId="5">#REF!</definedName>
    <definedName name="_PIP96" localSheetId="6">#REF!</definedName>
    <definedName name="_PIP96" localSheetId="7">#REF!</definedName>
    <definedName name="_PIP96" localSheetId="3">#REF!</definedName>
    <definedName name="_PIP96" localSheetId="1">#REF!</definedName>
    <definedName name="_PIP96" localSheetId="2">#REF!</definedName>
    <definedName name="_PIP96" localSheetId="9">#REF!</definedName>
    <definedName name="_PIP96" localSheetId="8">#REF!</definedName>
    <definedName name="_PIP96">#REF!</definedName>
    <definedName name="_Regression_Int">1</definedName>
    <definedName name="_Regression_X" localSheetId="5" hidden="1">#REF!</definedName>
    <definedName name="_Regression_X" localSheetId="6" hidden="1">#REF!</definedName>
    <definedName name="_Regression_X" localSheetId="7" hidden="1">#REF!</definedName>
    <definedName name="_Regression_X" localSheetId="3" hidden="1">#REF!</definedName>
    <definedName name="_Regression_X" localSheetId="1" hidden="1">#REF!</definedName>
    <definedName name="_Regression_X" localSheetId="2" hidden="1">#REF!</definedName>
    <definedName name="_Regression_X" localSheetId="9" hidden="1">#REF!</definedName>
    <definedName name="_Regression_X" localSheetId="8" hidden="1">#REF!</definedName>
    <definedName name="_Regression_X" hidden="1">#REF!</definedName>
    <definedName name="_SEP1" localSheetId="5">[1]!SEP&amp;[1]!OCT&amp;[1]!NOV&amp;[1]!DIC</definedName>
    <definedName name="_SEP1" localSheetId="6">[1]!SEP&amp;[1]!OCT&amp;[1]!NOV&amp;[1]!DIC</definedName>
    <definedName name="_SEP1" localSheetId="2">[1]!SEP&amp;[1]!OCT&amp;[1]!NOV&amp;[1]!DIC</definedName>
    <definedName name="_SEP1">[1]!SEP&amp;[1]!OCT&amp;[1]!NOV&amp;[1]!DIC</definedName>
    <definedName name="_SEP2">[4]edofza9!$C$22</definedName>
    <definedName name="_smg97">'[5]Premisa macro'!$E$4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3" hidden="1">#REF!</definedName>
    <definedName name="_Sort" localSheetId="1" hidden="1">#REF!</definedName>
    <definedName name="_Sort" localSheetId="2" hidden="1">#REF!</definedName>
    <definedName name="_Sort" localSheetId="9" hidden="1">#REF!</definedName>
    <definedName name="_Sort" localSheetId="8" hidden="1">#REF!</definedName>
    <definedName name="_Sort" hidden="1">#REF!</definedName>
    <definedName name="_syt03" localSheetId="2">#REF!</definedName>
    <definedName name="_syt03">#REF!</definedName>
    <definedName name="_TDC2001">'[6]Tipos de Cambio'!$C$4</definedName>
    <definedName name="_tul2" localSheetId="5" hidden="1">{"Bruto",#N/A,FALSE,"CONV3T.XLS";"Neto",#N/A,FALSE,"CONV3T.XLS";"UnoB",#N/A,FALSE,"CONV3T.XLS";"Bruto",#N/A,FALSE,"CONV4T.XLS";"Neto",#N/A,FALSE,"CONV4T.XLS";"UnoB",#N/A,FALSE,"CONV4T.XLS"}</definedName>
    <definedName name="_tul2" localSheetId="6" hidden="1">{"Bruto",#N/A,FALSE,"CONV3T.XLS";"Neto",#N/A,FALSE,"CONV3T.XLS";"UnoB",#N/A,FALSE,"CONV3T.XLS";"Bruto",#N/A,FALSE,"CONV4T.XLS";"Neto",#N/A,FALSE,"CONV4T.XLS";"UnoB",#N/A,FALSE,"CONV4T.XLS"}</definedName>
    <definedName name="_tul2" localSheetId="3" hidden="1">{"Bruto",#N/A,FALSE,"CONV3T.XLS";"Neto",#N/A,FALSE,"CONV3T.XLS";"UnoB",#N/A,FALSE,"CONV3T.XLS";"Bruto",#N/A,FALSE,"CONV4T.XLS";"Neto",#N/A,FALSE,"CONV4T.XLS";"UnoB",#N/A,FALSE,"CONV4T.XLS"}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5" hidden="1">{"Bruto",#N/A,FALSE,"CONV3T.XLS";"Neto",#N/A,FALSE,"CONV3T.XLS";"UnoB",#N/A,FALSE,"CONV3T.XLS";"Bruto",#N/A,FALSE,"CONV4T.XLS";"Neto",#N/A,FALSE,"CONV4T.XLS";"UnoB",#N/A,FALSE,"CONV4T.XLS"}</definedName>
    <definedName name="_TUL4" localSheetId="6" hidden="1">{"Bruto",#N/A,FALSE,"CONV3T.XLS";"Neto",#N/A,FALSE,"CONV3T.XLS";"UnoB",#N/A,FALSE,"CONV3T.XLS";"Bruto",#N/A,FALSE,"CONV4T.XLS";"Neto",#N/A,FALSE,"CONV4T.XLS";"UnoB",#N/A,FALSE,"CONV4T.XLS"}</definedName>
    <definedName name="_TUL4" localSheetId="3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5" hidden="1">{"Bruto",#N/A,FALSE,"CONV3T.XLS";"Neto",#N/A,FALSE,"CONV3T.XLS";"UnoB",#N/A,FALSE,"CONV3T.XLS";"Bruto",#N/A,FALSE,"CONV4T.XLS";"Neto",#N/A,FALSE,"CONV4T.XLS";"UnoB",#N/A,FALSE,"CONV4T.XLS"}</definedName>
    <definedName name="_WRN4444" localSheetId="6" hidden="1">{"Bruto",#N/A,FALSE,"CONV3T.XLS";"Neto",#N/A,FALSE,"CONV3T.XLS";"UnoB",#N/A,FALSE,"CONV3T.XLS";"Bruto",#N/A,FALSE,"CONV4T.XLS";"Neto",#N/A,FALSE,"CONV4T.XLS";"UnoB",#N/A,FALSE,"CONV4T.XLS"}</definedName>
    <definedName name="_WRN4444" localSheetId="3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 localSheetId="6">#REF!</definedName>
    <definedName name="a" localSheetId="7">#REF!</definedName>
    <definedName name="a" localSheetId="3">#REF!</definedName>
    <definedName name="a" localSheetId="1">#REF!</definedName>
    <definedName name="a" localSheetId="2">#REF!</definedName>
    <definedName name="a" localSheetId="9">#REF!</definedName>
    <definedName name="a" localSheetId="8">#REF!</definedName>
    <definedName name="a">#REF!</definedName>
    <definedName name="A_Datos_2008_2009">'[8]Datos 2008_2009'!$A$4:$D$60000</definedName>
    <definedName name="A_Datos_2008_2009_sin_CESENyADUANAS" localSheetId="5">#REF!</definedName>
    <definedName name="A_Datos_2008_2009_sin_CESENyADUANAS" localSheetId="6">#REF!</definedName>
    <definedName name="A_Datos_2008_2009_sin_CESENyADUANAS" localSheetId="7">#REF!</definedName>
    <definedName name="A_Datos_2008_2009_sin_CESENyADUANAS" localSheetId="3">#REF!</definedName>
    <definedName name="A_Datos_2008_2009_sin_CESENyADUANAS" localSheetId="1">#REF!</definedName>
    <definedName name="A_Datos_2008_2009_sin_CESENyADUANAS" localSheetId="2">#REF!</definedName>
    <definedName name="A_Datos_2008_2009_sin_CESENyADUANAS" localSheetId="9">#REF!</definedName>
    <definedName name="A_Datos_2008_2009_sin_CESENyADUANAS" localSheetId="8">#REF!</definedName>
    <definedName name="A_Datos_2008_2009_sin_CESENyADUANAS">#REF!</definedName>
    <definedName name="A_impresión_IM" localSheetId="5">#REF!</definedName>
    <definedName name="A_impresión_IM" localSheetId="6">#REF!</definedName>
    <definedName name="A_impresión_IM" localSheetId="7">#REF!</definedName>
    <definedName name="A_impresión_IM" localSheetId="3">#REF!</definedName>
    <definedName name="A_impresión_IM" localSheetId="1">#REF!</definedName>
    <definedName name="A_impresión_IM" localSheetId="2">#REF!</definedName>
    <definedName name="A_impresión_IM" localSheetId="9">#REF!</definedName>
    <definedName name="A_impresión_IM" localSheetId="8">#REF!</definedName>
    <definedName name="A_impresión_IM">#REF!</definedName>
    <definedName name="AA" localSheetId="5">[1]!SEP&amp;[1]!OCT&amp;[1]!NOV&amp;[1]!DIC</definedName>
    <definedName name="AA" localSheetId="6">[1]!SEP&amp;[1]!OCT&amp;[1]!NOV&amp;[1]!DIC</definedName>
    <definedName name="AA" localSheetId="2">[1]!SEP&amp;[1]!OCT&amp;[1]!NOV&amp;[1]!DIC</definedName>
    <definedName name="AA">[1]!SEP&amp;[1]!OCT&amp;[1]!NOV&amp;[1]!DIC</definedName>
    <definedName name="AA1500_">#N/A</definedName>
    <definedName name="ABR">"; ABRIL.- "&amp;TEXT([9]edofza04!$C$24,"#,##0")</definedName>
    <definedName name="actual">'[5]Régimen financiero'!$E$3</definedName>
    <definedName name="AD" localSheetId="5">[7]BANPRO99!#REF!</definedName>
    <definedName name="AD" localSheetId="6">[7]BANPRO99!#REF!</definedName>
    <definedName name="AD" localSheetId="7">[7]BANPRO99!#REF!</definedName>
    <definedName name="AD" localSheetId="3">[7]BANPRO99!#REF!</definedName>
    <definedName name="AD" localSheetId="2">[7]BANPRO99!#REF!</definedName>
    <definedName name="AD" localSheetId="9">[7]BANPRO99!#REF!</definedName>
    <definedName name="AD" localSheetId="8">[7]BANPRO99!#REF!</definedName>
    <definedName name="AD">[7]BANPRO99!#REF!</definedName>
    <definedName name="Admva">[10]Administrativa!$B$2:$I$59</definedName>
    <definedName name="AGO">"; AGOSTO.- "&amp;TEXT([9]edofza08!$C$24,"#,##0")</definedName>
    <definedName name="ain" localSheetId="5">#REF!</definedName>
    <definedName name="ain" localSheetId="6">#REF!</definedName>
    <definedName name="ain" localSheetId="7">#REF!</definedName>
    <definedName name="ain" localSheetId="3">#REF!</definedName>
    <definedName name="ain" localSheetId="1">#REF!</definedName>
    <definedName name="ain" localSheetId="2">#REF!</definedName>
    <definedName name="ain" localSheetId="9">#REF!</definedName>
    <definedName name="ain" localSheetId="8">#REF!</definedName>
    <definedName name="ain">#REF!</definedName>
    <definedName name="Ajuste_SP">[11]Supuestos!$D$7</definedName>
    <definedName name="ampliaciones" localSheetId="5">#REF!</definedName>
    <definedName name="ampliaciones" localSheetId="6">#REF!</definedName>
    <definedName name="ampliaciones" localSheetId="7">#REF!</definedName>
    <definedName name="ampliaciones" localSheetId="3">#REF!</definedName>
    <definedName name="ampliaciones" localSheetId="1">#REF!</definedName>
    <definedName name="ampliaciones" localSheetId="2">#REF!</definedName>
    <definedName name="ampliaciones" localSheetId="9">#REF!</definedName>
    <definedName name="ampliaciones" localSheetId="8">#REF!</definedName>
    <definedName name="ampliaciones">#REF!</definedName>
    <definedName name="AÑO" localSheetId="5">+TEXT(IF(AND(OR(DAY([1]!FECHA)&gt;=1,DAY([1]!FECHA)&lt;=10),MONTH([1]!FECHA)=1),YEAR([1]!FECHA)-1,YEAR([1]!FECHA)),"0")</definedName>
    <definedName name="AÑO" localSheetId="6">+TEXT(IF(AND(OR(DAY([1]!FECHA)&gt;=1,DAY([1]!FECHA)&lt;=10),MONTH([1]!FECHA)=1),YEAR([1]!FECHA)-1,YEAR([1]!FECHA)),"0")</definedName>
    <definedName name="AÑO" localSheetId="2">+TEXT(IF(AND(OR(DAY([1]!FECHA)&gt;=1,DAY([1]!FECHA)&lt;=10),MONTH([1]!FECHA)=1),YEAR([1]!FECHA)-1,YEAR([1]!FECHA)),"0")</definedName>
    <definedName name="AÑO">+TEXT(IF(AND(OR(DAY([1]!FECHA)&gt;=1,DAY([1]!FECHA)&lt;=10),MONTH([1]!FECHA)=1),YEAR([1]!FECHA)-1,YEAR([1]!FECHA)),"0")</definedName>
    <definedName name="_xlnm.Print_Area" localSheetId="4">'Anexo 10 (Validación)'!$T:$AH</definedName>
    <definedName name="_xlnm.Print_Area" localSheetId="5">'Anexo 16'!$AX:$BF</definedName>
    <definedName name="_xlnm.Print_Area" localSheetId="6">'Anexo 16 (2)'!$AX:$BF</definedName>
    <definedName name="_xlnm.Print_Area" localSheetId="7">'Anexo 25 (Eliminar)'!$AB$1:$AJ$94</definedName>
    <definedName name="_xlnm.Print_Area" localSheetId="3">'Anexo 9 (SHCP)'!$A$1:$G$115</definedName>
    <definedName name="_xlnm.Print_Area" localSheetId="1">#REF!</definedName>
    <definedName name="_xlnm.Print_Area" localSheetId="2">Indigenas!$A$4:$K$31</definedName>
    <definedName name="_xlnm.Print_Area" localSheetId="9">'PEC-INDÍGENAS'!$A$8:$H$86</definedName>
    <definedName name="_xlnm.Print_Area" localSheetId="8">TD!$A$1:$H$20</definedName>
    <definedName name="_xlnm.Print_Area">#REF!</definedName>
    <definedName name="Area_de_paso" localSheetId="5">#REF!</definedName>
    <definedName name="Area_de_paso" localSheetId="6">#REF!</definedName>
    <definedName name="Area_de_paso" localSheetId="7">#REF!</definedName>
    <definedName name="Area_de_paso" localSheetId="3">#REF!</definedName>
    <definedName name="Area_de_paso" localSheetId="1">#REF!</definedName>
    <definedName name="Area_de_paso" localSheetId="2">#REF!</definedName>
    <definedName name="Area_de_paso" localSheetId="9">#REF!</definedName>
    <definedName name="Area_de_paso" localSheetId="8">#REF!</definedName>
    <definedName name="Area_de_paso">#REF!</definedName>
    <definedName name="ASIG_TEC">#N/A</definedName>
    <definedName name="ayer">'[5]Premisas IMSS'!$M$12</definedName>
    <definedName name="base" localSheetId="5">#REF!</definedName>
    <definedName name="base" localSheetId="6">#REF!</definedName>
    <definedName name="base" localSheetId="7">#REF!</definedName>
    <definedName name="base" localSheetId="3">#REF!</definedName>
    <definedName name="base" localSheetId="1">#REF!</definedName>
    <definedName name="base" localSheetId="2">#REF!</definedName>
    <definedName name="base" localSheetId="9">#REF!</definedName>
    <definedName name="base" localSheetId="8">#REF!</definedName>
    <definedName name="base">#REF!</definedName>
    <definedName name="base03" localSheetId="5">#REF!</definedName>
    <definedName name="base03" localSheetId="6">#REF!</definedName>
    <definedName name="base03" localSheetId="7">#REF!</definedName>
    <definedName name="base03" localSheetId="3">#REF!</definedName>
    <definedName name="base03" localSheetId="1">#REF!</definedName>
    <definedName name="base03" localSheetId="2">#REF!</definedName>
    <definedName name="base03" localSheetId="9">#REF!</definedName>
    <definedName name="base03" localSheetId="8">#REF!</definedName>
    <definedName name="base03">#REF!</definedName>
    <definedName name="base03au" localSheetId="5">#REF!</definedName>
    <definedName name="base03au" localSheetId="6">#REF!</definedName>
    <definedName name="base03au" localSheetId="7">#REF!</definedName>
    <definedName name="base03au" localSheetId="3">#REF!</definedName>
    <definedName name="base03au" localSheetId="1">#REF!</definedName>
    <definedName name="base03au" localSheetId="2">#REF!</definedName>
    <definedName name="base03au" localSheetId="9">#REF!</definedName>
    <definedName name="base03au" localSheetId="8">#REF!</definedName>
    <definedName name="base03au">#REF!</definedName>
    <definedName name="base04au" localSheetId="6">#REF!</definedName>
    <definedName name="base04au" localSheetId="7">#REF!</definedName>
    <definedName name="base04au" localSheetId="1">#REF!</definedName>
    <definedName name="base04au" localSheetId="2">#REF!</definedName>
    <definedName name="base04au" localSheetId="9">#REF!</definedName>
    <definedName name="base04au" localSheetId="8">#REF!</definedName>
    <definedName name="base04au">#REF!</definedName>
    <definedName name="base05" localSheetId="6">#REF!</definedName>
    <definedName name="base05" localSheetId="7">#REF!</definedName>
    <definedName name="base05" localSheetId="1">#REF!</definedName>
    <definedName name="base05" localSheetId="2">#REF!</definedName>
    <definedName name="base05" localSheetId="9">#REF!</definedName>
    <definedName name="base05" localSheetId="8">#REF!</definedName>
    <definedName name="base05">#REF!</definedName>
    <definedName name="base05au" localSheetId="6">#REF!</definedName>
    <definedName name="base05au" localSheetId="7">#REF!</definedName>
    <definedName name="base05au" localSheetId="1">#REF!</definedName>
    <definedName name="base05au" localSheetId="2">#REF!</definedName>
    <definedName name="base05au" localSheetId="9">#REF!</definedName>
    <definedName name="base05au" localSheetId="8">#REF!</definedName>
    <definedName name="base05au">#REF!</definedName>
    <definedName name="base2002" localSheetId="6">#REF!</definedName>
    <definedName name="base2002" localSheetId="7">#REF!</definedName>
    <definedName name="base2002" localSheetId="1">#REF!</definedName>
    <definedName name="base2002" localSheetId="2">#REF!</definedName>
    <definedName name="base2002" localSheetId="9">#REF!</definedName>
    <definedName name="base2002" localSheetId="8">#REF!</definedName>
    <definedName name="base2002">#REF!</definedName>
    <definedName name="base2003orig" localSheetId="6">#REF!</definedName>
    <definedName name="base2003orig" localSheetId="7">#REF!</definedName>
    <definedName name="base2003orig" localSheetId="1">#REF!</definedName>
    <definedName name="base2003orig" localSheetId="2">#REF!</definedName>
    <definedName name="base2003orig" localSheetId="9">#REF!</definedName>
    <definedName name="base2003orig" localSheetId="8">#REF!</definedName>
    <definedName name="base2003orig">#REF!</definedName>
    <definedName name="base2003origentidades" localSheetId="6">#REF!</definedName>
    <definedName name="base2003origentidades" localSheetId="7">#REF!</definedName>
    <definedName name="base2003origentidades" localSheetId="1">#REF!</definedName>
    <definedName name="base2003origentidades" localSheetId="2">#REF!</definedName>
    <definedName name="base2003origentidades" localSheetId="9">#REF!</definedName>
    <definedName name="base2003origentidades" localSheetId="8">#REF!</definedName>
    <definedName name="base2003origentidades">#REF!</definedName>
    <definedName name="base2004" localSheetId="6">#REF!</definedName>
    <definedName name="base2004" localSheetId="7">#REF!</definedName>
    <definedName name="base2004" localSheetId="1">#REF!</definedName>
    <definedName name="base2004" localSheetId="2">#REF!</definedName>
    <definedName name="base2004" localSheetId="9">#REF!</definedName>
    <definedName name="base2004" localSheetId="8">#REF!</definedName>
    <definedName name="base2004">#REF!</definedName>
    <definedName name="base2004entidades" localSheetId="6">#REF!</definedName>
    <definedName name="base2004entidades" localSheetId="7">#REF!</definedName>
    <definedName name="base2004entidades" localSheetId="1">#REF!</definedName>
    <definedName name="base2004entidades" localSheetId="2">#REF!</definedName>
    <definedName name="base2004entidades" localSheetId="9">#REF!</definedName>
    <definedName name="base2004entidades" localSheetId="8">#REF!</definedName>
    <definedName name="base2004entidades">#REF!</definedName>
    <definedName name="baseau" localSheetId="6">#REF!</definedName>
    <definedName name="baseau" localSheetId="7">#REF!</definedName>
    <definedName name="baseau" localSheetId="1">#REF!</definedName>
    <definedName name="baseau" localSheetId="2">#REF!</definedName>
    <definedName name="baseau" localSheetId="9">#REF!</definedName>
    <definedName name="baseau" localSheetId="8">#REF!</definedName>
    <definedName name="baseau">#REF!</definedName>
    <definedName name="baseb" localSheetId="6">#REF!</definedName>
    <definedName name="baseb" localSheetId="7">#REF!</definedName>
    <definedName name="baseb" localSheetId="1">#REF!</definedName>
    <definedName name="baseb" localSheetId="2">#REF!</definedName>
    <definedName name="baseb" localSheetId="9">#REF!</definedName>
    <definedName name="baseb" localSheetId="8">#REF!</definedName>
    <definedName name="baseb">#REF!</definedName>
    <definedName name="basecierre" localSheetId="6">[12]CP_2003!#REF!</definedName>
    <definedName name="basecierre" localSheetId="7">[12]CP_2003!#REF!</definedName>
    <definedName name="basecierre" localSheetId="2">[12]CP_2003!#REF!</definedName>
    <definedName name="basecierre" localSheetId="9">[12]CP_2003!#REF!</definedName>
    <definedName name="basecierre" localSheetId="8">[12]CP_2003!#REF!</definedName>
    <definedName name="basecierre">[12]CP_2003!#REF!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3">#REF!</definedName>
    <definedName name="_xlnm.Database" localSheetId="1">#REF!</definedName>
    <definedName name="_xlnm.Database" localSheetId="2">#REF!</definedName>
    <definedName name="_xlnm.Database" localSheetId="9">#REF!</definedName>
    <definedName name="_xlnm.Database" localSheetId="8">#REF!</definedName>
    <definedName name="_xlnm.Database">#REF!</definedName>
    <definedName name="bUSCAR" localSheetId="5">#REF!</definedName>
    <definedName name="bUSCAR" localSheetId="6">#REF!</definedName>
    <definedName name="bUSCAR" localSheetId="7">#REF!</definedName>
    <definedName name="bUSCAR" localSheetId="3">#REF!</definedName>
    <definedName name="bUSCAR" localSheetId="1">#REF!</definedName>
    <definedName name="bUSCAR" localSheetId="2">#REF!</definedName>
    <definedName name="bUSCAR" localSheetId="9">#REF!</definedName>
    <definedName name="bUSCAR" localSheetId="8">#REF!</definedName>
    <definedName name="bUSCAR">#REF!</definedName>
    <definedName name="C_" localSheetId="5">[13]FP1996!#REF!</definedName>
    <definedName name="C_" localSheetId="6">[13]FP1996!#REF!</definedName>
    <definedName name="C_" localSheetId="7">[13]FP1996!#REF!</definedName>
    <definedName name="C_" localSheetId="3">[13]FP1996!#REF!</definedName>
    <definedName name="C_" localSheetId="2">[13]FP1996!#REF!</definedName>
    <definedName name="C_" localSheetId="9">[13]FP1996!#REF!</definedName>
    <definedName name="C_" localSheetId="8">[13]FP1996!#REF!</definedName>
    <definedName name="C_">[13]FP1996!#REF!</definedName>
    <definedName name="cal" localSheetId="2">#REF!</definedName>
    <definedName name="cal">#REF!</definedName>
    <definedName name="cálculos" localSheetId="5">#REF!</definedName>
    <definedName name="cálculos" localSheetId="6">#REF!</definedName>
    <definedName name="cálculos" localSheetId="7">#REF!</definedName>
    <definedName name="cálculos" localSheetId="3">#REF!</definedName>
    <definedName name="cálculos" localSheetId="1">#REF!</definedName>
    <definedName name="cálculos" localSheetId="2">#REF!</definedName>
    <definedName name="cálculos" localSheetId="9">#REF!</definedName>
    <definedName name="cálculos" localSheetId="8">#REF!</definedName>
    <definedName name="cálculos">#REF!</definedName>
    <definedName name="CALENDA">#N/A</definedName>
    <definedName name="can" localSheetId="5" hidden="1">{"Bruto",#N/A,FALSE,"CONV3T.XLS";"Neto",#N/A,FALSE,"CONV3T.XLS";"UnoB",#N/A,FALSE,"CONV3T.XLS";"Bruto",#N/A,FALSE,"CONV4T.XLS";"Neto",#N/A,FALSE,"CONV4T.XLS";"UnoB",#N/A,FALSE,"CONV4T.XLS"}</definedName>
    <definedName name="can" localSheetId="6" hidden="1">{"Bruto",#N/A,FALSE,"CONV3T.XLS";"Neto",#N/A,FALSE,"CONV3T.XLS";"UnoB",#N/A,FALSE,"CONV3T.XLS";"Bruto",#N/A,FALSE,"CONV4T.XLS";"Neto",#N/A,FALSE,"CONV4T.XLS";"UnoB",#N/A,FALSE,"CONV4T.XLS"}</definedName>
    <definedName name="can" localSheetId="3" hidden="1">{"Bruto",#N/A,FALSE,"CONV3T.XLS";"Neto",#N/A,FALSE,"CONV3T.XLS";"UnoB",#N/A,FALSE,"CONV3T.XLS";"Bruto",#N/A,FALSE,"CONV4T.XLS";"Neto",#N/A,FALSE,"CONV4T.XLS";"UnoB",#N/A,FALSE,"CONV4T.XLS"}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5">#REF!</definedName>
    <definedName name="CAPU96" localSheetId="6">#REF!</definedName>
    <definedName name="CAPU96" localSheetId="7">#REF!</definedName>
    <definedName name="CAPU96" localSheetId="3">#REF!</definedName>
    <definedName name="CAPU96" localSheetId="1">#REF!</definedName>
    <definedName name="CAPU96" localSheetId="2">#REF!</definedName>
    <definedName name="CAPU96" localSheetId="9">#REF!</definedName>
    <definedName name="CAPU96" localSheetId="8">#REF!</definedName>
    <definedName name="CAPU96">#REF!</definedName>
    <definedName name="cata">[14]tablas!$A$5:$A$275</definedName>
    <definedName name="cata4">'[15]catálogo pps'!$A$2:$N$2506</definedName>
    <definedName name="CCCC" localSheetId="5" hidden="1">{"Bruto",#N/A,FALSE,"CONV3T.XLS";"Neto",#N/A,FALSE,"CONV3T.XLS";"UnoB",#N/A,FALSE,"CONV3T.XLS";"Bruto",#N/A,FALSE,"CONV4T.XLS";"Neto",#N/A,FALSE,"CONV4T.XLS";"UnoB",#N/A,FALSE,"CONV4T.XLS"}</definedName>
    <definedName name="CCCC" localSheetId="6" hidden="1">{"Bruto",#N/A,FALSE,"CONV3T.XLS";"Neto",#N/A,FALSE,"CONV3T.XLS";"UnoB",#N/A,FALSE,"CONV3T.XLS";"Bruto",#N/A,FALSE,"CONV4T.XLS";"Neto",#N/A,FALSE,"CONV4T.XLS";"UnoB",#N/A,FALSE,"CONV4T.XLS"}</definedName>
    <definedName name="CCCC" localSheetId="3" hidden="1">{"Bruto",#N/A,FALSE,"CONV3T.XLS";"Neto",#N/A,FALSE,"CONV3T.XLS";"UnoB",#N/A,FALSE,"CONV3T.XLS";"Bruto",#N/A,FALSE,"CONV4T.XLS";"Neto",#N/A,FALSE,"CONV4T.XLS";"UnoB",#N/A,FALSE,"CONV4T.XLS"}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5" hidden="1">{"Bruto",#N/A,FALSE,"CONV3T.XLS";"Neto",#N/A,FALSE,"CONV3T.XLS";"UnoB",#N/A,FALSE,"CONV3T.XLS";"Bruto",#N/A,FALSE,"CONV4T.XLS";"Neto",#N/A,FALSE,"CONV4T.XLS";"UnoB",#N/A,FALSE,"CONV4T.XLS"}</definedName>
    <definedName name="CEEE" localSheetId="6" hidden="1">{"Bruto",#N/A,FALSE,"CONV3T.XLS";"Neto",#N/A,FALSE,"CONV3T.XLS";"UnoB",#N/A,FALSE,"CONV3T.XLS";"Bruto",#N/A,FALSE,"CONV4T.XLS";"Neto",#N/A,FALSE,"CONV4T.XLS";"UnoB",#N/A,FALSE,"CONV4T.XLS"}</definedName>
    <definedName name="CEEE" localSheetId="3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5" hidden="1">{"Bruto",#N/A,FALSE,"CONV3T.XLS";"Neto",#N/A,FALSE,"CONV3T.XLS";"UnoB",#N/A,FALSE,"CONV3T.XLS";"Bruto",#N/A,FALSE,"CONV4T.XLS";"Neto",#N/A,FALSE,"CONV4T.XLS";"UnoB",#N/A,FALSE,"CONV4T.XLS"}</definedName>
    <definedName name="cero" localSheetId="6" hidden="1">{"Bruto",#N/A,FALSE,"CONV3T.XLS";"Neto",#N/A,FALSE,"CONV3T.XLS";"UnoB",#N/A,FALSE,"CONV3T.XLS";"Bruto",#N/A,FALSE,"CONV4T.XLS";"Neto",#N/A,FALSE,"CONV4T.XLS";"UnoB",#N/A,FALSE,"CONV4T.XLS"}</definedName>
    <definedName name="cero" localSheetId="3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'[16] '!$H$99:$M$143</definedName>
    <definedName name="CFEM">'[16] '!$H$51:$M$95</definedName>
    <definedName name="CFEO">'[16] '!$H$3:$M$47</definedName>
    <definedName name="CicenyAduanas" localSheetId="5">#REF!</definedName>
    <definedName name="CicenyAduanas" localSheetId="6">#REF!</definedName>
    <definedName name="CicenyAduanas" localSheetId="7">#REF!</definedName>
    <definedName name="CicenyAduanas" localSheetId="3">#REF!</definedName>
    <definedName name="CicenyAduanas" localSheetId="1">#REF!</definedName>
    <definedName name="CicenyAduanas" localSheetId="2">#REF!</definedName>
    <definedName name="CicenyAduanas" localSheetId="9">#REF!</definedName>
    <definedName name="CicenyAduanas" localSheetId="8">#REF!</definedName>
    <definedName name="CicenyAduanas">#REF!</definedName>
    <definedName name="Cifras_Control" localSheetId="5">#REF!</definedName>
    <definedName name="Cifras_Control" localSheetId="6">#REF!</definedName>
    <definedName name="Cifras_Control" localSheetId="7">#REF!</definedName>
    <definedName name="Cifras_Control" localSheetId="3">#REF!</definedName>
    <definedName name="Cifras_Control" localSheetId="1">#REF!</definedName>
    <definedName name="Cifras_Control" localSheetId="2">#REF!</definedName>
    <definedName name="Cifras_Control" localSheetId="9">#REF!</definedName>
    <definedName name="Cifras_Control" localSheetId="8">#REF!</definedName>
    <definedName name="Cifras_Control">#REF!</definedName>
    <definedName name="claseco" localSheetId="5">#REF!</definedName>
    <definedName name="claseco" localSheetId="6">#REF!</definedName>
    <definedName name="claseco" localSheetId="7">#REF!</definedName>
    <definedName name="claseco" localSheetId="3">#REF!</definedName>
    <definedName name="claseco" localSheetId="1">#REF!</definedName>
    <definedName name="claseco" localSheetId="2">#REF!</definedName>
    <definedName name="claseco" localSheetId="9">#REF!</definedName>
    <definedName name="claseco" localSheetId="8">#REF!</definedName>
    <definedName name="claseco">#REF!</definedName>
    <definedName name="cmllvc198" localSheetId="6">#REF!</definedName>
    <definedName name="cmllvc198" localSheetId="7">#REF!</definedName>
    <definedName name="cmllvc198" localSheetId="1">#REF!</definedName>
    <definedName name="cmllvc198" localSheetId="2">#REF!</definedName>
    <definedName name="cmllvc198" localSheetId="9">#REF!</definedName>
    <definedName name="cmllvc198" localSheetId="8">#REF!</definedName>
    <definedName name="cmllvc198">#REF!</definedName>
    <definedName name="cmllvc298ieps" localSheetId="6">#REF!</definedName>
    <definedName name="cmllvc298ieps" localSheetId="7">#REF!</definedName>
    <definedName name="cmllvc298ieps" localSheetId="1">#REF!</definedName>
    <definedName name="cmllvc298ieps" localSheetId="2">#REF!</definedName>
    <definedName name="cmllvc298ieps" localSheetId="9">#REF!</definedName>
    <definedName name="cmllvc298ieps" localSheetId="8">#REF!</definedName>
    <definedName name="cmllvc298ieps">#REF!</definedName>
    <definedName name="cmllvp198" localSheetId="6">#REF!</definedName>
    <definedName name="cmllvp198" localSheetId="7">#REF!</definedName>
    <definedName name="cmllvp198" localSheetId="1">#REF!</definedName>
    <definedName name="cmllvp198" localSheetId="2">#REF!</definedName>
    <definedName name="cmllvp198" localSheetId="9">#REF!</definedName>
    <definedName name="cmllvp198" localSheetId="8">#REF!</definedName>
    <definedName name="cmllvp198">#REF!</definedName>
    <definedName name="cmllvp199" localSheetId="6">#REF!</definedName>
    <definedName name="cmllvp199" localSheetId="7">#REF!</definedName>
    <definedName name="cmllvp199" localSheetId="1">#REF!</definedName>
    <definedName name="cmllvp199" localSheetId="2">#REF!</definedName>
    <definedName name="cmllvp199" localSheetId="9">#REF!</definedName>
    <definedName name="cmllvp199" localSheetId="8">#REF!</definedName>
    <definedName name="cmllvp199">#REF!</definedName>
    <definedName name="cmllvp298ieps" localSheetId="6">#REF!</definedName>
    <definedName name="cmllvp298ieps" localSheetId="7">#REF!</definedName>
    <definedName name="cmllvp298ieps" localSheetId="1">#REF!</definedName>
    <definedName name="cmllvp298ieps" localSheetId="2">#REF!</definedName>
    <definedName name="cmllvp298ieps" localSheetId="9">#REF!</definedName>
    <definedName name="cmllvp298ieps" localSheetId="8">#REF!</definedName>
    <definedName name="cmllvp298ieps">#REF!</definedName>
    <definedName name="cmllvp299ieps" localSheetId="6">#REF!</definedName>
    <definedName name="cmllvp299ieps" localSheetId="7">#REF!</definedName>
    <definedName name="cmllvp299ieps" localSheetId="1">#REF!</definedName>
    <definedName name="cmllvp299ieps" localSheetId="2">#REF!</definedName>
    <definedName name="cmllvp299ieps" localSheetId="9">#REF!</definedName>
    <definedName name="cmllvp299ieps" localSheetId="8">#REF!</definedName>
    <definedName name="cmllvp299ieps">#REF!</definedName>
    <definedName name="cmlvc198" localSheetId="6">#REF!</definedName>
    <definedName name="cmlvc198" localSheetId="7">#REF!</definedName>
    <definedName name="cmlvc198" localSheetId="1">#REF!</definedName>
    <definedName name="cmlvc198" localSheetId="2">#REF!</definedName>
    <definedName name="cmlvc198" localSheetId="9">#REF!</definedName>
    <definedName name="cmlvc198" localSheetId="8">#REF!</definedName>
    <definedName name="cmlvc198">#REF!</definedName>
    <definedName name="cmlvc298ieps" localSheetId="6">#REF!</definedName>
    <definedName name="cmlvc298ieps" localSheetId="7">#REF!</definedName>
    <definedName name="cmlvc298ieps" localSheetId="1">#REF!</definedName>
    <definedName name="cmlvc298ieps" localSheetId="2">#REF!</definedName>
    <definedName name="cmlvc298ieps" localSheetId="9">#REF!</definedName>
    <definedName name="cmlvc298ieps" localSheetId="8">#REF!</definedName>
    <definedName name="cmlvc298ieps">#REF!</definedName>
    <definedName name="cmlvp198" localSheetId="6">#REF!</definedName>
    <definedName name="cmlvp198" localSheetId="7">#REF!</definedName>
    <definedName name="cmlvp198" localSheetId="1">#REF!</definedName>
    <definedName name="cmlvp198" localSheetId="2">#REF!</definedName>
    <definedName name="cmlvp198" localSheetId="9">#REF!</definedName>
    <definedName name="cmlvp198" localSheetId="8">#REF!</definedName>
    <definedName name="cmlvp198">#REF!</definedName>
    <definedName name="cmlvp199" localSheetId="6">#REF!</definedName>
    <definedName name="cmlvp199" localSheetId="7">#REF!</definedName>
    <definedName name="cmlvp199" localSheetId="1">#REF!</definedName>
    <definedName name="cmlvp199" localSheetId="2">#REF!</definedName>
    <definedName name="cmlvp199" localSheetId="9">#REF!</definedName>
    <definedName name="cmlvp199" localSheetId="8">#REF!</definedName>
    <definedName name="cmlvp199">#REF!</definedName>
    <definedName name="cmlvp298ieps" localSheetId="6">#REF!</definedName>
    <definedName name="cmlvp298ieps" localSheetId="7">#REF!</definedName>
    <definedName name="cmlvp298ieps" localSheetId="1">#REF!</definedName>
    <definedName name="cmlvp298ieps" localSheetId="2">#REF!</definedName>
    <definedName name="cmlvp298ieps" localSheetId="9">#REF!</definedName>
    <definedName name="cmlvp298ieps" localSheetId="8">#REF!</definedName>
    <definedName name="cmlvp298ieps">#REF!</definedName>
    <definedName name="cmlvp299ieps" localSheetId="6">#REF!</definedName>
    <definedName name="cmlvp299ieps" localSheetId="7">#REF!</definedName>
    <definedName name="cmlvp299ieps" localSheetId="1">#REF!</definedName>
    <definedName name="cmlvp299ieps" localSheetId="2">#REF!</definedName>
    <definedName name="cmlvp299ieps" localSheetId="9">#REF!</definedName>
    <definedName name="cmlvp299ieps" localSheetId="8">#REF!</definedName>
    <definedName name="cmlvp299ieps">#REF!</definedName>
    <definedName name="CONA96" localSheetId="6">#REF!</definedName>
    <definedName name="CONA96" localSheetId="7">#REF!</definedName>
    <definedName name="CONA96" localSheetId="1">#REF!</definedName>
    <definedName name="CONA96" localSheetId="2">#REF!</definedName>
    <definedName name="CONA96" localSheetId="9">#REF!</definedName>
    <definedName name="CONA96" localSheetId="8">#REF!</definedName>
    <definedName name="CONA96">#REF!</definedName>
    <definedName name="concepto" localSheetId="6">'[17]BASE DEFINITIVA 2002'!#REF!</definedName>
    <definedName name="concepto" localSheetId="7">'[17]BASE DEFINITIVA 2002'!#REF!</definedName>
    <definedName name="concepto" localSheetId="2">'[17]BASE DEFINITIVA 2002'!#REF!</definedName>
    <definedName name="concepto" localSheetId="9">'[17]BASE DEFINITIVA 2002'!#REF!</definedName>
    <definedName name="concepto" localSheetId="8">'[17]BASE DEFINITIVA 2002'!#REF!</definedName>
    <definedName name="concepto">'[17]BASE DEFINITIVA 2002'!#REF!</definedName>
    <definedName name="CONS" localSheetId="6">[7]BANPRO99!#REF!</definedName>
    <definedName name="CONS" localSheetId="7">[7]BANPRO99!#REF!</definedName>
    <definedName name="CONS" localSheetId="2">[7]BANPRO99!#REF!</definedName>
    <definedName name="CONS" localSheetId="9">[7]BANPRO99!#REF!</definedName>
    <definedName name="CONS" localSheetId="8">[7]BANPRO99!#REF!</definedName>
    <definedName name="CONS">[7]BANPRO99!#REF!</definedName>
    <definedName name="copia_Clas_Admva" localSheetId="5">#REF!</definedName>
    <definedName name="copia_Clas_Admva" localSheetId="6">#REF!</definedName>
    <definedName name="copia_Clas_Admva" localSheetId="7">#REF!</definedName>
    <definedName name="copia_Clas_Admva" localSheetId="3">#REF!</definedName>
    <definedName name="copia_Clas_Admva" localSheetId="1">#REF!</definedName>
    <definedName name="copia_Clas_Admva" localSheetId="2">#REF!</definedName>
    <definedName name="copia_Clas_Admva" localSheetId="9">#REF!</definedName>
    <definedName name="copia_Clas_Admva" localSheetId="8">#REF!</definedName>
    <definedName name="copia_Clas_Admva">#REF!</definedName>
    <definedName name="copia_Clas_Econ">[18]Clas_Econ!$B$2:$M$25</definedName>
    <definedName name="copia_Clas_Fun" localSheetId="5">#REF!</definedName>
    <definedName name="copia_Clas_Fun" localSheetId="6">#REF!</definedName>
    <definedName name="copia_Clas_Fun" localSheetId="7">#REF!</definedName>
    <definedName name="copia_Clas_Fun" localSheetId="3">#REF!</definedName>
    <definedName name="copia_Clas_Fun" localSheetId="1">#REF!</definedName>
    <definedName name="copia_Clas_Fun" localSheetId="2">#REF!</definedName>
    <definedName name="copia_Clas_Fun" localSheetId="9">#REF!</definedName>
    <definedName name="copia_Clas_Fun" localSheetId="8">#REF!</definedName>
    <definedName name="copia_Clas_Fun">#REF!</definedName>
    <definedName name="copia_Clas_Func" localSheetId="5">[19]Clas_Fun!#REF!</definedName>
    <definedName name="copia_Clas_Func" localSheetId="6">[19]Clas_Fun!#REF!</definedName>
    <definedName name="copia_Clas_Func" localSheetId="7">[19]Clas_Fun!#REF!</definedName>
    <definedName name="copia_Clas_Func" localSheetId="3">[19]Clas_Fun!#REF!</definedName>
    <definedName name="copia_Clas_Func" localSheetId="2">[19]Clas_Fun!#REF!</definedName>
    <definedName name="copia_Clas_Func" localSheetId="9">[19]Clas_Fun!#REF!</definedName>
    <definedName name="copia_Clas_Func" localSheetId="8">[19]Clas_Fun!#REF!</definedName>
    <definedName name="copia_Clas_Func">[19]Clas_Fun!#REF!</definedName>
    <definedName name="copia_Doble_Consolid" localSheetId="5">#REF!</definedName>
    <definedName name="copia_Doble_Consolid" localSheetId="6">#REF!</definedName>
    <definedName name="copia_Doble_Consolid" localSheetId="7">#REF!</definedName>
    <definedName name="copia_Doble_Consolid" localSheetId="3">#REF!</definedName>
    <definedName name="copia_Doble_Consolid" localSheetId="1">#REF!</definedName>
    <definedName name="copia_Doble_Consolid" localSheetId="2">#REF!</definedName>
    <definedName name="copia_Doble_Consolid" localSheetId="9">#REF!</definedName>
    <definedName name="copia_Doble_Consolid" localSheetId="8">#REF!</definedName>
    <definedName name="copia_Doble_Consolid">#REF!</definedName>
    <definedName name="copia_Doble_OECPD" localSheetId="5">#REF!</definedName>
    <definedName name="copia_Doble_OECPD" localSheetId="6">#REF!</definedName>
    <definedName name="copia_Doble_OECPD" localSheetId="7">#REF!</definedName>
    <definedName name="copia_Doble_OECPD" localSheetId="3">#REF!</definedName>
    <definedName name="copia_Doble_OECPD" localSheetId="1">#REF!</definedName>
    <definedName name="copia_Doble_OECPD" localSheetId="2">#REF!</definedName>
    <definedName name="copia_Doble_OECPD" localSheetId="9">#REF!</definedName>
    <definedName name="copia_Doble_OECPD" localSheetId="8">#REF!</definedName>
    <definedName name="copia_Doble_OECPD">#REF!</definedName>
    <definedName name="copia_Doble_RAutonyAPC" localSheetId="5">#REF!</definedName>
    <definedName name="copia_Doble_RAutonyAPC" localSheetId="6">#REF!</definedName>
    <definedName name="copia_Doble_RAutonyAPC" localSheetId="7">#REF!</definedName>
    <definedName name="copia_Doble_RAutonyAPC" localSheetId="3">#REF!</definedName>
    <definedName name="copia_Doble_RAutonyAPC" localSheetId="1">#REF!</definedName>
    <definedName name="copia_Doble_RAutonyAPC" localSheetId="2">#REF!</definedName>
    <definedName name="copia_Doble_RAutonyAPC" localSheetId="9">#REF!</definedName>
    <definedName name="copia_Doble_RAutonyAPC" localSheetId="8">#REF!</definedName>
    <definedName name="copia_Doble_RAutonyAPC">#REF!</definedName>
    <definedName name="copia_Gto_Ents_Fed">[18]Gto_Ent_Fed!$B$39:$L$73</definedName>
    <definedName name="copia_Gto_Federal" localSheetId="5">#REF!</definedName>
    <definedName name="copia_Gto_Federal" localSheetId="6">#REF!</definedName>
    <definedName name="copia_Gto_Federal" localSheetId="7">#REF!</definedName>
    <definedName name="copia_Gto_Federal" localSheetId="3">#REF!</definedName>
    <definedName name="copia_Gto_Federal" localSheetId="1">#REF!</definedName>
    <definedName name="copia_Gto_Federal" localSheetId="2">#REF!</definedName>
    <definedName name="copia_Gto_Federal" localSheetId="9">#REF!</definedName>
    <definedName name="copia_Gto_Federal" localSheetId="8">#REF!</definedName>
    <definedName name="copia_Gto_Federal">#REF!</definedName>
    <definedName name="copia_Gto_Neto" localSheetId="5">#REF!</definedName>
    <definedName name="copia_Gto_Neto" localSheetId="6">#REF!</definedName>
    <definedName name="copia_Gto_Neto" localSheetId="7">#REF!</definedName>
    <definedName name="copia_Gto_Neto" localSheetId="3">#REF!</definedName>
    <definedName name="copia_Gto_Neto" localSheetId="1">#REF!</definedName>
    <definedName name="copia_Gto_Neto" localSheetId="2">#REF!</definedName>
    <definedName name="copia_Gto_Neto" localSheetId="9">#REF!</definedName>
    <definedName name="copia_Gto_Neto" localSheetId="8">#REF!</definedName>
    <definedName name="copia_Gto_Neto">#REF!</definedName>
    <definedName name="copia_Ing_Pres" localSheetId="5">#REF!</definedName>
    <definedName name="copia_Ing_Pres" localSheetId="6">#REF!</definedName>
    <definedName name="copia_Ing_Pres" localSheetId="7">#REF!</definedName>
    <definedName name="copia_Ing_Pres" localSheetId="3">#REF!</definedName>
    <definedName name="copia_Ing_Pres" localSheetId="1">#REF!</definedName>
    <definedName name="copia_Ing_Pres" localSheetId="2">#REF!</definedName>
    <definedName name="copia_Ing_Pres" localSheetId="9">#REF!</definedName>
    <definedName name="copia_Ing_Pres" localSheetId="8">#REF!</definedName>
    <definedName name="copia_Ing_Pres">#REF!</definedName>
    <definedName name="cor" localSheetId="5" hidden="1">{"Bruto",#N/A,FALSE,"CONV3T.XLS";"Neto",#N/A,FALSE,"CONV3T.XLS";"UnoB",#N/A,FALSE,"CONV3T.XLS";"Bruto",#N/A,FALSE,"CONV4T.XLS";"Neto",#N/A,FALSE,"CONV4T.XLS";"UnoB",#N/A,FALSE,"CONV4T.XLS"}</definedName>
    <definedName name="cor" localSheetId="6" hidden="1">{"Bruto",#N/A,FALSE,"CONV3T.XLS";"Neto",#N/A,FALSE,"CONV3T.XLS";"UnoB",#N/A,FALSE,"CONV3T.XLS";"Bruto",#N/A,FALSE,"CONV4T.XLS";"Neto",#N/A,FALSE,"CONV4T.XLS";"UnoB",#N/A,FALSE,"CONV4T.XLS"}</definedName>
    <definedName name="cor" localSheetId="3" hidden="1">{"Bruto",#N/A,FALSE,"CONV3T.XLS";"Neto",#N/A,FALSE,"CONV3T.XLS";"UnoB",#N/A,FALSE,"CONV3T.XLS";"Bruto",#N/A,FALSE,"CONV4T.XLS";"Neto",#N/A,FALSE,"CONV4T.XLS";"UnoB",#N/A,FALSE,"CONV4T.XLS"}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5" hidden="1">{"Bruto",#N/A,FALSE,"CONV3T.XLS";"Neto",#N/A,FALSE,"CONV3T.XLS";"UnoB",#N/A,FALSE,"CONV3T.XLS";"Bruto",#N/A,FALSE,"CONV4T.XLS";"Neto",#N/A,FALSE,"CONV4T.XLS";"UnoB",#N/A,FALSE,"CONV4T.XLS"}</definedName>
    <definedName name="cos" localSheetId="6" hidden="1">{"Bruto",#N/A,FALSE,"CONV3T.XLS";"Neto",#N/A,FALSE,"CONV3T.XLS";"UnoB",#N/A,FALSE,"CONV3T.XLS";"Bruto",#N/A,FALSE,"CONV4T.XLS";"Neto",#N/A,FALSE,"CONV4T.XLS";"UnoB",#N/A,FALSE,"CONV4T.XLS"}</definedName>
    <definedName name="cos" localSheetId="3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5">[7]BANPRO99!#REF!</definedName>
    <definedName name="CRI" localSheetId="6">[7]BANPRO99!#REF!</definedName>
    <definedName name="CRI" localSheetId="7">[7]BANPRO99!#REF!</definedName>
    <definedName name="CRI" localSheetId="3">[7]BANPRO99!#REF!</definedName>
    <definedName name="CRI" localSheetId="2">[7]BANPRO99!#REF!</definedName>
    <definedName name="CRI" localSheetId="9">[7]BANPRO99!#REF!</definedName>
    <definedName name="CRI" localSheetId="8">[7]BANPRO99!#REF!</definedName>
    <definedName name="CRI">[7]BANPRO99!#REF!</definedName>
    <definedName name="criterios23" localSheetId="5">#REF!</definedName>
    <definedName name="criterios23" localSheetId="6">#REF!</definedName>
    <definedName name="criterios23" localSheetId="7">#REF!</definedName>
    <definedName name="criterios23" localSheetId="3">#REF!</definedName>
    <definedName name="criterios23" localSheetId="1">#REF!</definedName>
    <definedName name="criterios23" localSheetId="2">#REF!</definedName>
    <definedName name="criterios23" localSheetId="9">#REF!</definedName>
    <definedName name="criterios23" localSheetId="8">#REF!</definedName>
    <definedName name="criterios23">#REF!</definedName>
    <definedName name="Criterios25" localSheetId="5">#REF!</definedName>
    <definedName name="Criterios25" localSheetId="6">#REF!</definedName>
    <definedName name="Criterios25" localSheetId="7">#REF!</definedName>
    <definedName name="Criterios25" localSheetId="3">#REF!</definedName>
    <definedName name="Criterios25" localSheetId="1">#REF!</definedName>
    <definedName name="Criterios25" localSheetId="2">#REF!</definedName>
    <definedName name="Criterios25" localSheetId="9">#REF!</definedName>
    <definedName name="Criterios25" localSheetId="8">#REF!</definedName>
    <definedName name="Criterios25">#REF!</definedName>
    <definedName name="Criterios33" localSheetId="5">#REF!</definedName>
    <definedName name="Criterios33" localSheetId="6">#REF!</definedName>
    <definedName name="Criterios33" localSheetId="7">#REF!</definedName>
    <definedName name="Criterios33" localSheetId="3">#REF!</definedName>
    <definedName name="Criterios33" localSheetId="1">#REF!</definedName>
    <definedName name="Criterios33" localSheetId="2">#REF!</definedName>
    <definedName name="Criterios33" localSheetId="9">#REF!</definedName>
    <definedName name="Criterios33" localSheetId="8">#REF!</definedName>
    <definedName name="Criterios33">#REF!</definedName>
    <definedName name="CSCSDS" localSheetId="5" hidden="1">{"Bruto",#N/A,FALSE,"CONV3T.XLS";"Neto",#N/A,FALSE,"CONV3T.XLS";"UnoB",#N/A,FALSE,"CONV3T.XLS";"Bruto",#N/A,FALSE,"CONV4T.XLS";"Neto",#N/A,FALSE,"CONV4T.XLS";"UnoB",#N/A,FALSE,"CONV4T.XLS"}</definedName>
    <definedName name="CSCSDS" localSheetId="6" hidden="1">{"Bruto",#N/A,FALSE,"CONV3T.XLS";"Neto",#N/A,FALSE,"CONV3T.XLS";"UnoB",#N/A,FALSE,"CONV3T.XLS";"Bruto",#N/A,FALSE,"CONV4T.XLS";"Neto",#N/A,FALSE,"CONV4T.XLS";"UnoB",#N/A,FALSE,"CONV4T.XLS"}</definedName>
    <definedName name="CSCSDS" localSheetId="3" hidden="1">{"Bruto",#N/A,FALSE,"CONV3T.XLS";"Neto",#N/A,FALSE,"CONV3T.XLS";"UnoB",#N/A,FALSE,"CONV3T.XLS";"Bruto",#N/A,FALSE,"CONV4T.XLS";"Neto",#N/A,FALSE,"CONV4T.XLS";"UnoB",#N/A,FALSE,"CONV4T.XLS"}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5">#REF!</definedName>
    <definedName name="cuad" localSheetId="6">#REF!</definedName>
    <definedName name="cuad" localSheetId="7">#REF!</definedName>
    <definedName name="cuad" localSheetId="3">#REF!</definedName>
    <definedName name="cuad" localSheetId="1">#REF!</definedName>
    <definedName name="cuad" localSheetId="2">#REF!</definedName>
    <definedName name="cuad" localSheetId="9">#REF!</definedName>
    <definedName name="cuad" localSheetId="8">#REF!</definedName>
    <definedName name="cuad">#REF!</definedName>
    <definedName name="CUAD179" localSheetId="5">#REF!</definedName>
    <definedName name="CUAD179" localSheetId="6">#REF!</definedName>
    <definedName name="CUAD179" localSheetId="7">#REF!</definedName>
    <definedName name="CUAD179" localSheetId="3">#REF!</definedName>
    <definedName name="CUAD179" localSheetId="1">#REF!</definedName>
    <definedName name="CUAD179" localSheetId="2">#REF!</definedName>
    <definedName name="CUAD179" localSheetId="9">#REF!</definedName>
    <definedName name="CUAD179" localSheetId="8">#REF!</definedName>
    <definedName name="CUAD179">#REF!</definedName>
    <definedName name="CUAD179A" localSheetId="5">#REF!</definedName>
    <definedName name="CUAD179A" localSheetId="6">#REF!</definedName>
    <definedName name="CUAD179A" localSheetId="7">#REF!</definedName>
    <definedName name="CUAD179A" localSheetId="3">#REF!</definedName>
    <definedName name="CUAD179A" localSheetId="1">#REF!</definedName>
    <definedName name="CUAD179A" localSheetId="2">#REF!</definedName>
    <definedName name="CUAD179A" localSheetId="9">#REF!</definedName>
    <definedName name="CUAD179A" localSheetId="8">#REF!</definedName>
    <definedName name="CUAD179A">#REF!</definedName>
    <definedName name="CUAD180" localSheetId="6">#REF!</definedName>
    <definedName name="CUAD180" localSheetId="7">#REF!</definedName>
    <definedName name="CUAD180" localSheetId="1">#REF!</definedName>
    <definedName name="CUAD180" localSheetId="2">#REF!</definedName>
    <definedName name="CUAD180" localSheetId="9">#REF!</definedName>
    <definedName name="CUAD180" localSheetId="8">#REF!</definedName>
    <definedName name="CUAD180">#REF!</definedName>
    <definedName name="Cuadro16511" localSheetId="6">'[20]Ingresos serie'!#REF!</definedName>
    <definedName name="Cuadro16511" localSheetId="7">'[20]Ingresos serie'!#REF!</definedName>
    <definedName name="Cuadro16511" localSheetId="2">'[20]Ingresos serie'!#REF!</definedName>
    <definedName name="Cuadro16511" localSheetId="9">'[20]Ingresos serie'!#REF!</definedName>
    <definedName name="Cuadro16511" localSheetId="8">'[20]Ingresos serie'!#REF!</definedName>
    <definedName name="Cuadro16511">'[20]Ingresos serie'!#REF!</definedName>
    <definedName name="Cuadro18521" localSheetId="5">#REF!</definedName>
    <definedName name="Cuadro18521" localSheetId="6">#REF!</definedName>
    <definedName name="Cuadro18521" localSheetId="7">#REF!</definedName>
    <definedName name="Cuadro18521" localSheetId="3">#REF!</definedName>
    <definedName name="Cuadro18521" localSheetId="1">#REF!</definedName>
    <definedName name="Cuadro18521" localSheetId="2">#REF!</definedName>
    <definedName name="Cuadro18521" localSheetId="9">#REF!</definedName>
    <definedName name="Cuadro18521" localSheetId="8">#REF!</definedName>
    <definedName name="Cuadro18521">#REF!</definedName>
    <definedName name="Cuadro19522" localSheetId="5">#REF!</definedName>
    <definedName name="Cuadro19522" localSheetId="6">#REF!</definedName>
    <definedName name="Cuadro19522" localSheetId="7">#REF!</definedName>
    <definedName name="Cuadro19522" localSheetId="3">#REF!</definedName>
    <definedName name="Cuadro19522" localSheetId="1">#REF!</definedName>
    <definedName name="Cuadro19522" localSheetId="2">#REF!</definedName>
    <definedName name="Cuadro19522" localSheetId="9">#REF!</definedName>
    <definedName name="Cuadro19522" localSheetId="8">#REF!</definedName>
    <definedName name="Cuadro19522">#REF!</definedName>
    <definedName name="Cuadro20523" localSheetId="5">'[21]20-5.2.3'!#REF!</definedName>
    <definedName name="Cuadro20523" localSheetId="6">'[21]20-5.2.3'!#REF!</definedName>
    <definedName name="Cuadro20523" localSheetId="7">'[21]20-5.2.3'!#REF!</definedName>
    <definedName name="Cuadro20523" localSheetId="3">'[21]20-5.2.3'!#REF!</definedName>
    <definedName name="Cuadro20523" localSheetId="2">'[21]20-5.2.3'!#REF!</definedName>
    <definedName name="Cuadro20523" localSheetId="9">'[21]20-5.2.3'!#REF!</definedName>
    <definedName name="Cuadro20523" localSheetId="8">'[21]20-5.2.3'!#REF!</definedName>
    <definedName name="Cuadro20523">'[21]20-5.2.3'!#REF!</definedName>
    <definedName name="cUADRO26529CR" localSheetId="5">#REF!</definedName>
    <definedName name="cUADRO26529CR" localSheetId="6">#REF!</definedName>
    <definedName name="cUADRO26529CR" localSheetId="7">#REF!</definedName>
    <definedName name="cUADRO26529CR" localSheetId="3">#REF!</definedName>
    <definedName name="cUADRO26529CR" localSheetId="1">#REF!</definedName>
    <definedName name="cUADRO26529CR" localSheetId="2">#REF!</definedName>
    <definedName name="cUADRO26529CR" localSheetId="9">#REF!</definedName>
    <definedName name="cUADRO26529CR" localSheetId="8">#REF!</definedName>
    <definedName name="cUADRO26529CR">#REF!</definedName>
    <definedName name="Cuadro30611">'[21]30-6.1.1'!$B$65:$M$120</definedName>
    <definedName name="Cuadro31613" localSheetId="5">#REF!</definedName>
    <definedName name="Cuadro31613" localSheetId="6">#REF!</definedName>
    <definedName name="Cuadro31613" localSheetId="7">#REF!</definedName>
    <definedName name="Cuadro31613" localSheetId="3">#REF!</definedName>
    <definedName name="Cuadro31613" localSheetId="1">#REF!</definedName>
    <definedName name="Cuadro31613" localSheetId="2">#REF!</definedName>
    <definedName name="Cuadro31613" localSheetId="9">#REF!</definedName>
    <definedName name="Cuadro31613" localSheetId="8">#REF!</definedName>
    <definedName name="Cuadro31613">#REF!</definedName>
    <definedName name="Cuadro33621" localSheetId="5">#REF!</definedName>
    <definedName name="Cuadro33621" localSheetId="6">#REF!</definedName>
    <definedName name="Cuadro33621" localSheetId="7">#REF!</definedName>
    <definedName name="Cuadro33621" localSheetId="3">#REF!</definedName>
    <definedName name="Cuadro33621" localSheetId="1">#REF!</definedName>
    <definedName name="Cuadro33621" localSheetId="2">#REF!</definedName>
    <definedName name="Cuadro33621" localSheetId="9">#REF!</definedName>
    <definedName name="Cuadro33621" localSheetId="8">#REF!</definedName>
    <definedName name="Cuadro33621">#REF!</definedName>
    <definedName name="cuotasem">'[5]Régimen financiero'!$E$3</definedName>
    <definedName name="DatodRamoUR">[22]DatosRamoUrEconomica!$A$1:$F$65536</definedName>
    <definedName name="Datos" localSheetId="5">#REF!</definedName>
    <definedName name="Datos" localSheetId="6">#REF!</definedName>
    <definedName name="Datos" localSheetId="7">#REF!</definedName>
    <definedName name="Datos" localSheetId="3">#REF!</definedName>
    <definedName name="Datos" localSheetId="1">#REF!</definedName>
    <definedName name="Datos" localSheetId="2">#REF!</definedName>
    <definedName name="Datos" localSheetId="9">#REF!</definedName>
    <definedName name="Datos" localSheetId="8">#REF!</definedName>
    <definedName name="Datos">#REF!</definedName>
    <definedName name="Datos_08_09_ServiciosPersonales" localSheetId="5">#REF!</definedName>
    <definedName name="Datos_08_09_ServiciosPersonales" localSheetId="6">#REF!</definedName>
    <definedName name="Datos_08_09_ServiciosPersonales" localSheetId="7">#REF!</definedName>
    <definedName name="Datos_08_09_ServiciosPersonales" localSheetId="3">#REF!</definedName>
    <definedName name="Datos_08_09_ServiciosPersonales" localSheetId="1">#REF!</definedName>
    <definedName name="Datos_08_09_ServiciosPersonales" localSheetId="2">#REF!</definedName>
    <definedName name="Datos_08_09_ServiciosPersonales" localSheetId="9">#REF!</definedName>
    <definedName name="Datos_08_09_ServiciosPersonales" localSheetId="8">#REF!</definedName>
    <definedName name="Datos_08_09_ServiciosPersonales">#REF!</definedName>
    <definedName name="Datos_CRC">[23]Hoja1!$A$5:$D$45</definedName>
    <definedName name="Datos_Servicios_Personales" localSheetId="5">#REF!</definedName>
    <definedName name="Datos_Servicios_Personales" localSheetId="6">#REF!</definedName>
    <definedName name="Datos_Servicios_Personales" localSheetId="7">#REF!</definedName>
    <definedName name="Datos_Servicios_Personales" localSheetId="3">#REF!</definedName>
    <definedName name="Datos_Servicios_Personales" localSheetId="1">#REF!</definedName>
    <definedName name="Datos_Servicios_Personales" localSheetId="2">#REF!</definedName>
    <definedName name="Datos_Servicios_Personales" localSheetId="9">#REF!</definedName>
    <definedName name="Datos_Servicios_Personales" localSheetId="8">#REF!</definedName>
    <definedName name="Datos_Servicios_Personales">#REF!</definedName>
    <definedName name="datosb" localSheetId="5">#REF!</definedName>
    <definedName name="datosb" localSheetId="6">#REF!</definedName>
    <definedName name="datosb" localSheetId="7">#REF!</definedName>
    <definedName name="datosb" localSheetId="3">#REF!</definedName>
    <definedName name="datosb" localSheetId="1">#REF!</definedName>
    <definedName name="datosb" localSheetId="2">#REF!</definedName>
    <definedName name="datosb" localSheetId="9">#REF!</definedName>
    <definedName name="datosb" localSheetId="8">#REF!</definedName>
    <definedName name="datosb">#REF!</definedName>
    <definedName name="DatosEconomica" localSheetId="5">#REF!</definedName>
    <definedName name="DatosEconomica" localSheetId="6">#REF!</definedName>
    <definedName name="DatosEconomica" localSheetId="7">#REF!</definedName>
    <definedName name="DatosEconomica" localSheetId="3">#REF!</definedName>
    <definedName name="DatosEconomica" localSheetId="1">#REF!</definedName>
    <definedName name="DatosEconomica" localSheetId="2">#REF!</definedName>
    <definedName name="DatosEconomica" localSheetId="9">#REF!</definedName>
    <definedName name="DatosEconomica" localSheetId="8">#REF!</definedName>
    <definedName name="DatosEconomica">#REF!</definedName>
    <definedName name="DatosGrupoyModPp" localSheetId="6">#REF!</definedName>
    <definedName name="DatosGrupoyModPp" localSheetId="7">#REF!</definedName>
    <definedName name="DatosGrupoyModPp" localSheetId="1">#REF!</definedName>
    <definedName name="DatosGrupoyModPp" localSheetId="2">#REF!</definedName>
    <definedName name="DatosGrupoyModPp" localSheetId="9">#REF!</definedName>
    <definedName name="DatosGrupoyModPp" localSheetId="8">#REF!</definedName>
    <definedName name="DatosGrupoyModPp">#REF!</definedName>
    <definedName name="DatosporProgPresupuestario" localSheetId="6">#REF!</definedName>
    <definedName name="DatosporProgPresupuestario" localSheetId="7">#REF!</definedName>
    <definedName name="DatosporProgPresupuestario" localSheetId="1">#REF!</definedName>
    <definedName name="DatosporProgPresupuestario" localSheetId="2">#REF!</definedName>
    <definedName name="DatosporProgPresupuestario" localSheetId="9">#REF!</definedName>
    <definedName name="DatosporProgPresupuestario" localSheetId="8">#REF!</definedName>
    <definedName name="DatosporProgPresupuestario">#REF!</definedName>
    <definedName name="DatosRamoFunción" localSheetId="6">#REF!</definedName>
    <definedName name="DatosRamoFunción" localSheetId="7">#REF!</definedName>
    <definedName name="DatosRamoFunción" localSheetId="1">#REF!</definedName>
    <definedName name="DatosRamoFunción" localSheetId="2">#REF!</definedName>
    <definedName name="DatosRamoFunción" localSheetId="9">#REF!</definedName>
    <definedName name="DatosRamoFunción" localSheetId="8">#REF!</definedName>
    <definedName name="DatosRamoFunción">#REF!</definedName>
    <definedName name="DatosRamoUR" localSheetId="6">#REF!</definedName>
    <definedName name="DatosRamoUR" localSheetId="7">#REF!</definedName>
    <definedName name="DatosRamoUR" localSheetId="1">#REF!</definedName>
    <definedName name="DatosRamoUR" localSheetId="2">#REF!</definedName>
    <definedName name="DatosRamoUR" localSheetId="9">#REF!</definedName>
    <definedName name="DatosRamoUR" localSheetId="8">#REF!</definedName>
    <definedName name="DatosRamoUR">#REF!</definedName>
    <definedName name="DCXCZXCZXCXCZ" localSheetId="5" hidden="1">{"Bruto",#N/A,FALSE,"CONV3T.XLS";"Neto",#N/A,FALSE,"CONV3T.XLS";"UnoB",#N/A,FALSE,"CONV3T.XLS";"Bruto",#N/A,FALSE,"CONV4T.XLS";"Neto",#N/A,FALSE,"CONV4T.XLS";"UnoB",#N/A,FALSE,"CONV4T.XLS"}</definedName>
    <definedName name="DCXCZXCZXCXCZ" localSheetId="6" hidden="1">{"Bruto",#N/A,FALSE,"CONV3T.XLS";"Neto",#N/A,FALSE,"CONV3T.XLS";"UnoB",#N/A,FALSE,"CONV3T.XLS";"Bruto",#N/A,FALSE,"CONV4T.XLS";"Neto",#N/A,FALSE,"CONV4T.XLS";"UnoB",#N/A,FALSE,"CONV4T.XLS"}</definedName>
    <definedName name="DCXCZXCZXCXCZ" localSheetId="3" hidden="1">{"Bruto",#N/A,FALSE,"CONV3T.XLS";"Neto",#N/A,FALSE,"CONV3T.XLS";"UnoB",#N/A,FALSE,"CONV3T.XLS";"Bruto",#N/A,FALSE,"CONV4T.XLS";"Neto",#N/A,FALSE,"CONV4T.XLS";"UnoB",#N/A,FALSE,"CONV4T.XLS"}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 localSheetId="5">[1]!AGO&amp;[1]!SEP&amp;[1]!OCT&amp;[1]!NOV&amp;[1]!DIC</definedName>
    <definedName name="ddd" localSheetId="6">[1]!AGO&amp;[1]!SEP&amp;[1]!OCT&amp;[1]!NOV&amp;[1]!DIC</definedName>
    <definedName name="ddd" localSheetId="2">[1]!AGO&amp;[1]!SEP&amp;[1]!OCT&amp;[1]!NOV&amp;[1]!DIC</definedName>
    <definedName name="ddd">[1]!AGO&amp;[1]!SEP&amp;[1]!OCT&amp;[1]!NOV&amp;[1]!DIC</definedName>
    <definedName name="dddd" localSheetId="5">#REF!</definedName>
    <definedName name="dddd" localSheetId="6">#REF!</definedName>
    <definedName name="dddd" localSheetId="7">#REF!</definedName>
    <definedName name="dddd" localSheetId="3">#REF!</definedName>
    <definedName name="dddd" localSheetId="1">#REF!</definedName>
    <definedName name="dddd" localSheetId="2">#REF!</definedName>
    <definedName name="dddd" localSheetId="9">#REF!</definedName>
    <definedName name="dddd" localSheetId="8">#REF!</definedName>
    <definedName name="dddd">#REF!</definedName>
    <definedName name="ddddd">[24]Clas_Econ!$B$2:$M$25</definedName>
    <definedName name="defi" localSheetId="5">[1]!AGO&amp;[1]!SEP&amp;[1]!OCT&amp;[1]!NOV&amp;[1]!DIC</definedName>
    <definedName name="defi" localSheetId="6">[1]!AGO&amp;[1]!SEP&amp;[1]!OCT&amp;[1]!NOV&amp;[1]!DIC</definedName>
    <definedName name="defi" localSheetId="2">[1]!AGO&amp;[1]!SEP&amp;[1]!OCT&amp;[1]!NOV&amp;[1]!DIC</definedName>
    <definedName name="defi">[1]!AGO&amp;[1]!SEP&amp;[1]!OCT&amp;[1]!NOV&amp;[1]!DIC</definedName>
    <definedName name="DEFICIT4" localSheetId="5">#REF!</definedName>
    <definedName name="DEFICIT4" localSheetId="6">#REF!</definedName>
    <definedName name="DEFICIT4" localSheetId="7">#REF!</definedName>
    <definedName name="DEFICIT4" localSheetId="3">#REF!</definedName>
    <definedName name="DEFICIT4" localSheetId="1">#REF!</definedName>
    <definedName name="DEFICIT4" localSheetId="2">#REF!</definedName>
    <definedName name="DEFICIT4" localSheetId="9">#REF!</definedName>
    <definedName name="DEFICIT4" localSheetId="8">#REF!</definedName>
    <definedName name="DEFICIT4">#REF!</definedName>
    <definedName name="dfhzsdgzsd" localSheetId="5">[1]!AGO&amp;[1]!SEP&amp;[1]!OCT&amp;[1]!NOV&amp;[1]!DIC</definedName>
    <definedName name="dfhzsdgzsd" localSheetId="6">[1]!AGO&amp;[1]!SEP&amp;[1]!OCT&amp;[1]!NOV&amp;[1]!DIC</definedName>
    <definedName name="dfhzsdgzsd" localSheetId="2">[1]!AGO&amp;[1]!SEP&amp;[1]!OCT&amp;[1]!NOV&amp;[1]!DIC</definedName>
    <definedName name="dfhzsdgzsd">[1]!AGO&amp;[1]!SEP&amp;[1]!OCT&amp;[1]!NOV&amp;[1]!DIC</definedName>
    <definedName name="DIC">"; DICIEMBRE.- "&amp;TEXT([9]edofza12!$C$24,"#,##0")</definedName>
    <definedName name="DIFERENCIAS">#N/A</definedName>
    <definedName name="direccion">'[25]ADEC II'!$B$9</definedName>
    <definedName name="directo" localSheetId="5">#REF!</definedName>
    <definedName name="directo" localSheetId="6">#REF!</definedName>
    <definedName name="directo" localSheetId="7">#REF!</definedName>
    <definedName name="directo" localSheetId="3">#REF!</definedName>
    <definedName name="directo" localSheetId="1">#REF!</definedName>
    <definedName name="directo" localSheetId="2">#REF!</definedName>
    <definedName name="directo" localSheetId="9">#REF!</definedName>
    <definedName name="directo" localSheetId="8">#REF!</definedName>
    <definedName name="directo">#REF!</definedName>
    <definedName name="directo03" localSheetId="5">#REF!</definedName>
    <definedName name="directo03" localSheetId="6">#REF!</definedName>
    <definedName name="directo03" localSheetId="7">#REF!</definedName>
    <definedName name="directo03" localSheetId="3">#REF!</definedName>
    <definedName name="directo03" localSheetId="1">#REF!</definedName>
    <definedName name="directo03" localSheetId="2">#REF!</definedName>
    <definedName name="directo03" localSheetId="9">#REF!</definedName>
    <definedName name="directo03" localSheetId="8">#REF!</definedName>
    <definedName name="directo03">#REF!</definedName>
    <definedName name="directoc03" localSheetId="5">#REF!</definedName>
    <definedName name="directoc03" localSheetId="6">#REF!</definedName>
    <definedName name="directoc03" localSheetId="7">#REF!</definedName>
    <definedName name="directoc03" localSheetId="3">#REF!</definedName>
    <definedName name="directoc03" localSheetId="1">#REF!</definedName>
    <definedName name="directoc03" localSheetId="2">#REF!</definedName>
    <definedName name="directoc03" localSheetId="9">#REF!</definedName>
    <definedName name="directoc03" localSheetId="8">#REF!</definedName>
    <definedName name="directoc03">#REF!</definedName>
    <definedName name="directoppef" localSheetId="6">#REF!</definedName>
    <definedName name="directoppef" localSheetId="7">#REF!</definedName>
    <definedName name="directoppef" localSheetId="1">#REF!</definedName>
    <definedName name="directoppef" localSheetId="2">#REF!</definedName>
    <definedName name="directoppef" localSheetId="9">#REF!</definedName>
    <definedName name="directoppef" localSheetId="8">#REF!</definedName>
    <definedName name="directoppef">#REF!</definedName>
    <definedName name="DOS" localSheetId="5" hidden="1">{"Bruto",#N/A,FALSE,"CONV3T.XLS";"Neto",#N/A,FALSE,"CONV3T.XLS";"UnoB",#N/A,FALSE,"CONV3T.XLS";"Bruto",#N/A,FALSE,"CONV4T.XLS";"Neto",#N/A,FALSE,"CONV4T.XLS";"UnoB",#N/A,FALSE,"CONV4T.XLS"}</definedName>
    <definedName name="DOS" localSheetId="6" hidden="1">{"Bruto",#N/A,FALSE,"CONV3T.XLS";"Neto",#N/A,FALSE,"CONV3T.XLS";"UnoB",#N/A,FALSE,"CONV3T.XLS";"Bruto",#N/A,FALSE,"CONV4T.XLS";"Neto",#N/A,FALSE,"CONV4T.XLS";"UnoB",#N/A,FALSE,"CONV4T.XLS"}</definedName>
    <definedName name="DOS" localSheetId="3" hidden="1">{"Bruto",#N/A,FALSE,"CONV3T.XLS";"Neto",#N/A,FALSE,"CONV3T.XLS";"UnoB",#N/A,FALSE,"CONV3T.XLS";"Bruto",#N/A,FALSE,"CONV4T.XLS";"Neto",#N/A,FALSE,"CONV4T.XLS";"UnoB",#N/A,FALSE,"CONV4T.XLS"}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5">#REF!</definedName>
    <definedName name="ECOADV" localSheetId="6">#REF!</definedName>
    <definedName name="ECOADV" localSheetId="7">#REF!</definedName>
    <definedName name="ECOADV" localSheetId="3">#REF!</definedName>
    <definedName name="ECOADV" localSheetId="1">#REF!</definedName>
    <definedName name="ECOADV" localSheetId="2">#REF!</definedName>
    <definedName name="ECOADV" localSheetId="9">#REF!</definedName>
    <definedName name="ECOADV" localSheetId="8">#REF!</definedName>
    <definedName name="ECOADV">#REF!</definedName>
    <definedName name="ECOADV1" localSheetId="5">#REF!</definedName>
    <definedName name="ECOADV1" localSheetId="6">#REF!</definedName>
    <definedName name="ECOADV1" localSheetId="7">#REF!</definedName>
    <definedName name="ECOADV1" localSheetId="3">#REF!</definedName>
    <definedName name="ECOADV1" localSheetId="1">#REF!</definedName>
    <definedName name="ECOADV1" localSheetId="2">#REF!</definedName>
    <definedName name="ECOADV1" localSheetId="9">#REF!</definedName>
    <definedName name="ECOADV1" localSheetId="8">#REF!</definedName>
    <definedName name="ECOADV1">#REF!</definedName>
    <definedName name="ECPD02">[26]ECPD!$F$2:$I$29</definedName>
    <definedName name="ECPD1">[26]ECPD!$A$2:$E$1001</definedName>
    <definedName name="ecpi" localSheetId="5">#REF!</definedName>
    <definedName name="ecpi" localSheetId="6">#REF!</definedName>
    <definedName name="ecpi" localSheetId="7">#REF!</definedName>
    <definedName name="ecpi" localSheetId="3">#REF!</definedName>
    <definedName name="ecpi" localSheetId="1">#REF!</definedName>
    <definedName name="ecpi" localSheetId="2">#REF!</definedName>
    <definedName name="ecpi" localSheetId="9">#REF!</definedName>
    <definedName name="ecpi" localSheetId="8">#REF!</definedName>
    <definedName name="ecpi">#REF!</definedName>
    <definedName name="ecpi03" localSheetId="5">#REF!</definedName>
    <definedName name="ecpi03" localSheetId="6">#REF!</definedName>
    <definedName name="ecpi03" localSheetId="7">#REF!</definedName>
    <definedName name="ecpi03" localSheetId="3">#REF!</definedName>
    <definedName name="ecpi03" localSheetId="1">#REF!</definedName>
    <definedName name="ecpi03" localSheetId="2">#REF!</definedName>
    <definedName name="ecpi03" localSheetId="9">#REF!</definedName>
    <definedName name="ecpi03" localSheetId="8">#REF!</definedName>
    <definedName name="ecpi03">#REF!</definedName>
    <definedName name="ecpic03" localSheetId="5">#REF!</definedName>
    <definedName name="ecpic03" localSheetId="6">#REF!</definedName>
    <definedName name="ecpic03" localSheetId="7">#REF!</definedName>
    <definedName name="ecpic03" localSheetId="3">#REF!</definedName>
    <definedName name="ecpic03" localSheetId="1">#REF!</definedName>
    <definedName name="ecpic03" localSheetId="2">#REF!</definedName>
    <definedName name="ecpic03" localSheetId="9">#REF!</definedName>
    <definedName name="ecpic03" localSheetId="8">#REF!</definedName>
    <definedName name="ecpic03">#REF!</definedName>
    <definedName name="ecpippef" localSheetId="6">#REF!</definedName>
    <definedName name="ecpippef" localSheetId="7">#REF!</definedName>
    <definedName name="ecpippef" localSheetId="1">#REF!</definedName>
    <definedName name="ecpippef" localSheetId="2">#REF!</definedName>
    <definedName name="ecpippef" localSheetId="9">#REF!</definedName>
    <definedName name="ecpippef" localSheetId="8">#REF!</definedName>
    <definedName name="ecpippef">#REF!</definedName>
    <definedName name="EEE" localSheetId="5" hidden="1">{"Bruto",#N/A,FALSE,"CONV3T.XLS";"Neto",#N/A,FALSE,"CONV3T.XLS";"UnoB",#N/A,FALSE,"CONV3T.XLS";"Bruto",#N/A,FALSE,"CONV4T.XLS";"Neto",#N/A,FALSE,"CONV4T.XLS";"UnoB",#N/A,FALSE,"CONV4T.XLS"}</definedName>
    <definedName name="EEE" localSheetId="6" hidden="1">{"Bruto",#N/A,FALSE,"CONV3T.XLS";"Neto",#N/A,FALSE,"CONV3T.XLS";"UnoB",#N/A,FALSE,"CONV3T.XLS";"Bruto",#N/A,FALSE,"CONV4T.XLS";"Neto",#N/A,FALSE,"CONV4T.XLS";"UnoB",#N/A,FALSE,"CONV4T.XLS"}</definedName>
    <definedName name="EEE" localSheetId="3" hidden="1">{"Bruto",#N/A,FALSE,"CONV3T.XLS";"Neto",#N/A,FALSE,"CONV3T.XLS";"UnoB",#N/A,FALSE,"CONV3T.XLS";"Bruto",#N/A,FALSE,"CONV4T.XLS";"Neto",#N/A,FALSE,"CONV4T.XLS";"UnoB",#N/A,FALSE,"CONV4T.XLS"}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5" hidden="1">{"Bruto",#N/A,FALSE,"CONV3T.XLS";"Neto",#N/A,FALSE,"CONV3T.XLS";"UnoB",#N/A,FALSE,"CONV3T.XLS";"Bruto",#N/A,FALSE,"CONV4T.XLS";"Neto",#N/A,FALSE,"CONV4T.XLS";"UnoB",#N/A,FALSE,"CONV4T.XLS"}</definedName>
    <definedName name="eeee2" localSheetId="6" hidden="1">{"Bruto",#N/A,FALSE,"CONV3T.XLS";"Neto",#N/A,FALSE,"CONV3T.XLS";"UnoB",#N/A,FALSE,"CONV3T.XLS";"Bruto",#N/A,FALSE,"CONV4T.XLS";"Neto",#N/A,FALSE,"CONV4T.XLS";"UnoB",#N/A,FALSE,"CONV4T.XLS"}</definedName>
    <definedName name="eeee2" localSheetId="3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5" hidden="1">{"Bruto",#N/A,FALSE,"CONV3T.XLS";"Neto",#N/A,FALSE,"CONV3T.XLS";"UnoB",#N/A,FALSE,"CONV3T.XLS";"Bruto",#N/A,FALSE,"CONV4T.XLS";"Neto",#N/A,FALSE,"CONV4T.XLS";"UnoB",#N/A,FALSE,"CONV4T.XLS"}</definedName>
    <definedName name="EEEEE" localSheetId="6" hidden="1">{"Bruto",#N/A,FALSE,"CONV3T.XLS";"Neto",#N/A,FALSE,"CONV3T.XLS";"UnoB",#N/A,FALSE,"CONV3T.XLS";"Bruto",#N/A,FALSE,"CONV4T.XLS";"Neto",#N/A,FALSE,"CONV4T.XLS";"UnoB",#N/A,FALSE,"CONV4T.XLS"}</definedName>
    <definedName name="EEEEE" localSheetId="3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5" hidden="1">{"Bruto",#N/A,FALSE,"CONV3T.XLS";"Neto",#N/A,FALSE,"CONV3T.XLS";"UnoB",#N/A,FALSE,"CONV3T.XLS";"Bruto",#N/A,FALSE,"CONV4T.XLS";"Neto",#N/A,FALSE,"CONV4T.XLS";"UnoB",#N/A,FALSE,"CONV4T.XLS"}</definedName>
    <definedName name="EEEEEEEEEEE" localSheetId="6" hidden="1">{"Bruto",#N/A,FALSE,"CONV3T.XLS";"Neto",#N/A,FALSE,"CONV3T.XLS";"UnoB",#N/A,FALSE,"CONV3T.XLS";"Bruto",#N/A,FALSE,"CONV4T.XLS";"Neto",#N/A,FALSE,"CONV4T.XLS";"UnoB",#N/A,FALSE,"CONV4T.XLS"}</definedName>
    <definedName name="EEEEEEEEEEE" localSheetId="3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5" hidden="1">{"Bruto",#N/A,FALSE,"CONV3T.XLS";"Neto",#N/A,FALSE,"CONV3T.XLS";"UnoB",#N/A,FALSE,"CONV3T.XLS";"Bruto",#N/A,FALSE,"CONV4T.XLS";"Neto",#N/A,FALSE,"CONV4T.XLS";"UnoB",#N/A,FALSE,"CONV4T.XLS"}</definedName>
    <definedName name="eeww" localSheetId="6" hidden="1">{"Bruto",#N/A,FALSE,"CONV3T.XLS";"Neto",#N/A,FALSE,"CONV3T.XLS";"UnoB",#N/A,FALSE,"CONV3T.XLS";"Bruto",#N/A,FALSE,"CONV4T.XLS";"Neto",#N/A,FALSE,"CONV4T.XLS";"UnoB",#N/A,FALSE,"CONV4T.XLS"}</definedName>
    <definedName name="eeww" localSheetId="3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5" hidden="1">{"Bruto",#N/A,FALSE,"CONV3T.XLS";"Neto",#N/A,FALSE,"CONV3T.XLS";"UnoB",#N/A,FALSE,"CONV3T.XLS";"Bruto",#N/A,FALSE,"CONV4T.XLS";"Neto",#N/A,FALSE,"CONV4T.XLS";"UnoB",#N/A,FALSE,"CONV4T.XLS"}</definedName>
    <definedName name="EJEMP" localSheetId="6" hidden="1">{"Bruto",#N/A,FALSE,"CONV3T.XLS";"Neto",#N/A,FALSE,"CONV3T.XLS";"UnoB",#N/A,FALSE,"CONV3T.XLS";"Bruto",#N/A,FALSE,"CONV4T.XLS";"Neto",#N/A,FALSE,"CONV4T.XLS";"UnoB",#N/A,FALSE,"CONV4T.XLS"}</definedName>
    <definedName name="EJEMP" localSheetId="3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"&amp;TEXT([9]edofza01!$C$24,"#,##0")</definedName>
    <definedName name="entidades2002" localSheetId="5">#REF!</definedName>
    <definedName name="entidades2002" localSheetId="6">#REF!</definedName>
    <definedName name="entidades2002" localSheetId="7">#REF!</definedName>
    <definedName name="entidades2002" localSheetId="3">#REF!</definedName>
    <definedName name="entidades2002" localSheetId="1">#REF!</definedName>
    <definedName name="entidades2002" localSheetId="2">#REF!</definedName>
    <definedName name="entidades2002" localSheetId="9">#REF!</definedName>
    <definedName name="entidades2002" localSheetId="8">#REF!</definedName>
    <definedName name="entidades2002">#REF!</definedName>
    <definedName name="entidadescierre2003" localSheetId="5">#REF!</definedName>
    <definedName name="entidadescierre2003" localSheetId="6">#REF!</definedName>
    <definedName name="entidadescierre2003" localSheetId="7">#REF!</definedName>
    <definedName name="entidadescierre2003" localSheetId="3">#REF!</definedName>
    <definedName name="entidadescierre2003" localSheetId="1">#REF!</definedName>
    <definedName name="entidadescierre2003" localSheetId="2">#REF!</definedName>
    <definedName name="entidadescierre2003" localSheetId="9">#REF!</definedName>
    <definedName name="entidadescierre2003" localSheetId="8">#REF!</definedName>
    <definedName name="entidadescierre2003">#REF!</definedName>
    <definedName name="esc" localSheetId="5" hidden="1">{"Bruto",#N/A,FALSE,"CONV3T.XLS";"Neto",#N/A,FALSE,"CONV3T.XLS";"UnoB",#N/A,FALSE,"CONV3T.XLS";"Bruto",#N/A,FALSE,"CONV4T.XLS";"Neto",#N/A,FALSE,"CONV4T.XLS";"UnoB",#N/A,FALSE,"CONV4T.XLS"}</definedName>
    <definedName name="esc" localSheetId="6" hidden="1">{"Bruto",#N/A,FALSE,"CONV3T.XLS";"Neto",#N/A,FALSE,"CONV3T.XLS";"UnoB",#N/A,FALSE,"CONV3T.XLS";"Bruto",#N/A,FALSE,"CONV4T.XLS";"Neto",#N/A,FALSE,"CONV4T.XLS";"UnoB",#N/A,FALSE,"CONV4T.XLS"}</definedName>
    <definedName name="esc" localSheetId="3" hidden="1">{"Bruto",#N/A,FALSE,"CONV3T.XLS";"Neto",#N/A,FALSE,"CONV3T.XLS";"UnoB",#N/A,FALSE,"CONV3T.XLS";"Bruto",#N/A,FALSE,"CONV4T.XLS";"Neto",#N/A,FALSE,"CONV4T.XLS";"UnoB",#N/A,FALSE,"CONV4T.XLS"}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5">[7]BANPRO99!#REF!</definedName>
    <definedName name="EYM" localSheetId="6">[7]BANPRO99!#REF!</definedName>
    <definedName name="EYM" localSheetId="7">[7]BANPRO99!#REF!</definedName>
    <definedName name="EYM" localSheetId="3">[7]BANPRO99!#REF!</definedName>
    <definedName name="EYM" localSheetId="2">[7]BANPRO99!#REF!</definedName>
    <definedName name="EYM" localSheetId="9">[7]BANPRO99!#REF!</definedName>
    <definedName name="EYM" localSheetId="8">[7]BANPRO99!#REF!</definedName>
    <definedName name="EYM">[7]BANPRO99!#REF!</definedName>
    <definedName name="familias" localSheetId="5">#REF!</definedName>
    <definedName name="familias" localSheetId="6">#REF!</definedName>
    <definedName name="familias" localSheetId="7">#REF!</definedName>
    <definedName name="familias" localSheetId="3">#REF!</definedName>
    <definedName name="familias" localSheetId="1">#REF!</definedName>
    <definedName name="familias" localSheetId="2">#REF!</definedName>
    <definedName name="familias" localSheetId="9">#REF!</definedName>
    <definedName name="familias" localSheetId="8">#REF!</definedName>
    <definedName name="familias">#REF!</definedName>
    <definedName name="fd" localSheetId="5">[1]!OCT&amp;[1]!NOV&amp;[1]!DIC</definedName>
    <definedName name="fd" localSheetId="6">[1]!OCT&amp;[1]!NOV&amp;[1]!DIC</definedName>
    <definedName name="fd" localSheetId="2">[1]!OCT&amp;[1]!NOV&amp;[1]!DIC</definedName>
    <definedName name="fd">[1]!OCT&amp;[1]!NOV&amp;[1]!DIC</definedName>
    <definedName name="FEB">"; FEBRERO.- "&amp;TEXT([9]edofza02!$C$24,"#,##0")</definedName>
    <definedName name="FECHA">[4]CONTROL!$A$1</definedName>
    <definedName name="federalizado" localSheetId="5">#REF!</definedName>
    <definedName name="federalizado" localSheetId="6">#REF!</definedName>
    <definedName name="federalizado" localSheetId="7">#REF!</definedName>
    <definedName name="federalizado" localSheetId="3">#REF!</definedName>
    <definedName name="federalizado" localSheetId="1">#REF!</definedName>
    <definedName name="federalizado" localSheetId="2">#REF!</definedName>
    <definedName name="federalizado" localSheetId="9">#REF!</definedName>
    <definedName name="federalizado" localSheetId="8">#REF!</definedName>
    <definedName name="federalizado">#REF!</definedName>
    <definedName name="federalizado03" localSheetId="5">#REF!</definedName>
    <definedName name="federalizado03" localSheetId="6">#REF!</definedName>
    <definedName name="federalizado03" localSheetId="7">#REF!</definedName>
    <definedName name="federalizado03" localSheetId="3">#REF!</definedName>
    <definedName name="federalizado03" localSheetId="1">#REF!</definedName>
    <definedName name="federalizado03" localSheetId="2">#REF!</definedName>
    <definedName name="federalizado03" localSheetId="9">#REF!</definedName>
    <definedName name="federalizado03" localSheetId="8">#REF!</definedName>
    <definedName name="federalizado03">#REF!</definedName>
    <definedName name="federalizadoc03" localSheetId="5">#REF!</definedName>
    <definedName name="federalizadoc03" localSheetId="6">#REF!</definedName>
    <definedName name="federalizadoc03" localSheetId="7">#REF!</definedName>
    <definedName name="federalizadoc03" localSheetId="3">#REF!</definedName>
    <definedName name="federalizadoc03" localSheetId="1">#REF!</definedName>
    <definedName name="federalizadoc03" localSheetId="2">#REF!</definedName>
    <definedName name="federalizadoc03" localSheetId="9">#REF!</definedName>
    <definedName name="federalizadoc03" localSheetId="8">#REF!</definedName>
    <definedName name="federalizadoc03">#REF!</definedName>
    <definedName name="federalizadoppef" localSheetId="6">#REF!</definedName>
    <definedName name="federalizadoppef" localSheetId="7">#REF!</definedName>
    <definedName name="federalizadoppef" localSheetId="1">#REF!</definedName>
    <definedName name="federalizadoppef" localSheetId="2">#REF!</definedName>
    <definedName name="federalizadoppef" localSheetId="9">#REF!</definedName>
    <definedName name="federalizadoppef" localSheetId="8">#REF!</definedName>
    <definedName name="federalizadoppef">#REF!</definedName>
    <definedName name="FERRO96" localSheetId="6">#REF!</definedName>
    <definedName name="FERRO96" localSheetId="7">#REF!</definedName>
    <definedName name="FERRO96" localSheetId="1">#REF!</definedName>
    <definedName name="FERRO96" localSheetId="2">#REF!</definedName>
    <definedName name="FERRO96" localSheetId="9">#REF!</definedName>
    <definedName name="FERRO96" localSheetId="8">#REF!</definedName>
    <definedName name="FERRO96">#REF!</definedName>
    <definedName name="FFSDSDSDFSDF" localSheetId="5" hidden="1">{#N/A,#N/A,FALSE,"TOT";#N/A,#N/A,FALSE,"PEP";#N/A,#N/A,FALSE,"REF";#N/A,#N/A,FALSE,"GAS";#N/A,#N/A,FALSE,"PET";#N/A,#N/A,FALSE,"COR"}</definedName>
    <definedName name="FFSDSDSDFSDF" localSheetId="6" hidden="1">{#N/A,#N/A,FALSE,"TOT";#N/A,#N/A,FALSE,"PEP";#N/A,#N/A,FALSE,"REF";#N/A,#N/A,FALSE,"GAS";#N/A,#N/A,FALSE,"PET";#N/A,#N/A,FALSE,"COR"}</definedName>
    <definedName name="FFSDSDSDFSDF" localSheetId="3" hidden="1">{#N/A,#N/A,FALSE,"TOT";#N/A,#N/A,FALSE,"PEP";#N/A,#N/A,FALSE,"REF";#N/A,#N/A,FALSE,"GAS";#N/A,#N/A,FALSE,"PET";#N/A,#N/A,FALSE,"COR"}</definedName>
    <definedName name="FFSDSDSDFSDF" localSheetId="1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5">#REF!</definedName>
    <definedName name="FORM" localSheetId="6">#REF!</definedName>
    <definedName name="FORM" localSheetId="7">#REF!</definedName>
    <definedName name="FORM" localSheetId="3">#REF!</definedName>
    <definedName name="FORM" localSheetId="1">#REF!</definedName>
    <definedName name="FORM" localSheetId="2">#REF!</definedName>
    <definedName name="FORM" localSheetId="9">#REF!</definedName>
    <definedName name="FORM" localSheetId="8">#REF!</definedName>
    <definedName name="FORM">#REF!</definedName>
    <definedName name="función" localSheetId="5">#REF!</definedName>
    <definedName name="función" localSheetId="6">#REF!</definedName>
    <definedName name="función" localSheetId="7">#REF!</definedName>
    <definedName name="función" localSheetId="3">#REF!</definedName>
    <definedName name="función" localSheetId="1">#REF!</definedName>
    <definedName name="función" localSheetId="2">#REF!</definedName>
    <definedName name="función" localSheetId="9">#REF!</definedName>
    <definedName name="función" localSheetId="8">#REF!</definedName>
    <definedName name="función">#REF!</definedName>
    <definedName name="funciones">[27]funciones!$C$2:$D$30</definedName>
    <definedName name="gf">#N/A</definedName>
    <definedName name="gfd" localSheetId="5">[1]!SEP&amp;[1]!OCT&amp;[1]!NOV&amp;[1]!DIC</definedName>
    <definedName name="gfd" localSheetId="6">[1]!SEP&amp;[1]!OCT&amp;[1]!NOV&amp;[1]!DIC</definedName>
    <definedName name="gfd" localSheetId="2">[1]!SEP&amp;[1]!OCT&amp;[1]!NOV&amp;[1]!DIC</definedName>
    <definedName name="gfd">[1]!SEP&amp;[1]!OCT&amp;[1]!NOV&amp;[1]!DIC</definedName>
    <definedName name="gfddd" localSheetId="5">+IF([1]!MES=1,'Anexo 16'!ddd,IF([1]!MES=2,'Anexo 16'!_________SEP1,IF([1]!MES=3,'Anexo 16'!_________OCT1,IF([1]!MES=4,'Anexo 16'!_________OCT1,IF([1]!MES=5,'Anexo 16'!_________NOV1,IF([1]!MES=6,[1]!DIC))))))</definedName>
    <definedName name="gfddd" localSheetId="6">+IF([1]!MES=1,'Anexo 16 (2)'!ddd,IF([1]!MES=2,'Anexo 16 (2)'!_________SEP1,IF([1]!MES=3,'Anexo 16 (2)'!_________OCT1,IF([1]!MES=4,'Anexo 16 (2)'!_________OCT1,IF([1]!MES=5,'Anexo 16 (2)'!_________NOV1,IF([1]!MES=6,[1]!DIC))))))</definedName>
    <definedName name="gfddd" localSheetId="2">+IF([1]!MES=1,[1]!ddd,IF([1]!MES=2,[1]!_________SEP1,IF([1]!MES=3,[1]!_________OCT1,IF([1]!MES=4,[1]!_________OCT1,IF([1]!MES=5,[1]!_________NOV1,IF([1]!MES=6,[1]!DIC))))))</definedName>
    <definedName name="gfddd">+IF([1]!MES=1,[1]!ddd,IF([1]!MES=2,[1]!_________SEP1,IF([1]!MES=3,[1]!_________OCT1,IF([1]!MES=4,[1]!_________OCT1,IF([1]!MES=5,[1]!_________NOV1,IF([1]!MES=6,[1]!DIC))))))</definedName>
    <definedName name="ggg" localSheetId="5">[1]!FEB&amp;[1]!MAR&amp;[1]!ABR&amp;[1]!MAY&amp;[1]!JUN&amp;[1]!JUL</definedName>
    <definedName name="ggg" localSheetId="6">[1]!FEB&amp;[1]!MAR&amp;[1]!ABR&amp;[1]!MAY&amp;[1]!JUN&amp;[1]!JUL</definedName>
    <definedName name="ggg" localSheetId="2">[1]!FEB&amp;[1]!MAR&amp;[1]!ABR&amp;[1]!MAY&amp;[1]!JUN&amp;[1]!JUL</definedName>
    <definedName name="ggg">[1]!FEB&amp;[1]!MAR&amp;[1]!ABR&amp;[1]!MAY&amp;[1]!JUN&amp;[1]!JUL</definedName>
    <definedName name="GPRG02" localSheetId="5">#REF!</definedName>
    <definedName name="GPRG02" localSheetId="6">#REF!</definedName>
    <definedName name="GPRG02" localSheetId="7">#REF!</definedName>
    <definedName name="GPRG02" localSheetId="3">#REF!</definedName>
    <definedName name="GPRG02" localSheetId="1">#REF!</definedName>
    <definedName name="GPRG02" localSheetId="2">#REF!</definedName>
    <definedName name="GPRG02" localSheetId="9">#REF!</definedName>
    <definedName name="GPRG02" localSheetId="8">#REF!</definedName>
    <definedName name="GPRG02">#REF!</definedName>
    <definedName name="GPRG03" localSheetId="5">#REF!</definedName>
    <definedName name="GPRG03" localSheetId="6">#REF!</definedName>
    <definedName name="GPRG03" localSheetId="7">#REF!</definedName>
    <definedName name="GPRG03" localSheetId="3">#REF!</definedName>
    <definedName name="GPRG03" localSheetId="1">#REF!</definedName>
    <definedName name="GPRG03" localSheetId="2">#REF!</definedName>
    <definedName name="GPRG03" localSheetId="9">#REF!</definedName>
    <definedName name="GPRG03" localSheetId="8">#REF!</definedName>
    <definedName name="GPRG03">#REF!</definedName>
    <definedName name="GPRG04" localSheetId="5">#REF!</definedName>
    <definedName name="GPRG04" localSheetId="6">#REF!</definedName>
    <definedName name="GPRG04" localSheetId="7">#REF!</definedName>
    <definedName name="GPRG04" localSheetId="3">#REF!</definedName>
    <definedName name="GPRG04" localSheetId="1">#REF!</definedName>
    <definedName name="GPRG04" localSheetId="2">#REF!</definedName>
    <definedName name="GPRG04" localSheetId="9">#REF!</definedName>
    <definedName name="GPRG04" localSheetId="8">#REF!</definedName>
    <definedName name="GPRG04">#REF!</definedName>
    <definedName name="GPRG05" localSheetId="6">#REF!</definedName>
    <definedName name="GPRG05" localSheetId="7">#REF!</definedName>
    <definedName name="GPRG05" localSheetId="1">#REF!</definedName>
    <definedName name="GPRG05" localSheetId="2">#REF!</definedName>
    <definedName name="GPRG05" localSheetId="9">#REF!</definedName>
    <definedName name="GPRG05" localSheetId="8">#REF!</definedName>
    <definedName name="GPRG05">#REF!</definedName>
    <definedName name="GPRG06" localSheetId="6">#REF!</definedName>
    <definedName name="GPRG06" localSheetId="7">#REF!</definedName>
    <definedName name="GPRG06" localSheetId="1">#REF!</definedName>
    <definedName name="GPRG06" localSheetId="2">#REF!</definedName>
    <definedName name="GPRG06" localSheetId="9">#REF!</definedName>
    <definedName name="GPRG06" localSheetId="8">#REF!</definedName>
    <definedName name="GPRG06">#REF!</definedName>
    <definedName name="GPRG07" localSheetId="6">#REF!</definedName>
    <definedName name="GPRG07" localSheetId="7">#REF!</definedName>
    <definedName name="GPRG07" localSheetId="1">#REF!</definedName>
    <definedName name="GPRG07" localSheetId="2">#REF!</definedName>
    <definedName name="GPRG07" localSheetId="9">#REF!</definedName>
    <definedName name="GPRG07" localSheetId="8">#REF!</definedName>
    <definedName name="GPRG07">#REF!</definedName>
    <definedName name="GPRG08" localSheetId="6">#REF!</definedName>
    <definedName name="GPRG08" localSheetId="7">#REF!</definedName>
    <definedName name="GPRG08" localSheetId="1">#REF!</definedName>
    <definedName name="GPRG08" localSheetId="2">#REF!</definedName>
    <definedName name="GPRG08" localSheetId="9">#REF!</definedName>
    <definedName name="GPRG08" localSheetId="8">#REF!</definedName>
    <definedName name="GPRG08">#REF!</definedName>
    <definedName name="GPRG09" localSheetId="6">#REF!</definedName>
    <definedName name="GPRG09" localSheetId="7">#REF!</definedName>
    <definedName name="GPRG09" localSheetId="1">#REF!</definedName>
    <definedName name="GPRG09" localSheetId="2">#REF!</definedName>
    <definedName name="GPRG09" localSheetId="9">#REF!</definedName>
    <definedName name="GPRG09" localSheetId="8">#REF!</definedName>
    <definedName name="GPRG09">#REF!</definedName>
    <definedName name="GPRG10" localSheetId="6">#REF!</definedName>
    <definedName name="GPRG10" localSheetId="7">#REF!</definedName>
    <definedName name="GPRG10" localSheetId="1">#REF!</definedName>
    <definedName name="GPRG10" localSheetId="2">#REF!</definedName>
    <definedName name="GPRG10" localSheetId="9">#REF!</definedName>
    <definedName name="GPRG10" localSheetId="8">#REF!</definedName>
    <definedName name="GPRG10">#REF!</definedName>
    <definedName name="GPRG11" localSheetId="6">#REF!</definedName>
    <definedName name="GPRG11" localSheetId="7">#REF!</definedName>
    <definedName name="GPRG11" localSheetId="1">#REF!</definedName>
    <definedName name="GPRG11" localSheetId="2">#REF!</definedName>
    <definedName name="GPRG11" localSheetId="9">#REF!</definedName>
    <definedName name="GPRG11" localSheetId="8">#REF!</definedName>
    <definedName name="GPRG11">#REF!</definedName>
    <definedName name="GPS" localSheetId="6">[7]BANPRO99!#REF!</definedName>
    <definedName name="GPS" localSheetId="7">[7]BANPRO99!#REF!</definedName>
    <definedName name="GPS" localSheetId="2">[7]BANPRO99!#REF!</definedName>
    <definedName name="GPS" localSheetId="9">[7]BANPRO99!#REF!</definedName>
    <definedName name="GPS" localSheetId="8">[7]BANPRO99!#REF!</definedName>
    <definedName name="GPS">[7]BANPRO99!#REF!</definedName>
    <definedName name="GTtoNoProgRamos">'[28]GP Ramos'!$A$1:$N$11204</definedName>
    <definedName name="HABERES">#N/A</definedName>
    <definedName name="HJK" localSheetId="5">[1]!ABR&amp;[1]!MAY&amp;[1]!JUN&amp;[1]!JUL&amp;[1]!AGO&amp;[1]!SEP</definedName>
    <definedName name="HJK" localSheetId="6">[1]!ABR&amp;[1]!MAY&amp;[1]!JUN&amp;[1]!JUL&amp;[1]!AGO&amp;[1]!SEP</definedName>
    <definedName name="HJK" localSheetId="2">[1]!ABR&amp;[1]!MAY&amp;[1]!JUN&amp;[1]!JUL&amp;[1]!AGO&amp;[1]!SEP</definedName>
    <definedName name="HJK">[1]!ABR&amp;[1]!MAY&amp;[1]!JUN&amp;[1]!JUL&amp;[1]!AGO&amp;[1]!SEP</definedName>
    <definedName name="hoja1" localSheetId="5">#REF!</definedName>
    <definedName name="hoja1" localSheetId="6">#REF!</definedName>
    <definedName name="hoja1" localSheetId="7">#REF!</definedName>
    <definedName name="hoja1" localSheetId="3">#REF!</definedName>
    <definedName name="hoja1" localSheetId="1">#REF!</definedName>
    <definedName name="hoja1" localSheetId="2">#REF!</definedName>
    <definedName name="hoja1" localSheetId="9">#REF!</definedName>
    <definedName name="hoja1" localSheetId="8">#REF!</definedName>
    <definedName name="hoja1">#REF!</definedName>
    <definedName name="hoja2" localSheetId="5">#REF!</definedName>
    <definedName name="hoja2" localSheetId="6">#REF!</definedName>
    <definedName name="hoja2" localSheetId="7">#REF!</definedName>
    <definedName name="hoja2" localSheetId="3">#REF!</definedName>
    <definedName name="hoja2" localSheetId="1">#REF!</definedName>
    <definedName name="hoja2" localSheetId="2">#REF!</definedName>
    <definedName name="hoja2" localSheetId="9">#REF!</definedName>
    <definedName name="hoja2" localSheetId="8">#REF!</definedName>
    <definedName name="hoja2">#REF!</definedName>
    <definedName name="hoja3" localSheetId="5">#REF!</definedName>
    <definedName name="hoja3" localSheetId="6">#REF!</definedName>
    <definedName name="hoja3" localSheetId="7">#REF!</definedName>
    <definedName name="hoja3" localSheetId="3">#REF!</definedName>
    <definedName name="hoja3" localSheetId="1">#REF!</definedName>
    <definedName name="hoja3" localSheetId="2">#REF!</definedName>
    <definedName name="hoja3" localSheetId="9">#REF!</definedName>
    <definedName name="hoja3" localSheetId="8">#REF!</definedName>
    <definedName name="hoja3">#REF!</definedName>
    <definedName name="hoja4" localSheetId="5">#REF!+#REF!</definedName>
    <definedName name="hoja4" localSheetId="6">#REF!+#REF!</definedName>
    <definedName name="hoja4" localSheetId="7">#REF!+#REF!</definedName>
    <definedName name="hoja4" localSheetId="3">#REF!+#REF!</definedName>
    <definedName name="hoja4" localSheetId="1">#REF!+#REF!</definedName>
    <definedName name="hoja4" localSheetId="2">#REF!+#REF!</definedName>
    <definedName name="hoja4" localSheetId="9">#REF!+#REF!</definedName>
    <definedName name="hoja4" localSheetId="8">#REF!+#REF!</definedName>
    <definedName name="hoja4">#REF!+#REF!</definedName>
    <definedName name="HT_1" localSheetId="6">#REF!</definedName>
    <definedName name="HT_1" localSheetId="7">#REF!</definedName>
    <definedName name="HT_1" localSheetId="1">#REF!</definedName>
    <definedName name="HT_1" localSheetId="2">#REF!</definedName>
    <definedName name="HT_1" localSheetId="9">#REF!</definedName>
    <definedName name="HT_1" localSheetId="8">#REF!</definedName>
    <definedName name="HT_1">#REF!</definedName>
    <definedName name="I" localSheetId="6">#REF!</definedName>
    <definedName name="I" localSheetId="7">#REF!</definedName>
    <definedName name="I" localSheetId="1">#REF!</definedName>
    <definedName name="I" localSheetId="2">#REF!</definedName>
    <definedName name="I" localSheetId="9">#REF!</definedName>
    <definedName name="I" localSheetId="8">#REF!</definedName>
    <definedName name="I">#REF!</definedName>
    <definedName name="iii" localSheetId="6">#REF!</definedName>
    <definedName name="iii" localSheetId="7">#REF!</definedName>
    <definedName name="iii" localSheetId="1">#REF!</definedName>
    <definedName name="iii" localSheetId="2">#REF!</definedName>
    <definedName name="iii" localSheetId="9">#REF!</definedName>
    <definedName name="iii" localSheetId="8">#REF!</definedName>
    <definedName name="iii">#REF!</definedName>
    <definedName name="IMP_APORTA" localSheetId="6">#REF!</definedName>
    <definedName name="IMP_APORTA" localSheetId="7">#REF!</definedName>
    <definedName name="IMP_APORTA" localSheetId="1">#REF!</definedName>
    <definedName name="IMP_APORTA" localSheetId="2">#REF!</definedName>
    <definedName name="IMP_APORTA" localSheetId="9">#REF!</definedName>
    <definedName name="IMP_APORTA" localSheetId="8">#REF!</definedName>
    <definedName name="IMP_APORTA">#REF!</definedName>
    <definedName name="IMP_BRUTOT" localSheetId="6">#REF!</definedName>
    <definedName name="IMP_BRUTOT" localSheetId="7">#REF!</definedName>
    <definedName name="IMP_BRUTOT" localSheetId="1">#REF!</definedName>
    <definedName name="IMP_BRUTOT" localSheetId="2">#REF!</definedName>
    <definedName name="IMP_BRUTOT" localSheetId="9">#REF!</definedName>
    <definedName name="IMP_BRUTOT" localSheetId="8">#REF!</definedName>
    <definedName name="IMP_BRUTOT">#REF!</definedName>
    <definedName name="imp_control" localSheetId="6">#REF!</definedName>
    <definedName name="imp_control" localSheetId="7">#REF!</definedName>
    <definedName name="imp_control" localSheetId="1">#REF!</definedName>
    <definedName name="imp_control" localSheetId="2">#REF!</definedName>
    <definedName name="imp_control" localSheetId="9">#REF!</definedName>
    <definedName name="imp_control" localSheetId="8">#REF!</definedName>
    <definedName name="imp_control">#REF!</definedName>
    <definedName name="Imprimir_área_IM" localSheetId="6">#REF!</definedName>
    <definedName name="Imprimir_área_IM" localSheetId="7">#REF!</definedName>
    <definedName name="Imprimir_área_IM" localSheetId="1">#REF!</definedName>
    <definedName name="Imprimir_área_IM" localSheetId="2">#REF!</definedName>
    <definedName name="Imprimir_área_IM" localSheetId="9">#REF!</definedName>
    <definedName name="Imprimir_área_IM" localSheetId="8">#REF!</definedName>
    <definedName name="Imprimir_área_IM">#REF!</definedName>
    <definedName name="IMSS96" localSheetId="6">#REF!</definedName>
    <definedName name="IMSS96" localSheetId="7">#REF!</definedName>
    <definedName name="IMSS96" localSheetId="1">#REF!</definedName>
    <definedName name="IMSS96" localSheetId="2">#REF!</definedName>
    <definedName name="IMSS96" localSheetId="9">#REF!</definedName>
    <definedName name="IMSS96" localSheetId="8">#REF!</definedName>
    <definedName name="IMSS96">#REF!</definedName>
    <definedName name="IMSSE">'[16] '!$Z$99:$AE$143</definedName>
    <definedName name="IMSSM">'[16] '!$Z$51:$AE$95</definedName>
    <definedName name="IMSSO">'[16] '!$Z$3:$AE$47</definedName>
    <definedName name="ISSSTE96" localSheetId="5">#REF!</definedName>
    <definedName name="ISSSTE96" localSheetId="6">#REF!</definedName>
    <definedName name="ISSSTE96" localSheetId="7">#REF!</definedName>
    <definedName name="ISSSTE96" localSheetId="3">#REF!</definedName>
    <definedName name="ISSSTE96" localSheetId="1">#REF!</definedName>
    <definedName name="ISSSTE96" localSheetId="2">#REF!</definedName>
    <definedName name="ISSSTE96" localSheetId="9">#REF!</definedName>
    <definedName name="ISSSTE96" localSheetId="8">#REF!</definedName>
    <definedName name="ISSSTE96">#REF!</definedName>
    <definedName name="ISSSTEE">'[16] '!$T$99:$Y$143</definedName>
    <definedName name="ISSSTEM">'[16] '!$T$51:$Y$95</definedName>
    <definedName name="ISSSTEO">'[16] '!$T$3:$Y$47</definedName>
    <definedName name="IV" localSheetId="5">[7]BANPRO99!#REF!</definedName>
    <definedName name="IV" localSheetId="6">[7]BANPRO99!#REF!</definedName>
    <definedName name="IV" localSheetId="7">[7]BANPRO99!#REF!</definedName>
    <definedName name="IV" localSheetId="3">[7]BANPRO99!#REF!</definedName>
    <definedName name="IV" localSheetId="2">[7]BANPRO99!#REF!</definedName>
    <definedName name="IV" localSheetId="9">[7]BANPRO99!#REF!</definedName>
    <definedName name="IV" localSheetId="8">[7]BANPRO99!#REF!</definedName>
    <definedName name="IV">[7]BANPRO99!#REF!</definedName>
    <definedName name="jjj" localSheetId="5">#REF!</definedName>
    <definedName name="jjj" localSheetId="6">#REF!</definedName>
    <definedName name="jjj" localSheetId="7">#REF!</definedName>
    <definedName name="jjj" localSheetId="3">#REF!</definedName>
    <definedName name="jjj" localSheetId="1">#REF!</definedName>
    <definedName name="jjj" localSheetId="2">#REF!</definedName>
    <definedName name="jjj" localSheetId="9">#REF!</definedName>
    <definedName name="jjj" localSheetId="8">#REF!</definedName>
    <definedName name="jjj">#REF!</definedName>
    <definedName name="JUL">"; JULIO.- "&amp;TEXT([9]edofza07!$C$24,"#,##0")</definedName>
    <definedName name="JULIO" localSheetId="5">[1]!FEB&amp;[1]!MAR&amp;[1]!ABR&amp;[1]!MAY&amp;[1]!JUN&amp;[1]!JUL</definedName>
    <definedName name="JULIO" localSheetId="6">[1]!FEB&amp;[1]!MAR&amp;[1]!ABR&amp;[1]!MAY&amp;[1]!JUN&amp;[1]!JUL</definedName>
    <definedName name="JULIO" localSheetId="2">[1]!FEB&amp;[1]!MAR&amp;[1]!ABR&amp;[1]!MAY&amp;[1]!JUN&amp;[1]!JUL</definedName>
    <definedName name="JULIO">[1]!FEB&amp;[1]!MAR&amp;[1]!ABR&amp;[1]!MAY&amp;[1]!JUN&amp;[1]!JUL</definedName>
    <definedName name="JUN">"; JUNIO.- "&amp;TEXT([9]edofza06!$C$24,"#,##0")</definedName>
    <definedName name="kkk" localSheetId="5">#REF!</definedName>
    <definedName name="kkk" localSheetId="6">#REF!</definedName>
    <definedName name="kkk" localSheetId="7">#REF!</definedName>
    <definedName name="kkk" localSheetId="3">#REF!</definedName>
    <definedName name="kkk" localSheetId="1">#REF!</definedName>
    <definedName name="kkk" localSheetId="2">#REF!</definedName>
    <definedName name="kkk" localSheetId="9">#REF!</definedName>
    <definedName name="kkk" localSheetId="8">#REF!</definedName>
    <definedName name="kkk">#REF!</definedName>
    <definedName name="lfc" localSheetId="5">+TEXT(IF(AND(OR(DAY([1]!FECHA)&gt;=1,DAY([1]!FECHA)&lt;=10),MONTH([1]!FECHA)=1),YEAR([1]!FECHA)-1,YEAR([1]!FECHA)),"0")</definedName>
    <definedName name="lfc" localSheetId="6">+TEXT(IF(AND(OR(DAY([1]!FECHA)&gt;=1,DAY([1]!FECHA)&lt;=10),MONTH([1]!FECHA)=1),YEAR([1]!FECHA)-1,YEAR([1]!FECHA)),"0")</definedName>
    <definedName name="lfc" localSheetId="2">+TEXT(IF(AND(OR(DAY([1]!FECHA)&gt;=1,DAY([1]!FECHA)&lt;=10),MONTH([1]!FECHA)=1),YEAR([1]!FECHA)-1,YEAR([1]!FECHA)),"0")</definedName>
    <definedName name="lfc">+TEXT(IF(AND(OR(DAY([1]!FECHA)&gt;=1,DAY([1]!FECHA)&lt;=10),MONTH([1]!FECHA)=1),YEAR([1]!FECHA)-1,YEAR([1]!FECHA)),"0")</definedName>
    <definedName name="LFCE">'[16] '!$N$99:$S$143</definedName>
    <definedName name="LFCM">'[16] '!$N$51:$S$95</definedName>
    <definedName name="LFCO">'[16] '!$N$3:$S$47</definedName>
    <definedName name="lll" localSheetId="5">[1]!OCT&amp;[1]!NOV&amp;[1]!DIC</definedName>
    <definedName name="lll" localSheetId="6">[1]!OCT&amp;[1]!NOV&amp;[1]!DIC</definedName>
    <definedName name="lll" localSheetId="2">[1]!OCT&amp;[1]!NOV&amp;[1]!DIC</definedName>
    <definedName name="lll">[1]!OCT&amp;[1]!NOV&amp;[1]!DIC</definedName>
    <definedName name="LOTE96" localSheetId="5">#REF!</definedName>
    <definedName name="LOTE96" localSheetId="6">#REF!</definedName>
    <definedName name="LOTE96" localSheetId="7">#REF!</definedName>
    <definedName name="LOTE96" localSheetId="3">#REF!</definedName>
    <definedName name="LOTE96" localSheetId="1">#REF!</definedName>
    <definedName name="LOTE96" localSheetId="2">#REF!</definedName>
    <definedName name="LOTE96" localSheetId="9">#REF!</definedName>
    <definedName name="LOTE96" localSheetId="8">#REF!</definedName>
    <definedName name="LOTE96">#REF!</definedName>
    <definedName name="LUCY">#N/A</definedName>
    <definedName name="LYFC96" localSheetId="5">#REF!</definedName>
    <definedName name="LYFC96" localSheetId="6">#REF!</definedName>
    <definedName name="LYFC96" localSheetId="7">#REF!</definedName>
    <definedName name="LYFC96" localSheetId="3">#REF!</definedName>
    <definedName name="LYFC96" localSheetId="1">#REF!</definedName>
    <definedName name="LYFC96" localSheetId="2">#REF!</definedName>
    <definedName name="LYFC96" localSheetId="9">#REF!</definedName>
    <definedName name="LYFC96" localSheetId="8">#REF!</definedName>
    <definedName name="LYFC96">#REF!</definedName>
    <definedName name="m" localSheetId="5">[1]!MAR&amp;[1]!ABR&amp;[1]!MAY&amp;[1]!JUN&amp;[1]!JUL&amp;[1]!AGO</definedName>
    <definedName name="m" localSheetId="6">[1]!MAR&amp;[1]!ABR&amp;[1]!MAY&amp;[1]!JUN&amp;[1]!JUL&amp;[1]!AGO</definedName>
    <definedName name="m" localSheetId="2">[1]!MAR&amp;[1]!ABR&amp;[1]!MAY&amp;[1]!JUN&amp;[1]!JUL&amp;[1]!AGO</definedName>
    <definedName name="m">[1]!MAR&amp;[1]!ABR&amp;[1]!MAY&amp;[1]!JUN&amp;[1]!JUL&amp;[1]!AGO</definedName>
    <definedName name="mamá">'[5]Premisas IMSS'!$M$14</definedName>
    <definedName name="maña">'[5]Premisas IMSS'!$M$13</definedName>
    <definedName name="MAR">"; MARZO.- "&amp;TEXT([9]edofza03!$C$24,"#,##0")</definedName>
    <definedName name="MARI">#N/A</definedName>
    <definedName name="MAS" localSheetId="5" hidden="1">{"Bruto",#N/A,FALSE,"CONV3T.XLS";"Neto",#N/A,FALSE,"CONV3T.XLS";"UnoB",#N/A,FALSE,"CONV3T.XLS";"Bruto",#N/A,FALSE,"CONV4T.XLS";"Neto",#N/A,FALSE,"CONV4T.XLS";"UnoB",#N/A,FALSE,"CONV4T.XLS"}</definedName>
    <definedName name="MAS" localSheetId="6" hidden="1">{"Bruto",#N/A,FALSE,"CONV3T.XLS";"Neto",#N/A,FALSE,"CONV3T.XLS";"UnoB",#N/A,FALSE,"CONV3T.XLS";"Bruto",#N/A,FALSE,"CONV4T.XLS";"Neto",#N/A,FALSE,"CONV4T.XLS";"UnoB",#N/A,FALSE,"CONV4T.XLS"}</definedName>
    <definedName name="MAS" localSheetId="3" hidden="1">{"Bruto",#N/A,FALSE,"CONV3T.XLS";"Neto",#N/A,FALSE,"CONV3T.XLS";"UnoB",#N/A,FALSE,"CONV3T.XLS";"Bruto",#N/A,FALSE,"CONV4T.XLS";"Neto",#N/A,FALSE,"CONV4T.XLS";"UnoB",#N/A,FALSE,"CONV4T.XLS"}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"&amp;TEXT([9]edofza05!$C$24,"#,##0")</definedName>
    <definedName name="MES">[9]Hoja1!$A$3</definedName>
    <definedName name="METAS" localSheetId="6">[7]BANPRO99!#REF!</definedName>
    <definedName name="METAS" localSheetId="7">[7]BANPRO99!#REF!</definedName>
    <definedName name="METAS" localSheetId="2">[7]BANPRO99!#REF!</definedName>
    <definedName name="METAS" localSheetId="9">[7]BANPRO99!#REF!</definedName>
    <definedName name="METAS" localSheetId="8">[7]BANPRO99!#REF!</definedName>
    <definedName name="METAS">[7]BANPRO99!#REF!</definedName>
    <definedName name="Modif00" localSheetId="5">#REF!</definedName>
    <definedName name="Modif00" localSheetId="6">#REF!</definedName>
    <definedName name="Modif00" localSheetId="7">#REF!</definedName>
    <definedName name="Modif00" localSheetId="3">#REF!</definedName>
    <definedName name="Modif00" localSheetId="1">#REF!</definedName>
    <definedName name="Modif00" localSheetId="2">#REF!</definedName>
    <definedName name="Modif00" localSheetId="9">#REF!</definedName>
    <definedName name="Modif00" localSheetId="8">#REF!</definedName>
    <definedName name="Modif00">#REF!</definedName>
    <definedName name="mor" localSheetId="5" hidden="1">{"Bruto",#N/A,FALSE,"CONV3T.XLS";"Neto",#N/A,FALSE,"CONV3T.XLS";"UnoB",#N/A,FALSE,"CONV3T.XLS";"Bruto",#N/A,FALSE,"CONV4T.XLS";"Neto",#N/A,FALSE,"CONV4T.XLS";"UnoB",#N/A,FALSE,"CONV4T.XLS"}</definedName>
    <definedName name="mor" localSheetId="6" hidden="1">{"Bruto",#N/A,FALSE,"CONV3T.XLS";"Neto",#N/A,FALSE,"CONV3T.XLS";"UnoB",#N/A,FALSE,"CONV3T.XLS";"Bruto",#N/A,FALSE,"CONV4T.XLS";"Neto",#N/A,FALSE,"CONV4T.XLS";"UnoB",#N/A,FALSE,"CONV4T.XLS"}</definedName>
    <definedName name="mor" localSheetId="3" hidden="1">{"Bruto",#N/A,FALSE,"CONV3T.XLS";"Neto",#N/A,FALSE,"CONV3T.XLS";"UnoB",#N/A,FALSE,"CONV3T.XLS";"Bruto",#N/A,FALSE,"CONV4T.XLS";"Neto",#N/A,FALSE,"CONV4T.XLS";"UnoB",#N/A,FALSE,"CONV4T.XLS"}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'[5]Premisas IMSS'!$M$15</definedName>
    <definedName name="mun" localSheetId="5">[1]!ABR&amp;[1]!MAY&amp;[1]!JUN&amp;[1]!JUL&amp;[1]!AGO&amp;[1]!SEP</definedName>
    <definedName name="mun" localSheetId="6">[1]!ABR&amp;[1]!MAY&amp;[1]!JUN&amp;[1]!JUL&amp;[1]!AGO&amp;[1]!SEP</definedName>
    <definedName name="mun" localSheetId="2">[1]!ABR&amp;[1]!MAY&amp;[1]!JUN&amp;[1]!JUL&amp;[1]!AGO&amp;[1]!SEP</definedName>
    <definedName name="mun">[1]!ABR&amp;[1]!MAY&amp;[1]!JUN&amp;[1]!JUL&amp;[1]!AGO&amp;[1]!SEP</definedName>
    <definedName name="NINGUNO" localSheetId="5">[1]!SEP&amp;[1]!OCT&amp;[1]!NOV&amp;[1]!DIC</definedName>
    <definedName name="NINGUNO" localSheetId="6">[1]!SEP&amp;[1]!OCT&amp;[1]!NOV&amp;[1]!DIC</definedName>
    <definedName name="NINGUNO" localSheetId="2">[1]!SEP&amp;[1]!OCT&amp;[1]!NOV&amp;[1]!DIC</definedName>
    <definedName name="NINGUNO">[1]!SEP&amp;[1]!OCT&amp;[1]!NOV&amp;[1]!DIC</definedName>
    <definedName name="NIV">#N/A</definedName>
    <definedName name="NOV">"; NOVIEMBRE.- "&amp;TEXT([9]edofza11!$C$45,"#,##0")</definedName>
    <definedName name="nuevo" localSheetId="5" hidden="1">#REF!</definedName>
    <definedName name="nuevo" localSheetId="6" hidden="1">#REF!</definedName>
    <definedName name="nuevo" localSheetId="7" hidden="1">#REF!</definedName>
    <definedName name="nuevo" localSheetId="3" hidden="1">#REF!</definedName>
    <definedName name="nuevo" localSheetId="1" hidden="1">#REF!</definedName>
    <definedName name="nuevo" localSheetId="2" hidden="1">#REF!</definedName>
    <definedName name="nuevo" localSheetId="9" hidden="1">#REF!</definedName>
    <definedName name="nuevo" localSheetId="8" hidden="1">#REF!</definedName>
    <definedName name="nuevo" hidden="1">#REF!</definedName>
    <definedName name="ñ" localSheetId="5">+TEXT(IF(AND(OR(DAY([1]!FECHA)&gt;=1,DAY([1]!FECHA)&lt;=10),MONTH([1]!FECHA)=1),YEAR([1]!FECHA)-1,YEAR([1]!FECHA)),"0")</definedName>
    <definedName name="ñ" localSheetId="6">+TEXT(IF(AND(OR(DAY([1]!FECHA)&gt;=1,DAY([1]!FECHA)&lt;=10),MONTH([1]!FECHA)=1),YEAR([1]!FECHA)-1,YEAR([1]!FECHA)),"0")</definedName>
    <definedName name="ñ" localSheetId="2">+TEXT(IF(AND(OR(DAY([1]!FECHA)&gt;=1,DAY([1]!FECHA)&lt;=10),MONTH([1]!FECHA)=1),YEAR([1]!FECHA)-1,YEAR([1]!FECHA)),"0")</definedName>
    <definedName name="ñ">+TEXT(IF(AND(OR(DAY([1]!FECHA)&gt;=1,DAY([1]!FECHA)&lt;=10),MONTH([1]!FECHA)=1),YEAR([1]!FECHA)-1,YEAR([1]!FECHA)),"0")</definedName>
    <definedName name="ÑÑÑ" localSheetId="5">[1]!AGO&amp;[1]!SEP&amp;[1]!OCT&amp;[1]!NOV&amp;[1]!DIC</definedName>
    <definedName name="ÑÑÑ" localSheetId="6">[1]!AGO&amp;[1]!SEP&amp;[1]!OCT&amp;[1]!NOV&amp;[1]!DIC</definedName>
    <definedName name="ÑÑÑ" localSheetId="2">[1]!AGO&amp;[1]!SEP&amp;[1]!OCT&amp;[1]!NOV&amp;[1]!DIC</definedName>
    <definedName name="ÑÑÑ">[1]!AGO&amp;[1]!SEP&amp;[1]!OCT&amp;[1]!NOV&amp;[1]!DIC</definedName>
    <definedName name="OBRA_DEF">#N/A</definedName>
    <definedName name="OCT">"; OCTUBRE.- "&amp;TEXT([9]edofza10!$C$24,"#,##0")</definedName>
    <definedName name="oic">[29]oics!$C$2:$D$21</definedName>
    <definedName name="oooo" localSheetId="5">#REF!</definedName>
    <definedName name="oooo" localSheetId="6">#REF!</definedName>
    <definedName name="oooo" localSheetId="7">#REF!</definedName>
    <definedName name="oooo" localSheetId="3">#REF!</definedName>
    <definedName name="oooo" localSheetId="1">#REF!</definedName>
    <definedName name="oooo" localSheetId="2">#REF!</definedName>
    <definedName name="oooo" localSheetId="9">#REF!</definedName>
    <definedName name="oooo" localSheetId="8">#REF!</definedName>
    <definedName name="oooo">#REF!</definedName>
    <definedName name="p" localSheetId="5">[30]SPC!#REF!</definedName>
    <definedName name="p" localSheetId="6">[30]SPC!#REF!</definedName>
    <definedName name="p" localSheetId="7">[30]SPC!#REF!</definedName>
    <definedName name="p" localSheetId="3">[30]SPC!#REF!</definedName>
    <definedName name="p" localSheetId="2">[30]SPC!#REF!</definedName>
    <definedName name="p" localSheetId="9">[30]SPC!#REF!</definedName>
    <definedName name="p" localSheetId="8">[30]SPC!#REF!</definedName>
    <definedName name="p">[30]SPC!#REF!</definedName>
    <definedName name="PAD" localSheetId="5">[7]BANPRO99!#REF!</definedName>
    <definedName name="PAD" localSheetId="6">[7]BANPRO99!#REF!</definedName>
    <definedName name="PAD" localSheetId="7">[7]BANPRO99!#REF!</definedName>
    <definedName name="PAD" localSheetId="3">[7]BANPRO99!#REF!</definedName>
    <definedName name="PAD" localSheetId="2">[7]BANPRO99!#REF!</definedName>
    <definedName name="PAD" localSheetId="9">[7]BANPRO99!#REF!</definedName>
    <definedName name="PAD" localSheetId="8">[7]BANPRO99!#REF!</definedName>
    <definedName name="PAD">[7]BANPRO99!#REF!</definedName>
    <definedName name="paj" localSheetId="5" hidden="1">{"Bruto",#N/A,FALSE,"CONV3T.XLS";"Neto",#N/A,FALSE,"CONV3T.XLS";"UnoB",#N/A,FALSE,"CONV3T.XLS";"Bruto",#N/A,FALSE,"CONV4T.XLS";"Neto",#N/A,FALSE,"CONV4T.XLS";"UnoB",#N/A,FALSE,"CONV4T.XLS"}</definedName>
    <definedName name="paj" localSheetId="6" hidden="1">{"Bruto",#N/A,FALSE,"CONV3T.XLS";"Neto",#N/A,FALSE,"CONV3T.XLS";"UnoB",#N/A,FALSE,"CONV3T.XLS";"Bruto",#N/A,FALSE,"CONV4T.XLS";"Neto",#N/A,FALSE,"CONV4T.XLS";"UnoB",#N/A,FALSE,"CONV4T.XLS"}</definedName>
    <definedName name="paj" localSheetId="3" hidden="1">{"Bruto",#N/A,FALSE,"CONV3T.XLS";"Neto",#N/A,FALSE,"CONV3T.XLS";"UnoB",#N/A,FALSE,"CONV3T.XLS";"Bruto",#N/A,FALSE,"CONV4T.XLS";"Neto",#N/A,FALSE,"CONV4T.XLS";"UnoB",#N/A,FALSE,"CONV4T.XLS"}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'[5]Premisas IMSS'!$M$15</definedName>
    <definedName name="PARTE" localSheetId="5">#REF!</definedName>
    <definedName name="PARTE" localSheetId="6">#REF!</definedName>
    <definedName name="PARTE" localSheetId="7">#REF!</definedName>
    <definedName name="PARTE" localSheetId="3">#REF!</definedName>
    <definedName name="PARTE" localSheetId="1">#REF!</definedName>
    <definedName name="PARTE" localSheetId="2">#REF!</definedName>
    <definedName name="PARTE" localSheetId="9">#REF!</definedName>
    <definedName name="PARTE" localSheetId="8">#REF!</definedName>
    <definedName name="PARTE">#REF!</definedName>
    <definedName name="PCONS" localSheetId="5">[7]BANPRO99!#REF!</definedName>
    <definedName name="PCONS" localSheetId="6">[7]BANPRO99!#REF!</definedName>
    <definedName name="PCONS" localSheetId="7">[7]BANPRO99!#REF!</definedName>
    <definedName name="PCONS" localSheetId="3">[7]BANPRO99!#REF!</definedName>
    <definedName name="PCONS" localSheetId="2">[7]BANPRO99!#REF!</definedName>
    <definedName name="PCONS" localSheetId="9">[7]BANPRO99!#REF!</definedName>
    <definedName name="PCONS" localSheetId="8">[7]BANPRO99!#REF!</definedName>
    <definedName name="PCONS">[7]BANPRO99!#REF!</definedName>
    <definedName name="pec" localSheetId="5">#REF!</definedName>
    <definedName name="pec" localSheetId="6">#REF!</definedName>
    <definedName name="pec" localSheetId="7">#REF!</definedName>
    <definedName name="pec" localSheetId="3">#REF!</definedName>
    <definedName name="pec" localSheetId="1">#REF!</definedName>
    <definedName name="pec" localSheetId="2">#REF!</definedName>
    <definedName name="pec" localSheetId="9">#REF!</definedName>
    <definedName name="pec" localSheetId="8">#REF!</definedName>
    <definedName name="pec">#REF!</definedName>
    <definedName name="pef" localSheetId="5">#REF!</definedName>
    <definedName name="pef" localSheetId="6">#REF!</definedName>
    <definedName name="pef" localSheetId="7">#REF!</definedName>
    <definedName name="pef" localSheetId="3">#REF!</definedName>
    <definedName name="pef" localSheetId="1">#REF!</definedName>
    <definedName name="pef" localSheetId="2">#REF!</definedName>
    <definedName name="pef" localSheetId="9">#REF!</definedName>
    <definedName name="pef" localSheetId="8">#REF!</definedName>
    <definedName name="pef">#REF!</definedName>
    <definedName name="PEMEXE">'[16] '!$B$99:$G$143</definedName>
    <definedName name="PEMEXM">'[16] '!$B$51:$G$95</definedName>
    <definedName name="PEMEXO">'[16]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5">[7]BANPRO99!#REF!</definedName>
    <definedName name="PEyM" localSheetId="6">[7]BANPRO99!#REF!</definedName>
    <definedName name="PEyM" localSheetId="7">[7]BANPRO99!#REF!</definedName>
    <definedName name="PEyM" localSheetId="3">[7]BANPRO99!#REF!</definedName>
    <definedName name="PEyM" localSheetId="2">[7]BANPRO99!#REF!</definedName>
    <definedName name="PEyM" localSheetId="9">[7]BANPRO99!#REF!</definedName>
    <definedName name="PEyM" localSheetId="8">[7]BANPRO99!#REF!</definedName>
    <definedName name="PEyM">[7]BANPRO99!#REF!</definedName>
    <definedName name="PGPS" localSheetId="5">[7]BANPRO99!#REF!</definedName>
    <definedName name="PGPS" localSheetId="6">[7]BANPRO99!#REF!</definedName>
    <definedName name="PGPS" localSheetId="7">[7]BANPRO99!#REF!</definedName>
    <definedName name="PGPS" localSheetId="3">[7]BANPRO99!#REF!</definedName>
    <definedName name="PGPS" localSheetId="2">[7]BANPRO99!#REF!</definedName>
    <definedName name="PGPS" localSheetId="9">[7]BANPRO99!#REF!</definedName>
    <definedName name="PGPS" localSheetId="8">[7]BANPRO99!#REF!</definedName>
    <definedName name="PGPS">[7]BANPRO99!#REF!</definedName>
    <definedName name="PIBR" localSheetId="5">#REF!</definedName>
    <definedName name="PIBR" localSheetId="6">#REF!</definedName>
    <definedName name="PIBR" localSheetId="7">#REF!</definedName>
    <definedName name="PIBR" localSheetId="3">#REF!</definedName>
    <definedName name="PIBR" localSheetId="1">#REF!</definedName>
    <definedName name="PIBR" localSheetId="2">#REF!</definedName>
    <definedName name="PIBR" localSheetId="9">#REF!</definedName>
    <definedName name="PIBR" localSheetId="8">#REF!</definedName>
    <definedName name="PIBR">#REF!</definedName>
    <definedName name="PIV" localSheetId="5">[7]BANPRO99!#REF!</definedName>
    <definedName name="PIV" localSheetId="6">[7]BANPRO99!#REF!</definedName>
    <definedName name="PIV" localSheetId="7">[7]BANPRO99!#REF!</definedName>
    <definedName name="PIV" localSheetId="3">[7]BANPRO99!#REF!</definedName>
    <definedName name="PIV" localSheetId="2">[7]BANPRO99!#REF!</definedName>
    <definedName name="PIV" localSheetId="9">[7]BANPRO99!#REF!</definedName>
    <definedName name="PIV" localSheetId="8">[7]BANPRO99!#REF!</definedName>
    <definedName name="PIV">[7]BANPRO99!#REF!</definedName>
    <definedName name="PLAZAS">#N/A</definedName>
    <definedName name="PLAZAS2">#N/A</definedName>
    <definedName name="POA" localSheetId="5">[1]!OCT&amp;[1]!NOV&amp;[1]!DIC</definedName>
    <definedName name="POA" localSheetId="6">[1]!OCT&amp;[1]!NOV&amp;[1]!DIC</definedName>
    <definedName name="POA" localSheetId="2">[1]!OCT&amp;[1]!NOV&amp;[1]!DIC</definedName>
    <definedName name="POA">[1]!OCT&amp;[1]!NOV&amp;[1]!DIC</definedName>
    <definedName name="POADO7" localSheetId="5">[1]!JUL&amp;[1]!AGO&amp;[1]!SEP&amp;[1]!OCT&amp;[1]!NOV</definedName>
    <definedName name="POADO7" localSheetId="6">[1]!JUL&amp;[1]!AGO&amp;[1]!SEP&amp;[1]!OCT&amp;[1]!NOV</definedName>
    <definedName name="POADO7" localSheetId="2">[1]!JUL&amp;[1]!AGO&amp;[1]!SEP&amp;[1]!OCT&amp;[1]!NOV</definedName>
    <definedName name="POADO7">[1]!JUL&amp;[1]!AGO&amp;[1]!SEP&amp;[1]!OCT&amp;[1]!NOV</definedName>
    <definedName name="porcentaje" localSheetId="5">'[17]BASE DEFINITIVA 2002'!#REF!</definedName>
    <definedName name="porcentaje" localSheetId="6">'[17]BASE DEFINITIVA 2002'!#REF!</definedName>
    <definedName name="porcentaje" localSheetId="7">'[17]BASE DEFINITIVA 2002'!#REF!</definedName>
    <definedName name="porcentaje" localSheetId="3">'[17]BASE DEFINITIVA 2002'!#REF!</definedName>
    <definedName name="porcentaje" localSheetId="2">'[17]BASE DEFINITIVA 2002'!#REF!</definedName>
    <definedName name="porcentaje" localSheetId="9">'[17]BASE DEFINITIVA 2002'!#REF!</definedName>
    <definedName name="porcentaje" localSheetId="8">'[17]BASE DEFINITIVA 2002'!#REF!</definedName>
    <definedName name="porcentaje">'[17]BASE DEFINITIVA 2002'!#REF!</definedName>
    <definedName name="PP">[29]pps!$I$10:$J$1730</definedName>
    <definedName name="pppp" localSheetId="5">#REF!</definedName>
    <definedName name="pppp" localSheetId="6">#REF!</definedName>
    <definedName name="pppp" localSheetId="7">#REF!</definedName>
    <definedName name="pppp" localSheetId="3">#REF!</definedName>
    <definedName name="pppp" localSheetId="1">#REF!</definedName>
    <definedName name="pppp" localSheetId="2">#REF!</definedName>
    <definedName name="pppp" localSheetId="9">#REF!</definedName>
    <definedName name="pppp" localSheetId="8">#REF!</definedName>
    <definedName name="pppp">#REF!</definedName>
    <definedName name="PRCV" localSheetId="5">[7]BANPRO99!#REF!</definedName>
    <definedName name="PRCV" localSheetId="6">[7]BANPRO99!#REF!</definedName>
    <definedName name="PRCV" localSheetId="7">[7]BANPRO99!#REF!</definedName>
    <definedName name="PRCV" localSheetId="3">[7]BANPRO99!#REF!</definedName>
    <definedName name="PRCV" localSheetId="2">[7]BANPRO99!#REF!</definedName>
    <definedName name="PRCV" localSheetId="9">[7]BANPRO99!#REF!</definedName>
    <definedName name="PRCV" localSheetId="8">[7]BANPRO99!#REF!</definedName>
    <definedName name="PRCV">[7]BANPRO99!#REF!</definedName>
    <definedName name="PRESUPUESTO_1997" localSheetId="5">#REF!</definedName>
    <definedName name="PRESUPUESTO_1997" localSheetId="6">#REF!</definedName>
    <definedName name="PRESUPUESTO_1997" localSheetId="7">#REF!</definedName>
    <definedName name="PRESUPUESTO_1997" localSheetId="3">#REF!</definedName>
    <definedName name="PRESUPUESTO_1997" localSheetId="1">#REF!</definedName>
    <definedName name="PRESUPUESTO_1997" localSheetId="2">#REF!</definedName>
    <definedName name="PRESUPUESTO_1997" localSheetId="9">#REF!</definedName>
    <definedName name="PRESUPUESTO_1997" localSheetId="8">#REF!</definedName>
    <definedName name="PRESUPUESTO_1997">#REF!</definedName>
    <definedName name="PRIMAPS">#N/A</definedName>
    <definedName name="Print_Area_MI" localSheetId="5">[13]FP1996!#REF!</definedName>
    <definedName name="Print_Area_MI" localSheetId="6">[13]FP1996!#REF!</definedName>
    <definedName name="Print_Area_MI" localSheetId="7">[13]FP1996!#REF!</definedName>
    <definedName name="Print_Area_MI" localSheetId="3">[13]FP1996!#REF!</definedName>
    <definedName name="Print_Area_MI" localSheetId="2">[13]FP1996!#REF!</definedName>
    <definedName name="Print_Area_MI" localSheetId="9">[13]FP1996!#REF!</definedName>
    <definedName name="Print_Area_MI" localSheetId="8">[13]FP1996!#REF!</definedName>
    <definedName name="Print_Area_MI">[13]FP1996!#REF!</definedName>
    <definedName name="prior">'[31]sal 2'!$A$26:$AD$548</definedName>
    <definedName name="Prioritarios" localSheetId="5">#REF!</definedName>
    <definedName name="Prioritarios" localSheetId="6">#REF!</definedName>
    <definedName name="Prioritarios" localSheetId="7">#REF!</definedName>
    <definedName name="Prioritarios" localSheetId="3">#REF!</definedName>
    <definedName name="Prioritarios" localSheetId="1">#REF!</definedName>
    <definedName name="Prioritarios" localSheetId="2">#REF!</definedName>
    <definedName name="Prioritarios" localSheetId="9">#REF!</definedName>
    <definedName name="Prioritarios" localSheetId="8">#REF!</definedName>
    <definedName name="Prioritarios">#REF!</definedName>
    <definedName name="programas" localSheetId="5">#REF!</definedName>
    <definedName name="programas" localSheetId="6">#REF!</definedName>
    <definedName name="programas" localSheetId="7">#REF!</definedName>
    <definedName name="programas" localSheetId="3">#REF!</definedName>
    <definedName name="programas" localSheetId="1">#REF!</definedName>
    <definedName name="programas" localSheetId="2">#REF!</definedName>
    <definedName name="programas" localSheetId="9">#REF!</definedName>
    <definedName name="programas" localSheetId="8">#REF!</definedName>
    <definedName name="programas">#REF!</definedName>
    <definedName name="PROY1">#N/A</definedName>
    <definedName name="PROY2" localSheetId="5">+IF([1]!MES=7,'Anexo 16'!_________AGO1,IF([1]!MES=8,'Anexo 16'!_________SEP1,IF([1]!MES=9,'Anexo 16'!_________OCT1,IF([1]!MES=10,'Anexo 16'!_________NOV1,IF([1]!MES=11,[1]!DIC)))))</definedName>
    <definedName name="PROY2" localSheetId="6">+IF([1]!MES=7,'Anexo 16 (2)'!_________AGO1,IF([1]!MES=8,'Anexo 16 (2)'!_________SEP1,IF([1]!MES=9,'Anexo 16 (2)'!_________OCT1,IF([1]!MES=10,'Anexo 16 (2)'!_________NOV1,IF([1]!MES=11,[1]!DIC)))))</definedName>
    <definedName name="PROY2" localSheetId="2">+IF([1]!MES=7,[1]!_________AGO1,IF([1]!MES=8,[1]!_________SEP1,IF([1]!MES=9,[1]!_________OCT1,IF([1]!MES=10,[1]!_________NOV1,IF([1]!MES=11,[1]!DIC)))))</definedName>
    <definedName name="PROY2">+IF([1]!MES=7,[1]!_________AGO1,IF([1]!MES=8,[1]!_________SEP1,IF([1]!MES=9,[1]!_________OCT1,IF([1]!MES=10,[1]!_________NOV1,IF([1]!MES=11,[1]!DIC)))))</definedName>
    <definedName name="PROY3" localSheetId="5">+IF([1]!MES=1,'Anexo 16'!_________AGO1,IF([1]!MES=2,'Anexo 16'!_________SEP1,IF([1]!MES=3,'Anexo 16'!_________OCT1,IF([1]!MES=4,'Anexo 16'!_________OCT1,IF([1]!MES=5,'Anexo 16'!_________NOV1,IF([1]!MES=6,[1]!DIC))))))</definedName>
    <definedName name="PROY3" localSheetId="6">+IF([1]!MES=1,'Anexo 16 (2)'!_________AGO1,IF([1]!MES=2,'Anexo 16 (2)'!_________SEP1,IF([1]!MES=3,'Anexo 16 (2)'!_________OCT1,IF([1]!MES=4,'Anexo 16 (2)'!_________OCT1,IF([1]!MES=5,'Anexo 16 (2)'!_________NOV1,IF([1]!MES=6,[1]!DIC))))))</definedName>
    <definedName name="PROY3" localSheetId="2">+IF([1]!MES=1,[1]!_________AGO1,IF([1]!MES=2,[1]!_________SEP1,IF([1]!MES=3,[1]!_________OCT1,IF([1]!MES=4,[1]!_________OCT1,IF([1]!MES=5,[1]!_________NOV1,IF([1]!MES=6,[1]!DIC))))))</definedName>
    <definedName name="PROY3">+IF([1]!MES=1,[1]!_________AGO1,IF([1]!MES=2,[1]!_________SEP1,IF([1]!MES=3,[1]!_________OCT1,IF([1]!MES=4,[1]!_________OCT1,IF([1]!MES=5,[1]!_________NOV1,IF([1]!MES=6,[1]!DIC))))))</definedName>
    <definedName name="PRT" localSheetId="5">[7]BANPRO99!#REF!</definedName>
    <definedName name="PRT" localSheetId="6">[7]BANPRO99!#REF!</definedName>
    <definedName name="PRT" localSheetId="7">[7]BANPRO99!#REF!</definedName>
    <definedName name="PRT" localSheetId="3">[7]BANPRO99!#REF!</definedName>
    <definedName name="PRT" localSheetId="2">[7]BANPRO99!#REF!</definedName>
    <definedName name="PRT" localSheetId="9">[7]BANPRO99!#REF!</definedName>
    <definedName name="PRT" localSheetId="8">[7]BANPRO99!#REF!</definedName>
    <definedName name="PRT">[7]BANPRO99!#REF!</definedName>
    <definedName name="PSF" localSheetId="5">[7]BANPRO99!#REF!</definedName>
    <definedName name="PSF" localSheetId="6">[7]BANPRO99!#REF!</definedName>
    <definedName name="PSF" localSheetId="7">[7]BANPRO99!#REF!</definedName>
    <definedName name="PSF" localSheetId="3">[7]BANPRO99!#REF!</definedName>
    <definedName name="PSF" localSheetId="2">[7]BANPRO99!#REF!</definedName>
    <definedName name="PSF" localSheetId="9">[7]BANPRO99!#REF!</definedName>
    <definedName name="PSF" localSheetId="8">[7]BANPRO99!#REF!</definedName>
    <definedName name="PSF">[7]BANPRO99!#REF!</definedName>
    <definedName name="pta" localSheetId="5">#REF!</definedName>
    <definedName name="pta" localSheetId="6">#REF!</definedName>
    <definedName name="pta" localSheetId="7">#REF!</definedName>
    <definedName name="pta" localSheetId="3">#REF!</definedName>
    <definedName name="pta" localSheetId="1">#REF!</definedName>
    <definedName name="pta" localSheetId="2">#REF!</definedName>
    <definedName name="pta" localSheetId="9">#REF!</definedName>
    <definedName name="pta" localSheetId="8">#REF!</definedName>
    <definedName name="pta">#REF!</definedName>
    <definedName name="ptb" localSheetId="5">#REF!</definedName>
    <definedName name="ptb" localSheetId="6">#REF!</definedName>
    <definedName name="ptb" localSheetId="7">#REF!</definedName>
    <definedName name="ptb" localSheetId="3">#REF!</definedName>
    <definedName name="ptb" localSheetId="1">#REF!</definedName>
    <definedName name="ptb" localSheetId="2">#REF!</definedName>
    <definedName name="ptb" localSheetId="9">#REF!</definedName>
    <definedName name="ptb" localSheetId="8">#REF!</definedName>
    <definedName name="ptb">#REF!</definedName>
    <definedName name="ptc" localSheetId="5">#REF!</definedName>
    <definedName name="ptc" localSheetId="6">#REF!</definedName>
    <definedName name="ptc" localSheetId="7">#REF!</definedName>
    <definedName name="ptc" localSheetId="3">#REF!</definedName>
    <definedName name="ptc" localSheetId="1">#REF!</definedName>
    <definedName name="ptc" localSheetId="2">#REF!</definedName>
    <definedName name="ptc" localSheetId="9">#REF!</definedName>
    <definedName name="ptc" localSheetId="8">#REF!</definedName>
    <definedName name="ptc">#REF!</definedName>
    <definedName name="ptd" localSheetId="6">#REF!</definedName>
    <definedName name="ptd" localSheetId="7">#REF!</definedName>
    <definedName name="ptd" localSheetId="1">#REF!</definedName>
    <definedName name="ptd" localSheetId="2">#REF!</definedName>
    <definedName name="ptd" localSheetId="9">#REF!</definedName>
    <definedName name="ptd" localSheetId="8">#REF!</definedName>
    <definedName name="ptd">#REF!</definedName>
    <definedName name="pte" localSheetId="6">#REF!</definedName>
    <definedName name="pte" localSheetId="7">#REF!</definedName>
    <definedName name="pte" localSheetId="1">#REF!</definedName>
    <definedName name="pte" localSheetId="2">#REF!</definedName>
    <definedName name="pte" localSheetId="9">#REF!</definedName>
    <definedName name="pte" localSheetId="8">#REF!</definedName>
    <definedName name="pte">#REF!</definedName>
    <definedName name="QQQ" localSheetId="6">#REF!</definedName>
    <definedName name="QQQ" localSheetId="7">#REF!</definedName>
    <definedName name="QQQ" localSheetId="1">#REF!</definedName>
    <definedName name="QQQ" localSheetId="2">#REF!</definedName>
    <definedName name="QQQ" localSheetId="9">#REF!</definedName>
    <definedName name="QQQ" localSheetId="8">#REF!</definedName>
    <definedName name="QQQ">#REF!</definedName>
    <definedName name="qww" localSheetId="5">[1]!FEB&amp;[1]!MAR&amp;[1]!ABR&amp;[1]!MAY&amp;[1]!JUN&amp;[1]!JUL</definedName>
    <definedName name="qww" localSheetId="6">[1]!FEB&amp;[1]!MAR&amp;[1]!ABR&amp;[1]!MAY&amp;[1]!JUN&amp;[1]!JUL</definedName>
    <definedName name="qww" localSheetId="2">[1]!FEB&amp;[1]!MAR&amp;[1]!ABR&amp;[1]!MAY&amp;[1]!JUN&amp;[1]!JUL</definedName>
    <definedName name="qww">[1]!FEB&amp;[1]!MAR&amp;[1]!ABR&amp;[1]!MAY&amp;[1]!JUN&amp;[1]!JUL</definedName>
    <definedName name="R_Bife">'[32]ADEC II'!$A$1:$A$1016</definedName>
    <definedName name="ra">'[33]cat ramos'!$A$10:$B$52</definedName>
    <definedName name="ramo" localSheetId="5">#REF!</definedName>
    <definedName name="ramo" localSheetId="6">#REF!</definedName>
    <definedName name="ramo" localSheetId="7">#REF!</definedName>
    <definedName name="ramo" localSheetId="3">#REF!</definedName>
    <definedName name="ramo" localSheetId="1">#REF!</definedName>
    <definedName name="ramo" localSheetId="2">#REF!</definedName>
    <definedName name="ramo" localSheetId="9">#REF!</definedName>
    <definedName name="ramo" localSheetId="8">#REF!</definedName>
    <definedName name="ramo">#REF!</definedName>
    <definedName name="Ramo_Rubro" localSheetId="5">#REF!</definedName>
    <definedName name="Ramo_Rubro" localSheetId="6">#REF!</definedName>
    <definedName name="Ramo_Rubro" localSheetId="7">#REF!</definedName>
    <definedName name="Ramo_Rubro" localSheetId="3">#REF!</definedName>
    <definedName name="Ramo_Rubro" localSheetId="1">#REF!</definedName>
    <definedName name="Ramo_Rubro" localSheetId="2">#REF!</definedName>
    <definedName name="Ramo_Rubro" localSheetId="9">#REF!</definedName>
    <definedName name="Ramo_Rubro" localSheetId="8">#REF!</definedName>
    <definedName name="Ramo_Rubro">#REF!</definedName>
    <definedName name="ramoscierredos2003" localSheetId="5">#REF!</definedName>
    <definedName name="ramoscierredos2003" localSheetId="6">#REF!</definedName>
    <definedName name="ramoscierredos2003" localSheetId="7">#REF!</definedName>
    <definedName name="ramoscierredos2003" localSheetId="3">#REF!</definedName>
    <definedName name="ramoscierredos2003" localSheetId="1">#REF!</definedName>
    <definedName name="ramoscierredos2003" localSheetId="2">#REF!</definedName>
    <definedName name="ramoscierredos2003" localSheetId="9">#REF!</definedName>
    <definedName name="ramoscierredos2003" localSheetId="8">#REF!</definedName>
    <definedName name="ramoscierredos2003">#REF!</definedName>
    <definedName name="ramoscierreuno2003" localSheetId="6">#REF!</definedName>
    <definedName name="ramoscierreuno2003" localSheetId="7">#REF!</definedName>
    <definedName name="ramoscierreuno2003" localSheetId="1">#REF!</definedName>
    <definedName name="ramoscierreuno2003" localSheetId="2">#REF!</definedName>
    <definedName name="ramoscierreuno2003" localSheetId="9">#REF!</definedName>
    <definedName name="ramoscierreuno2003" localSheetId="8">#REF!</definedName>
    <definedName name="ramoscierreuno2003">#REF!</definedName>
    <definedName name="ramosdos2002" localSheetId="6">#REF!</definedName>
    <definedName name="ramosdos2002" localSheetId="7">#REF!</definedName>
    <definedName name="ramosdos2002" localSheetId="1">#REF!</definedName>
    <definedName name="ramosdos2002" localSheetId="2">#REF!</definedName>
    <definedName name="ramosdos2002" localSheetId="9">#REF!</definedName>
    <definedName name="ramosdos2002" localSheetId="8">#REF!</definedName>
    <definedName name="ramosdos2002">#REF!</definedName>
    <definedName name="ramosuno2002" localSheetId="6">#REF!</definedName>
    <definedName name="ramosuno2002" localSheetId="7">#REF!</definedName>
    <definedName name="ramosuno2002" localSheetId="1">#REF!</definedName>
    <definedName name="ramosuno2002" localSheetId="2">#REF!</definedName>
    <definedName name="ramosuno2002" localSheetId="9">#REF!</definedName>
    <definedName name="ramosuno2002" localSheetId="8">#REF!</definedName>
    <definedName name="ramosuno2002">#REF!</definedName>
    <definedName name="RANGO">#N/A</definedName>
    <definedName name="RANGO2">#N/A</definedName>
    <definedName name="RCV" localSheetId="6">[7]BANPRO99!#REF!</definedName>
    <definedName name="RCV" localSheetId="7">[7]BANPRO99!#REF!</definedName>
    <definedName name="RCV" localSheetId="2">[7]BANPRO99!#REF!</definedName>
    <definedName name="RCV" localSheetId="9">[7]BANPRO99!#REF!</definedName>
    <definedName name="RCV" localSheetId="8">[7]BANPRO99!#REF!</definedName>
    <definedName name="RCV">[7]BANPRO99!#REF!</definedName>
    <definedName name="reducciones" localSheetId="5">#REF!</definedName>
    <definedName name="reducciones" localSheetId="6">#REF!</definedName>
    <definedName name="reducciones" localSheetId="7">#REF!</definedName>
    <definedName name="reducciones" localSheetId="3">#REF!</definedName>
    <definedName name="reducciones" localSheetId="1">#REF!</definedName>
    <definedName name="reducciones" localSheetId="2">#REF!</definedName>
    <definedName name="reducciones" localSheetId="9">#REF!</definedName>
    <definedName name="reducciones" localSheetId="8">#REF!</definedName>
    <definedName name="reducciones">#REF!</definedName>
    <definedName name="REG">#N/A</definedName>
    <definedName name="res" localSheetId="5">#REF!</definedName>
    <definedName name="res" localSheetId="6">#REF!</definedName>
    <definedName name="res" localSheetId="7">#REF!</definedName>
    <definedName name="res" localSheetId="3">#REF!</definedName>
    <definedName name="res" localSheetId="1">#REF!</definedName>
    <definedName name="res" localSheetId="2">#REF!</definedName>
    <definedName name="res" localSheetId="9">#REF!</definedName>
    <definedName name="res" localSheetId="8">#REF!</definedName>
    <definedName name="res">#REF!</definedName>
    <definedName name="RF" localSheetId="5">[7]BANPRO99!#REF!</definedName>
    <definedName name="RF" localSheetId="6">[7]BANPRO99!#REF!</definedName>
    <definedName name="RF" localSheetId="7">[7]BANPRO99!#REF!</definedName>
    <definedName name="RF" localSheetId="3">[7]BANPRO99!#REF!</definedName>
    <definedName name="RF" localSheetId="2">[7]BANPRO99!#REF!</definedName>
    <definedName name="RF" localSheetId="9">[7]BANPRO99!#REF!</definedName>
    <definedName name="RF" localSheetId="8">[7]BANPRO99!#REF!</definedName>
    <definedName name="RF">[7]BANPRO99!#REF!</definedName>
    <definedName name="RP" localSheetId="5">[7]BANPRO99!#REF!</definedName>
    <definedName name="RP" localSheetId="6">[7]BANPRO99!#REF!</definedName>
    <definedName name="RP" localSheetId="7">[7]BANPRO99!#REF!</definedName>
    <definedName name="RP" localSheetId="3">[7]BANPRO99!#REF!</definedName>
    <definedName name="RP" localSheetId="2">[7]BANPRO99!#REF!</definedName>
    <definedName name="RP" localSheetId="9">[7]BANPRO99!#REF!</definedName>
    <definedName name="RP" localSheetId="8">[7]BANPRO99!#REF!</definedName>
    <definedName name="RP">[7]BANPRO99!#REF!</definedName>
    <definedName name="RT" localSheetId="6">[7]BANPRO99!#REF!</definedName>
    <definedName name="RT" localSheetId="7">[7]BANPRO99!#REF!</definedName>
    <definedName name="RT" localSheetId="2">[7]BANPRO99!#REF!</definedName>
    <definedName name="RT" localSheetId="9">[7]BANPRO99!#REF!</definedName>
    <definedName name="RT" localSheetId="8">[7]BANPRO99!#REF!</definedName>
    <definedName name="RT">[7]BANPRO99!#REF!</definedName>
    <definedName name="s" localSheetId="5">[1]!SEP&amp;[1]!OCT&amp;[1]!NOV&amp;[1]!DIC</definedName>
    <definedName name="s" localSheetId="6">[1]!SEP&amp;[1]!OCT&amp;[1]!NOV&amp;[1]!DIC</definedName>
    <definedName name="s" localSheetId="2">[1]!SEP&amp;[1]!OCT&amp;[1]!NOV&amp;[1]!DIC</definedName>
    <definedName name="s">[1]!SEP&amp;[1]!OCT&amp;[1]!NOV&amp;[1]!DIC</definedName>
    <definedName name="sa" localSheetId="5">#REF!</definedName>
    <definedName name="sa" localSheetId="6">#REF!</definedName>
    <definedName name="sa" localSheetId="7">#REF!</definedName>
    <definedName name="sa" localSheetId="3">#REF!</definedName>
    <definedName name="sa" localSheetId="1">#REF!</definedName>
    <definedName name="sa" localSheetId="2">#REF!</definedName>
    <definedName name="sa" localSheetId="9">#REF!</definedName>
    <definedName name="sa" localSheetId="8">#REF!</definedName>
    <definedName name="sa">#REF!</definedName>
    <definedName name="saasa" localSheetId="5" hidden="1">{"Bruto",#N/A,FALSE,"CONV3T.XLS";"Neto",#N/A,FALSE,"CONV3T.XLS";"UnoB",#N/A,FALSE,"CONV3T.XLS";"Bruto",#N/A,FALSE,"CONV4T.XLS";"Neto",#N/A,FALSE,"CONV4T.XLS";"UnoB",#N/A,FALSE,"CONV4T.XLS"}</definedName>
    <definedName name="saasa" localSheetId="6" hidden="1">{"Bruto",#N/A,FALSE,"CONV3T.XLS";"Neto",#N/A,FALSE,"CONV3T.XLS";"UnoB",#N/A,FALSE,"CONV3T.XLS";"Bruto",#N/A,FALSE,"CONV4T.XLS";"Neto",#N/A,FALSE,"CONV4T.XLS";"UnoB",#N/A,FALSE,"CONV4T.XLS"}</definedName>
    <definedName name="saasa" localSheetId="3" hidden="1">{"Bruto",#N/A,FALSE,"CONV3T.XLS";"Neto",#N/A,FALSE,"CONV3T.XLS";"UnoB",#N/A,FALSE,"CONV3T.XLS";"Bruto",#N/A,FALSE,"CONV4T.XLS";"Neto",#N/A,FALSE,"CONV4T.XLS";"UnoB",#N/A,FALSE,"CONV4T.XLS"}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5" hidden="1">{#N/A,#N/A,FALSE,"TOT";#N/A,#N/A,FALSE,"PEP";#N/A,#N/A,FALSE,"REF";#N/A,#N/A,FALSE,"GAS";#N/A,#N/A,FALSE,"PET";#N/A,#N/A,FALSE,"COR"}</definedName>
    <definedName name="sasaas" localSheetId="6" hidden="1">{#N/A,#N/A,FALSE,"TOT";#N/A,#N/A,FALSE,"PEP";#N/A,#N/A,FALSE,"REF";#N/A,#N/A,FALSE,"GAS";#N/A,#N/A,FALSE,"PET";#N/A,#N/A,FALSE,"COR"}</definedName>
    <definedName name="sasaas" localSheetId="3" hidden="1">{#N/A,#N/A,FALSE,"TOT";#N/A,#N/A,FALSE,"PEP";#N/A,#N/A,FALSE,"REF";#N/A,#N/A,FALSE,"GAS";#N/A,#N/A,FALSE,"PET";#N/A,#N/A,FALSE,"COR"}</definedName>
    <definedName name="sasaas" localSheetId="1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5">#REF!</definedName>
    <definedName name="sb" localSheetId="6">#REF!</definedName>
    <definedName name="sb" localSheetId="7">#REF!</definedName>
    <definedName name="sb" localSheetId="3">#REF!</definedName>
    <definedName name="sb" localSheetId="1">#REF!</definedName>
    <definedName name="sb" localSheetId="2">#REF!</definedName>
    <definedName name="sb" localSheetId="9">#REF!</definedName>
    <definedName name="sb" localSheetId="8">#REF!</definedName>
    <definedName name="sb">#REF!</definedName>
    <definedName name="sc" localSheetId="5">#REF!</definedName>
    <definedName name="sc" localSheetId="6">#REF!</definedName>
    <definedName name="sc" localSheetId="7">#REF!</definedName>
    <definedName name="sc" localSheetId="3">#REF!</definedName>
    <definedName name="sc" localSheetId="1">#REF!</definedName>
    <definedName name="sc" localSheetId="2">#REF!</definedName>
    <definedName name="sc" localSheetId="9">#REF!</definedName>
    <definedName name="sc" localSheetId="8">#REF!</definedName>
    <definedName name="sc">#REF!</definedName>
    <definedName name="SCHP">'[5]Premisas IMSS'!$M$13</definedName>
    <definedName name="sd" localSheetId="5">#REF!</definedName>
    <definedName name="sd" localSheetId="6">#REF!</definedName>
    <definedName name="sd" localSheetId="7">#REF!</definedName>
    <definedName name="sd" localSheetId="3">#REF!</definedName>
    <definedName name="sd" localSheetId="1">#REF!</definedName>
    <definedName name="sd" localSheetId="2">#REF!</definedName>
    <definedName name="sd" localSheetId="9">#REF!</definedName>
    <definedName name="sd" localSheetId="8">#REF!</definedName>
    <definedName name="sd">#REF!</definedName>
    <definedName name="sdsdds" localSheetId="5" hidden="1">{"Bruto",#N/A,FALSE,"CONV3T.XLS";"Neto",#N/A,FALSE,"CONV3T.XLS";"UnoB",#N/A,FALSE,"CONV3T.XLS";"Bruto",#N/A,FALSE,"CONV4T.XLS";"Neto",#N/A,FALSE,"CONV4T.XLS";"UnoB",#N/A,FALSE,"CONV4T.XLS"}</definedName>
    <definedName name="sdsdds" localSheetId="6" hidden="1">{"Bruto",#N/A,FALSE,"CONV3T.XLS";"Neto",#N/A,FALSE,"CONV3T.XLS";"UnoB",#N/A,FALSE,"CONV3T.XLS";"Bruto",#N/A,FALSE,"CONV4T.XLS";"Neto",#N/A,FALSE,"CONV4T.XLS";"UnoB",#N/A,FALSE,"CONV4T.XLS"}</definedName>
    <definedName name="sdsdds" localSheetId="3" hidden="1">{"Bruto",#N/A,FALSE,"CONV3T.XLS";"Neto",#N/A,FALSE,"CONV3T.XLS";"UnoB",#N/A,FALSE,"CONV3T.XLS";"Bruto",#N/A,FALSE,"CONV4T.XLS";"Neto",#N/A,FALSE,"CONV4T.XLS";"UnoB",#N/A,FALSE,"CONV4T.XLS"}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5">#REF!</definedName>
    <definedName name="se" localSheetId="6">#REF!</definedName>
    <definedName name="se" localSheetId="7">#REF!</definedName>
    <definedName name="se" localSheetId="3">#REF!</definedName>
    <definedName name="se" localSheetId="1">#REF!</definedName>
    <definedName name="se" localSheetId="2">#REF!</definedName>
    <definedName name="se" localSheetId="9">#REF!</definedName>
    <definedName name="se" localSheetId="8">#REF!</definedName>
    <definedName name="se">#REF!</definedName>
    <definedName name="SEP">"; SEPTIEMBRE.- "&amp;TEXT([9]edofza09!$C$24,"#,##0")</definedName>
    <definedName name="sero" localSheetId="5" hidden="1">{"Bruto",#N/A,FALSE,"CONV3T.XLS";"Neto",#N/A,FALSE,"CONV3T.XLS";"UnoB",#N/A,FALSE,"CONV3T.XLS";"Bruto",#N/A,FALSE,"CONV4T.XLS";"Neto",#N/A,FALSE,"CONV4T.XLS";"UnoB",#N/A,FALSE,"CONV4T.XLS"}</definedName>
    <definedName name="sero" localSheetId="6" hidden="1">{"Bruto",#N/A,FALSE,"CONV3T.XLS";"Neto",#N/A,FALSE,"CONV3T.XLS";"UnoB",#N/A,FALSE,"CONV3T.XLS";"Bruto",#N/A,FALSE,"CONV4T.XLS";"Neto",#N/A,FALSE,"CONV4T.XLS";"UnoB",#N/A,FALSE,"CONV4T.XLS"}</definedName>
    <definedName name="sero" localSheetId="3" hidden="1">{"Bruto",#N/A,FALSE,"CONV3T.XLS";"Neto",#N/A,FALSE,"CONV3T.XLS";"UnoB",#N/A,FALSE,"CONV3T.XLS";"Bruto",#N/A,FALSE,"CONV4T.XLS";"Neto",#N/A,FALSE,"CONV4T.XLS";"UnoB",#N/A,FALSE,"CONV4T.XLS"}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5">[7]BANPRO99!#REF!</definedName>
    <definedName name="SF" localSheetId="6">[7]BANPRO99!#REF!</definedName>
    <definedName name="SF" localSheetId="7">[7]BANPRO99!#REF!</definedName>
    <definedName name="SF" localSheetId="3">[7]BANPRO99!#REF!</definedName>
    <definedName name="SF" localSheetId="2">[7]BANPRO99!#REF!</definedName>
    <definedName name="SF" localSheetId="9">[7]BANPRO99!#REF!</definedName>
    <definedName name="SF" localSheetId="8">[7]BANPRO99!#REF!</definedName>
    <definedName name="SF">[7]BANPRO99!#REF!</definedName>
    <definedName name="SHCP" localSheetId="5" hidden="1">#REF!</definedName>
    <definedName name="SHCP" localSheetId="6" hidden="1">#REF!</definedName>
    <definedName name="SHCP" localSheetId="7" hidden="1">#REF!</definedName>
    <definedName name="SHCP" localSheetId="3" hidden="1">#REF!</definedName>
    <definedName name="SHCP" localSheetId="1" hidden="1">#REF!</definedName>
    <definedName name="SHCP" localSheetId="2" hidden="1">#REF!</definedName>
    <definedName name="SHCP" localSheetId="9" hidden="1">#REF!</definedName>
    <definedName name="SHCP" localSheetId="8" hidden="1">#REF!</definedName>
    <definedName name="SHCP" hidden="1">#REF!</definedName>
    <definedName name="sinpec" localSheetId="5">#REF!</definedName>
    <definedName name="sinpec" localSheetId="6">#REF!</definedName>
    <definedName name="sinpec" localSheetId="7">#REF!</definedName>
    <definedName name="sinpec" localSheetId="3">#REF!</definedName>
    <definedName name="sinpec" localSheetId="1">#REF!</definedName>
    <definedName name="sinpec" localSheetId="2">#REF!</definedName>
    <definedName name="sinpec" localSheetId="9">#REF!</definedName>
    <definedName name="sinpec" localSheetId="8">#REF!</definedName>
    <definedName name="sinpec">#REF!</definedName>
    <definedName name="smdf97">'[5]Premisa macro'!$C$4</definedName>
    <definedName name="SPEM96" localSheetId="5">#REF!</definedName>
    <definedName name="SPEM96" localSheetId="6">#REF!</definedName>
    <definedName name="SPEM96" localSheetId="7">#REF!</definedName>
    <definedName name="SPEM96" localSheetId="3">#REF!</definedName>
    <definedName name="SPEM96" localSheetId="1">#REF!</definedName>
    <definedName name="SPEM96" localSheetId="2">#REF!</definedName>
    <definedName name="SPEM96" localSheetId="9">#REF!</definedName>
    <definedName name="SPEM96" localSheetId="8">#REF!</definedName>
    <definedName name="SPEM96">#REF!</definedName>
    <definedName name="sta" localSheetId="5">#REF!</definedName>
    <definedName name="sta" localSheetId="6">#REF!</definedName>
    <definedName name="sta" localSheetId="7">#REF!</definedName>
    <definedName name="sta" localSheetId="3">#REF!</definedName>
    <definedName name="sta" localSheetId="1">#REF!</definedName>
    <definedName name="sta" localSheetId="2">#REF!</definedName>
    <definedName name="sta" localSheetId="9">#REF!</definedName>
    <definedName name="sta" localSheetId="8">#REF!</definedName>
    <definedName name="sta">#REF!</definedName>
    <definedName name="stb" localSheetId="5">#REF!</definedName>
    <definedName name="stb" localSheetId="6">#REF!</definedName>
    <definedName name="stb" localSheetId="7">#REF!</definedName>
    <definedName name="stb" localSheetId="3">#REF!</definedName>
    <definedName name="stb" localSheetId="1">#REF!</definedName>
    <definedName name="stb" localSheetId="2">#REF!</definedName>
    <definedName name="stb" localSheetId="9">#REF!</definedName>
    <definedName name="stb" localSheetId="8">#REF!</definedName>
    <definedName name="stb">#REF!</definedName>
    <definedName name="stc" localSheetId="6">#REF!</definedName>
    <definedName name="stc" localSheetId="7">#REF!</definedName>
    <definedName name="stc" localSheetId="1">#REF!</definedName>
    <definedName name="stc" localSheetId="2">#REF!</definedName>
    <definedName name="stc" localSheetId="9">#REF!</definedName>
    <definedName name="stc" localSheetId="8">#REF!</definedName>
    <definedName name="stc">#REF!</definedName>
    <definedName name="std" localSheetId="6">#REF!</definedName>
    <definedName name="std" localSheetId="7">#REF!</definedName>
    <definedName name="std" localSheetId="1">#REF!</definedName>
    <definedName name="std" localSheetId="2">#REF!</definedName>
    <definedName name="std" localSheetId="9">#REF!</definedName>
    <definedName name="std" localSheetId="8">#REF!</definedName>
    <definedName name="std">#REF!</definedName>
    <definedName name="ste" localSheetId="6">#REF!</definedName>
    <definedName name="ste" localSheetId="7">#REF!</definedName>
    <definedName name="ste" localSheetId="1">#REF!</definedName>
    <definedName name="ste" localSheetId="2">#REF!</definedName>
    <definedName name="ste" localSheetId="9">#REF!</definedName>
    <definedName name="ste" localSheetId="8">#REF!</definedName>
    <definedName name="ste">#REF!</definedName>
    <definedName name="subfunción" localSheetId="6">#REF!</definedName>
    <definedName name="subfunción" localSheetId="7">#REF!</definedName>
    <definedName name="subfunción" localSheetId="1">#REF!</definedName>
    <definedName name="subfunción" localSheetId="2">#REF!</definedName>
    <definedName name="subfunción" localSheetId="9">#REF!</definedName>
    <definedName name="subfunción" localSheetId="8">#REF!</definedName>
    <definedName name="subfunción">#REF!</definedName>
    <definedName name="syt" localSheetId="6">#REF!</definedName>
    <definedName name="syt" localSheetId="7">#REF!</definedName>
    <definedName name="syt" localSheetId="1">#REF!</definedName>
    <definedName name="syt" localSheetId="2">#REF!</definedName>
    <definedName name="syt" localSheetId="9">#REF!</definedName>
    <definedName name="syt" localSheetId="8">#REF!</definedName>
    <definedName name="syt">#REF!</definedName>
    <definedName name="sytc03" localSheetId="6">#REF!</definedName>
    <definedName name="sytc03" localSheetId="7">#REF!</definedName>
    <definedName name="sytc03" localSheetId="1">#REF!</definedName>
    <definedName name="sytc03" localSheetId="2">#REF!</definedName>
    <definedName name="sytc03" localSheetId="9">#REF!</definedName>
    <definedName name="sytc03" localSheetId="8">#REF!</definedName>
    <definedName name="sytc03">#REF!</definedName>
    <definedName name="sytppef" localSheetId="6">#REF!</definedName>
    <definedName name="sytppef" localSheetId="7">#REF!</definedName>
    <definedName name="sytppef" localSheetId="1">#REF!</definedName>
    <definedName name="sytppef" localSheetId="2">#REF!</definedName>
    <definedName name="sytppef" localSheetId="9">#REF!</definedName>
    <definedName name="sytppef" localSheetId="8">#REF!</definedName>
    <definedName name="sytppef">#REF!</definedName>
    <definedName name="SZZXCZXC" localSheetId="5" hidden="1">{"Bruto",#N/A,FALSE,"CONV3T.XLS";"Neto",#N/A,FALSE,"CONV3T.XLS";"UnoB",#N/A,FALSE,"CONV3T.XLS";"Bruto",#N/A,FALSE,"CONV4T.XLS";"Neto",#N/A,FALSE,"CONV4T.XLS";"UnoB",#N/A,FALSE,"CONV4T.XLS"}</definedName>
    <definedName name="SZZXCZXC" localSheetId="6" hidden="1">{"Bruto",#N/A,FALSE,"CONV3T.XLS";"Neto",#N/A,FALSE,"CONV3T.XLS";"UnoB",#N/A,FALSE,"CONV3T.XLS";"Bruto",#N/A,FALSE,"CONV4T.XLS";"Neto",#N/A,FALSE,"CONV4T.XLS";"UnoB",#N/A,FALSE,"CONV4T.XLS"}</definedName>
    <definedName name="SZZXCZXC" localSheetId="3" hidden="1">{"Bruto",#N/A,FALSE,"CONV3T.XLS";"Neto",#N/A,FALSE,"CONV3T.XLS";"UnoB",#N/A,FALSE,"CONV3T.XLS";"Bruto",#N/A,FALSE,"CONV4T.XLS";"Neto",#N/A,FALSE,"CONV4T.XLS";"UnoB",#N/A,FALSE,"CONV4T.XLS"}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'[34]16'!$D$1:$E$15</definedName>
    <definedName name="TABLA01D">'[34]1'!$D$2:$E$14</definedName>
    <definedName name="TABLA04D">'[34]4'!$D$2:$E$34</definedName>
    <definedName name="TABLA06D">'[34]6'!$D$1:$G$15</definedName>
    <definedName name="TABLA1">'[34]1'!$A$1:$B$58</definedName>
    <definedName name="TABLA10">'[34]10'!$A$1:$B$133</definedName>
    <definedName name="TABLA10D">'[34]10'!$D$1:$E$19</definedName>
    <definedName name="TABLA11">'[34]11'!$A$1:$B$57</definedName>
    <definedName name="TABLA12">'[34]12'!$A$1:$B$130</definedName>
    <definedName name="TABLA13">'[34]13'!$A$1:$B$170</definedName>
    <definedName name="TABLA14">'[34]14'!$A$1:$B$100</definedName>
    <definedName name="TABLA14D">'[34]14'!$D$1:$E$21</definedName>
    <definedName name="TABLA15">'[34]15'!$A$1:$B$69</definedName>
    <definedName name="TABLA17">'[34]17'!$A$2:$B$134</definedName>
    <definedName name="TABLA18">'[34]18'!$A$1:$B$100</definedName>
    <definedName name="TABLA19">'[34]19'!$A$1:$B$100</definedName>
    <definedName name="TABLA2">'[34]2'!$A$3:$B$187</definedName>
    <definedName name="TABLA20">'[34]20'!$A$1:$B$100</definedName>
    <definedName name="tabla2002" localSheetId="5">#REF!</definedName>
    <definedName name="tabla2002" localSheetId="6">#REF!</definedName>
    <definedName name="tabla2002" localSheetId="7">#REF!</definedName>
    <definedName name="tabla2002" localSheetId="3">#REF!</definedName>
    <definedName name="tabla2002" localSheetId="1">#REF!</definedName>
    <definedName name="tabla2002" localSheetId="2">#REF!</definedName>
    <definedName name="tabla2002" localSheetId="9">#REF!</definedName>
    <definedName name="tabla2002" localSheetId="8">#REF!</definedName>
    <definedName name="tabla2002">#REF!</definedName>
    <definedName name="TABLA21">'[34]21'!$A$1:$B$67</definedName>
    <definedName name="TABLA22">'[34]22'!$A$1:$B$14</definedName>
    <definedName name="TABLA3">'[34]3'!$A$2:$B$43</definedName>
    <definedName name="TABLA4">'[34]4'!$A$2:$B$31</definedName>
    <definedName name="TABLA5">'[34]5'!$A$1:$B$31</definedName>
    <definedName name="TABLA6">'[34]6'!$A$1:$B$28</definedName>
    <definedName name="TABLA7">'[34]7'!$A$2:$B$23</definedName>
    <definedName name="TABLA8">'[34]8'!$A$1:$B$49</definedName>
    <definedName name="TABLA9">'[34]9'!$A$1:$B$332</definedName>
    <definedName name="TAJJJJ" localSheetId="5" hidden="1">{#N/A,#N/A,FALSE,"TOT";#N/A,#N/A,FALSE,"PEP";#N/A,#N/A,FALSE,"REF";#N/A,#N/A,FALSE,"GAS";#N/A,#N/A,FALSE,"PET";#N/A,#N/A,FALSE,"COR"}</definedName>
    <definedName name="TAJJJJ" localSheetId="6" hidden="1">{#N/A,#N/A,FALSE,"TOT";#N/A,#N/A,FALSE,"PEP";#N/A,#N/A,FALSE,"REF";#N/A,#N/A,FALSE,"GAS";#N/A,#N/A,FALSE,"PET";#N/A,#N/A,FALSE,"COR"}</definedName>
    <definedName name="TAJJJJ" localSheetId="3" hidden="1">{#N/A,#N/A,FALSE,"TOT";#N/A,#N/A,FALSE,"PEP";#N/A,#N/A,FALSE,"REF";#N/A,#N/A,FALSE,"GAS";#N/A,#N/A,FALSE,"PET";#N/A,#N/A,FALSE,"COR"}</definedName>
    <definedName name="TAJJJJ" localSheetId="1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5" hidden="1">{"Bruto",#N/A,FALSE,"CONV3T.XLS";"Neto",#N/A,FALSE,"CONV3T.XLS";"UnoB",#N/A,FALSE,"CONV3T.XLS";"Bruto",#N/A,FALSE,"CONV4T.XLS";"Neto",#N/A,FALSE,"CONV4T.XLS";"UnoB",#N/A,FALSE,"CONV4T.XLS"}</definedName>
    <definedName name="TENER" localSheetId="6" hidden="1">{"Bruto",#N/A,FALSE,"CONV3T.XLS";"Neto",#N/A,FALSE,"CONV3T.XLS";"UnoB",#N/A,FALSE,"CONV3T.XLS";"Bruto",#N/A,FALSE,"CONV4T.XLS";"Neto",#N/A,FALSE,"CONV4T.XLS";"UnoB",#N/A,FALSE,"CONV4T.XLS"}</definedName>
    <definedName name="TENER" localSheetId="3" hidden="1">{"Bruto",#N/A,FALSE,"CONV3T.XLS";"Neto",#N/A,FALSE,"CONV3T.XLS";"UnoB",#N/A,FALSE,"CONV3T.XLS";"Bruto",#N/A,FALSE,"CONV4T.XLS";"Neto",#N/A,FALSE,"CONV4T.XLS";"UnoB",#N/A,FALSE,"CONV4T.XLS"}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5">#REF!</definedName>
    <definedName name="TIT" localSheetId="6">#REF!</definedName>
    <definedName name="TIT" localSheetId="7">#REF!</definedName>
    <definedName name="TIT" localSheetId="3">#REF!</definedName>
    <definedName name="TIT" localSheetId="1">#REF!</definedName>
    <definedName name="TIT" localSheetId="2">#REF!</definedName>
    <definedName name="TIT" localSheetId="9">#REF!</definedName>
    <definedName name="TIT" localSheetId="8">#REF!</definedName>
    <definedName name="TIT">#REF!</definedName>
    <definedName name="TITULO">[35]PPQ!$B$3</definedName>
    <definedName name="_xlnm.Print_Titles" localSheetId="4">'Anexo 10 (Validación)'!$2:$4</definedName>
    <definedName name="_xlnm.Print_Titles" localSheetId="7">'Anexo 25 (Eliminar)'!$1:$3</definedName>
    <definedName name="_xlnm.Print_Titles" localSheetId="3">'Anexo 9 (SHCP)'!$1:$4</definedName>
    <definedName name="_xlnm.Print_Titles" localSheetId="1">Índice!$3:$3</definedName>
    <definedName name="_xlnm.Print_Titles" localSheetId="2">Indigenas!$4:$8</definedName>
    <definedName name="TODO96" localSheetId="5">#REF!</definedName>
    <definedName name="TODO96" localSheetId="6">#REF!</definedName>
    <definedName name="TODO96" localSheetId="7">#REF!</definedName>
    <definedName name="TODO96" localSheetId="3">#REF!</definedName>
    <definedName name="TODO96" localSheetId="1">#REF!</definedName>
    <definedName name="TODO96" localSheetId="2">#REF!</definedName>
    <definedName name="TODO96" localSheetId="9">#REF!</definedName>
    <definedName name="TODO96" localSheetId="8">#REF!</definedName>
    <definedName name="TODO96">#REF!</definedName>
    <definedName name="TOTAL">#N/A</definedName>
    <definedName name="total_real" localSheetId="5">#REF!</definedName>
    <definedName name="total_real" localSheetId="6">#REF!</definedName>
    <definedName name="total_real" localSheetId="7">#REF!</definedName>
    <definedName name="total_real" localSheetId="3">#REF!</definedName>
    <definedName name="total_real" localSheetId="1">#REF!</definedName>
    <definedName name="total_real" localSheetId="2">#REF!</definedName>
    <definedName name="total_real" localSheetId="9">#REF!</definedName>
    <definedName name="total_real" localSheetId="8">#REF!</definedName>
    <definedName name="total_real">#REF!</definedName>
    <definedName name="TOTAL01" localSheetId="5">#REF!</definedName>
    <definedName name="TOTAL01" localSheetId="6">#REF!</definedName>
    <definedName name="TOTAL01" localSheetId="7">#REF!</definedName>
    <definedName name="TOTAL01" localSheetId="3">#REF!</definedName>
    <definedName name="TOTAL01" localSheetId="1">#REF!</definedName>
    <definedName name="TOTAL01" localSheetId="2">#REF!</definedName>
    <definedName name="TOTAL01" localSheetId="9">#REF!</definedName>
    <definedName name="TOTAL01" localSheetId="8">#REF!</definedName>
    <definedName name="TOTAL01">#REF!</definedName>
    <definedName name="total1">'[26]1'!$I$2:$J$42</definedName>
    <definedName name="TOTAL10">'[26]10'!$J$2:$K$39</definedName>
    <definedName name="TOTAL2">'[26]2'!$J$2:$K$39</definedName>
    <definedName name="TOTAL3">'[26]3'!$J$2:$K$39</definedName>
    <definedName name="TOTAL4">'[26]4'!$J$2:$K$39</definedName>
    <definedName name="TOTAL5">'[26]5'!$J$2:$K$39</definedName>
    <definedName name="TOTAL6">'[26]6'!$J$2:$K$39</definedName>
    <definedName name="TOTAL7">'[26]7'!$J$2:$K$39</definedName>
    <definedName name="TOTAL8">'[26]8'!$J$2:$K$39</definedName>
    <definedName name="TOTAL9">'[26]9'!$J$2:$K$39</definedName>
    <definedName name="tul" localSheetId="5" hidden="1">{"Bruto",#N/A,FALSE,"CONV3T.XLS";"Neto",#N/A,FALSE,"CONV3T.XLS";"UnoB",#N/A,FALSE,"CONV3T.XLS";"Bruto",#N/A,FALSE,"CONV4T.XLS";"Neto",#N/A,FALSE,"CONV4T.XLS";"UnoB",#N/A,FALSE,"CONV4T.XLS"}</definedName>
    <definedName name="tul" localSheetId="6" hidden="1">{"Bruto",#N/A,FALSE,"CONV3T.XLS";"Neto",#N/A,FALSE,"CONV3T.XLS";"UnoB",#N/A,FALSE,"CONV3T.XLS";"Bruto",#N/A,FALSE,"CONV4T.XLS";"Neto",#N/A,FALSE,"CONV4T.XLS";"UnoB",#N/A,FALSE,"CONV4T.XLS"}</definedName>
    <definedName name="tul" localSheetId="3" hidden="1">{"Bruto",#N/A,FALSE,"CONV3T.XLS";"Neto",#N/A,FALSE,"CONV3T.XLS";"UnoB",#N/A,FALSE,"CONV3T.XLS";"Bruto",#N/A,FALSE,"CONV4T.XLS";"Neto",#N/A,FALSE,"CONV4T.XLS";"UnoB",#N/A,FALSE,"CONV4T.XLS"}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 localSheetId="5">[1]!AGO&amp;[1]!SEP&amp;[1]!OCT&amp;[1]!NOV&amp;[1]!DIC</definedName>
    <definedName name="u" localSheetId="6">[1]!AGO&amp;[1]!SEP&amp;[1]!OCT&amp;[1]!NOV&amp;[1]!DIC</definedName>
    <definedName name="u" localSheetId="2">[1]!AGO&amp;[1]!SEP&amp;[1]!OCT&amp;[1]!NOV&amp;[1]!DIC</definedName>
    <definedName name="u">[1]!AGO&amp;[1]!SEP&amp;[1]!OCT&amp;[1]!NOV&amp;[1]!DIC</definedName>
    <definedName name="UPCPICF_VMD50020" localSheetId="5">#REF!</definedName>
    <definedName name="UPCPICF_VMD50020" localSheetId="6">#REF!</definedName>
    <definedName name="UPCPICF_VMD50020" localSheetId="7">#REF!</definedName>
    <definedName name="UPCPICF_VMD50020" localSheetId="3">#REF!</definedName>
    <definedName name="UPCPICF_VMD50020" localSheetId="1">#REF!</definedName>
    <definedName name="UPCPICF_VMD50020" localSheetId="2">#REF!</definedName>
    <definedName name="UPCPICF_VMD50020" localSheetId="9">#REF!</definedName>
    <definedName name="UPCPICF_VMD50020" localSheetId="8">#REF!</definedName>
    <definedName name="UPCPICF_VMD50020">#REF!</definedName>
    <definedName name="UR">[29]urs!$C$10:$D$1332</definedName>
    <definedName name="V_Bife">'[32]ADEC II'!$A$1:$Z$1016</definedName>
    <definedName name="VARIABLES">#N/A</definedName>
    <definedName name="vcorta" localSheetId="5">#REF!</definedName>
    <definedName name="vcorta" localSheetId="6">#REF!</definedName>
    <definedName name="vcorta" localSheetId="7">#REF!</definedName>
    <definedName name="vcorta" localSheetId="3">#REF!</definedName>
    <definedName name="vcorta" localSheetId="1">#REF!</definedName>
    <definedName name="vcorta" localSheetId="2">#REF!</definedName>
    <definedName name="vcorta" localSheetId="9">#REF!</definedName>
    <definedName name="vcorta" localSheetId="8">#REF!</definedName>
    <definedName name="vcorta">#REF!</definedName>
    <definedName name="Vertientes" localSheetId="5">#REF!</definedName>
    <definedName name="Vertientes" localSheetId="6">#REF!</definedName>
    <definedName name="Vertientes" localSheetId="7">#REF!</definedName>
    <definedName name="Vertientes" localSheetId="3">#REF!</definedName>
    <definedName name="Vertientes" localSheetId="1">#REF!</definedName>
    <definedName name="Vertientes" localSheetId="2">#REF!</definedName>
    <definedName name="Vertientes" localSheetId="9">#REF!</definedName>
    <definedName name="Vertientes" localSheetId="8">#REF!</definedName>
    <definedName name="Vertientes">#REF!</definedName>
    <definedName name="wrn.econv2s." localSheetId="5" hidden="1">{"Bruto",#N/A,FALSE,"CONV3T.XLS";"Neto",#N/A,FALSE,"CONV3T.XLS";"UnoB",#N/A,FALSE,"CONV3T.XLS";"Bruto",#N/A,FALSE,"CONV4T.XLS";"Neto",#N/A,FALSE,"CONV4T.XLS";"UnoB",#N/A,FALSE,"CONV4T.XLS"}</definedName>
    <definedName name="wrn.econv2s." localSheetId="6" hidden="1">{"Bruto",#N/A,FALSE,"CONV3T.XLS";"Neto",#N/A,FALSE,"CONV3T.XLS";"UnoB",#N/A,FALSE,"CONV3T.XLS";"Bruto",#N/A,FALSE,"CONV4T.XLS";"Neto",#N/A,FALSE,"CONV4T.XLS";"UnoB",#N/A,FALSE,"CONV4T.XLS"}</definedName>
    <definedName name="wrn.econv2s." localSheetId="3" hidden="1">{"Bruto",#N/A,FALSE,"CONV3T.XLS";"Neto",#N/A,FALSE,"CONV3T.XLS";"UnoB",#N/A,FALSE,"CONV3T.XLS";"Bruto",#N/A,FALSE,"CONV4T.XLS";"Neto",#N/A,FALSE,"CONV4T.XLS";"UnoB",#N/A,FALSE,"CONV4T.XLS"}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5" hidden="1">{#N/A,#N/A,FALSE,"TOT";#N/A,#N/A,FALSE,"PEP";#N/A,#N/A,FALSE,"REF";#N/A,#N/A,FALSE,"GAS";#N/A,#N/A,FALSE,"PET";#N/A,#N/A,FALSE,"COR"}</definedName>
    <definedName name="wrn.gst1tajuorg." localSheetId="6" hidden="1">{#N/A,#N/A,FALSE,"TOT";#N/A,#N/A,FALSE,"PEP";#N/A,#N/A,FALSE,"REF";#N/A,#N/A,FALSE,"GAS";#N/A,#N/A,FALSE,"PET";#N/A,#N/A,FALSE,"COR"}</definedName>
    <definedName name="wrn.gst1tajuorg." localSheetId="3" hidden="1">{#N/A,#N/A,FALSE,"TOT";#N/A,#N/A,FALSE,"PEP";#N/A,#N/A,FALSE,"REF";#N/A,#N/A,FALSE,"GAS";#N/A,#N/A,FALSE,"PET";#N/A,#N/A,FALSE,"COR"}</definedName>
    <definedName name="wrn.gst1tajuorg." localSheetId="1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5">#REF!</definedName>
    <definedName name="x" localSheetId="6">#REF!</definedName>
    <definedName name="x" localSheetId="7">#REF!</definedName>
    <definedName name="x" localSheetId="3">#REF!</definedName>
    <definedName name="x" localSheetId="1">#REF!</definedName>
    <definedName name="x" localSheetId="2">#REF!</definedName>
    <definedName name="x" localSheetId="9">#REF!</definedName>
    <definedName name="x" localSheetId="8">#REF!</definedName>
    <definedName name="x">#REF!</definedName>
    <definedName name="XX" localSheetId="5" hidden="1">{"Bruto",#N/A,FALSE,"CONV3T.XLS";"Neto",#N/A,FALSE,"CONV3T.XLS";"UnoB",#N/A,FALSE,"CONV3T.XLS";"Bruto",#N/A,FALSE,"CONV4T.XLS";"Neto",#N/A,FALSE,"CONV4T.XLS";"UnoB",#N/A,FALSE,"CONV4T.XLS"}</definedName>
    <definedName name="XX" localSheetId="6" hidden="1">{"Bruto",#N/A,FALSE,"CONV3T.XLS";"Neto",#N/A,FALSE,"CONV3T.XLS";"UnoB",#N/A,FALSE,"CONV3T.XLS";"Bruto",#N/A,FALSE,"CONV4T.XLS";"Neto",#N/A,FALSE,"CONV4T.XLS";"UnoB",#N/A,FALSE,"CONV4T.XLS"}</definedName>
    <definedName name="XX" localSheetId="3" hidden="1">{"Bruto",#N/A,FALSE,"CONV3T.XLS";"Neto",#N/A,FALSE,"CONV3T.XLS";"UnoB",#N/A,FALSE,"CONV3T.XLS";"Bruto",#N/A,FALSE,"CONV4T.XLS";"Neto",#N/A,FALSE,"CONV4T.XLS";"UnoB",#N/A,FALSE,"CONV4T.XLS"}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5">#REF!</definedName>
    <definedName name="xxx" localSheetId="6">#REF!</definedName>
    <definedName name="xxx" localSheetId="7">#REF!</definedName>
    <definedName name="xxx" localSheetId="3">#REF!</definedName>
    <definedName name="xxx" localSheetId="1">#REF!</definedName>
    <definedName name="xxx" localSheetId="2">#REF!</definedName>
    <definedName name="xxx" localSheetId="9">#REF!</definedName>
    <definedName name="xxx" localSheetId="8">#REF!</definedName>
    <definedName name="xxx">#REF!</definedName>
    <definedName name="yyy" localSheetId="5">#REF!</definedName>
    <definedName name="yyy" localSheetId="6">#REF!</definedName>
    <definedName name="yyy" localSheetId="7">#REF!</definedName>
    <definedName name="yyy" localSheetId="3">#REF!</definedName>
    <definedName name="yyy" localSheetId="1">#REF!</definedName>
    <definedName name="yyy" localSheetId="2">#REF!</definedName>
    <definedName name="yyy" localSheetId="9">#REF!</definedName>
    <definedName name="yyy" localSheetId="8">#REF!</definedName>
    <definedName name="yyy">#REF!</definedName>
    <definedName name="zz" localSheetId="5">#REF!</definedName>
    <definedName name="zz" localSheetId="6">#REF!</definedName>
    <definedName name="zz" localSheetId="7">#REF!</definedName>
    <definedName name="zz" localSheetId="3">#REF!</definedName>
    <definedName name="zz" localSheetId="1">#REF!</definedName>
    <definedName name="zz" localSheetId="2">#REF!</definedName>
    <definedName name="zz" localSheetId="9">#REF!</definedName>
    <definedName name="zz" localSheetId="8">#REF!</definedName>
    <definedName name="zz">#REF!</definedName>
  </definedNames>
  <calcPr calcId="125725"/>
  <pivotCaches>
    <pivotCache cacheId="0" r:id="rId46"/>
  </pivotCaches>
</workbook>
</file>

<file path=xl/calcChain.xml><?xml version="1.0" encoding="utf-8"?>
<calcChain xmlns="http://schemas.openxmlformats.org/spreadsheetml/2006/main">
  <c r="W90" i="40"/>
  <c r="W86"/>
  <c r="V77"/>
  <c r="V71"/>
  <c r="W66"/>
  <c r="W61"/>
  <c r="W57"/>
  <c r="V52"/>
  <c r="V48"/>
  <c r="V44"/>
  <c r="V40"/>
  <c r="V36"/>
  <c r="V32"/>
  <c r="W27"/>
  <c r="W21"/>
  <c r="W91"/>
  <c r="W87"/>
  <c r="V82"/>
  <c r="W72"/>
  <c r="V68"/>
  <c r="W62"/>
  <c r="W58"/>
  <c r="V53"/>
  <c r="V49"/>
  <c r="V45"/>
  <c r="V41"/>
  <c r="V37"/>
  <c r="V33"/>
  <c r="W28"/>
  <c r="W22"/>
  <c r="X21"/>
  <c r="X91"/>
  <c r="X87"/>
  <c r="Y82"/>
  <c r="X72"/>
  <c r="Y68"/>
  <c r="X62"/>
  <c r="X58"/>
  <c r="Y53"/>
  <c r="Y49"/>
  <c r="Y45"/>
  <c r="Y41"/>
  <c r="Y37"/>
  <c r="Y33"/>
  <c r="X28"/>
  <c r="X22"/>
  <c r="Y92"/>
  <c r="X88"/>
  <c r="Y83"/>
  <c r="Y74"/>
  <c r="Y69"/>
  <c r="Y63"/>
  <c r="X59"/>
  <c r="Y54"/>
  <c r="Y50"/>
  <c r="Y46"/>
  <c r="Y42"/>
  <c r="Y38"/>
  <c r="Y34"/>
  <c r="X29"/>
  <c r="V93"/>
  <c r="V89"/>
  <c r="W84"/>
  <c r="W75"/>
  <c r="W70"/>
  <c r="V65"/>
  <c r="V60"/>
  <c r="W55"/>
  <c r="W51"/>
  <c r="W47"/>
  <c r="W43"/>
  <c r="W39"/>
  <c r="W35"/>
  <c r="W31"/>
  <c r="W25"/>
  <c r="V20"/>
  <c r="V90"/>
  <c r="V86"/>
  <c r="W77"/>
  <c r="W71"/>
  <c r="V66"/>
  <c r="V61"/>
  <c r="V57"/>
  <c r="W52"/>
  <c r="W48"/>
  <c r="W44"/>
  <c r="W40"/>
  <c r="W36"/>
  <c r="W32"/>
  <c r="V27"/>
  <c r="V21"/>
  <c r="Y20"/>
  <c r="Y90"/>
  <c r="Y86"/>
  <c r="X77"/>
  <c r="X71"/>
  <c r="Y66"/>
  <c r="Y61"/>
  <c r="Y57"/>
  <c r="X52"/>
  <c r="X48"/>
  <c r="X44"/>
  <c r="X40"/>
  <c r="X36"/>
  <c r="X32"/>
  <c r="Y27"/>
  <c r="Y21"/>
  <c r="Y91"/>
  <c r="Y87"/>
  <c r="X82"/>
  <c r="Y72"/>
  <c r="X68"/>
  <c r="Y62"/>
  <c r="Y58"/>
  <c r="X53"/>
  <c r="X49"/>
  <c r="X45"/>
  <c r="X41"/>
  <c r="X37"/>
  <c r="X33"/>
  <c r="X23"/>
  <c r="V92"/>
  <c r="W88"/>
  <c r="V83"/>
  <c r="V74"/>
  <c r="V69"/>
  <c r="V63"/>
  <c r="W59"/>
  <c r="V54"/>
  <c r="V50"/>
  <c r="V46"/>
  <c r="V42"/>
  <c r="V38"/>
  <c r="V34"/>
  <c r="W29"/>
  <c r="W23"/>
  <c r="W93"/>
  <c r="W89"/>
  <c r="V84"/>
  <c r="V75"/>
  <c r="V70"/>
  <c r="W65"/>
  <c r="W60"/>
  <c r="V55"/>
  <c r="V51"/>
  <c r="V47"/>
  <c r="V43"/>
  <c r="V39"/>
  <c r="V35"/>
  <c r="V31"/>
  <c r="V25"/>
  <c r="W20"/>
  <c r="X93"/>
  <c r="X89"/>
  <c r="Y84"/>
  <c r="Y75"/>
  <c r="Y70"/>
  <c r="X65"/>
  <c r="X60"/>
  <c r="Y55"/>
  <c r="Y51"/>
  <c r="Y47"/>
  <c r="Y43"/>
  <c r="Y39"/>
  <c r="Y35"/>
  <c r="Y31"/>
  <c r="Y25"/>
  <c r="X20"/>
  <c r="X90"/>
  <c r="X86"/>
  <c r="Y77"/>
  <c r="Y71"/>
  <c r="X66"/>
  <c r="X61"/>
  <c r="X57"/>
  <c r="Y52"/>
  <c r="Y48"/>
  <c r="Y44"/>
  <c r="Y40"/>
  <c r="Y36"/>
  <c r="Y32"/>
  <c r="X27"/>
  <c r="V91"/>
  <c r="V87"/>
  <c r="W82"/>
  <c r="V72"/>
  <c r="W68"/>
  <c r="V62"/>
  <c r="V58"/>
  <c r="W53"/>
  <c r="W49"/>
  <c r="W45"/>
  <c r="W41"/>
  <c r="W37"/>
  <c r="W33"/>
  <c r="V28"/>
  <c r="V22"/>
  <c r="W92"/>
  <c r="V88"/>
  <c r="W83"/>
  <c r="W74"/>
  <c r="W69"/>
  <c r="W63"/>
  <c r="V59"/>
  <c r="W54"/>
  <c r="W50"/>
  <c r="W46"/>
  <c r="W42"/>
  <c r="W38"/>
  <c r="W34"/>
  <c r="V29"/>
  <c r="V23"/>
  <c r="Y22"/>
  <c r="X92"/>
  <c r="Y88"/>
  <c r="X83"/>
  <c r="X74"/>
  <c r="X69"/>
  <c r="X63"/>
  <c r="Y59"/>
  <c r="X54"/>
  <c r="X50"/>
  <c r="X46"/>
  <c r="X42"/>
  <c r="X38"/>
  <c r="X34"/>
  <c r="Y29"/>
  <c r="Y23"/>
  <c r="Y93"/>
  <c r="Y89"/>
  <c r="X84"/>
  <c r="X75"/>
  <c r="X70"/>
  <c r="Y65"/>
  <c r="Y60"/>
  <c r="X55"/>
  <c r="X51"/>
  <c r="X47"/>
  <c r="X43"/>
  <c r="X39"/>
  <c r="X35"/>
  <c r="X31"/>
  <c r="X25"/>
  <c r="Y28"/>
  <c r="W16"/>
  <c r="X18"/>
  <c r="X14"/>
  <c r="X7"/>
  <c r="W14"/>
  <c r="W13"/>
  <c r="Y14"/>
  <c r="Y17"/>
  <c r="Y13"/>
  <c r="V15"/>
  <c r="X17"/>
  <c r="V11"/>
  <c r="V16"/>
  <c r="W11"/>
  <c r="Y9"/>
  <c r="Y16"/>
  <c r="W15"/>
  <c r="X13"/>
  <c r="W18"/>
  <c r="V13"/>
  <c r="X16"/>
  <c r="Y11"/>
  <c r="Y18"/>
  <c r="W17"/>
  <c r="V17"/>
  <c r="W9"/>
  <c r="Y15"/>
  <c r="X9"/>
  <c r="W7"/>
  <c r="X15"/>
  <c r="V18"/>
  <c r="V14"/>
  <c r="V7"/>
  <c r="X11"/>
  <c r="Y7"/>
  <c r="V9"/>
  <c r="AJ27" l="1"/>
  <c r="X24"/>
  <c r="X30"/>
  <c r="AJ58"/>
  <c r="Y64"/>
  <c r="AJ63"/>
  <c r="AJ87"/>
  <c r="AJ90"/>
  <c r="AJ22"/>
  <c r="AJ28"/>
  <c r="AJ57"/>
  <c r="X73"/>
  <c r="AJ86"/>
  <c r="AJ21"/>
  <c r="W73"/>
  <c r="W67"/>
  <c r="W81"/>
  <c r="X26"/>
  <c r="AJ31"/>
  <c r="AJ35"/>
  <c r="AJ39"/>
  <c r="AJ43"/>
  <c r="AJ47"/>
  <c r="AJ51"/>
  <c r="X56"/>
  <c r="AJ69"/>
  <c r="Y80"/>
  <c r="AJ78" s="1"/>
  <c r="Y79"/>
  <c r="AJ77" s="1"/>
  <c r="AJ75"/>
  <c r="AJ74" s="1"/>
  <c r="Y78"/>
  <c r="AJ76" s="1"/>
  <c r="Y76"/>
  <c r="X85"/>
  <c r="X19"/>
  <c r="Y24"/>
  <c r="AJ24"/>
  <c r="AJ23" s="1"/>
  <c r="AJ30"/>
  <c r="Y30"/>
  <c r="AJ34"/>
  <c r="AJ38"/>
  <c r="AJ42"/>
  <c r="AJ46"/>
  <c r="AJ50"/>
  <c r="AJ54"/>
  <c r="X64"/>
  <c r="AJ68"/>
  <c r="AJ73"/>
  <c r="AJ71" s="1"/>
  <c r="AJ82"/>
  <c r="W19"/>
  <c r="V24"/>
  <c r="V30"/>
  <c r="W64"/>
  <c r="V73"/>
  <c r="AJ56"/>
  <c r="AJ60"/>
  <c r="X67"/>
  <c r="AJ70"/>
  <c r="X81"/>
  <c r="AJ85"/>
  <c r="AJ89"/>
  <c r="AJ20"/>
  <c r="AJ26"/>
  <c r="Y26"/>
  <c r="Y56"/>
  <c r="AJ59"/>
  <c r="AJ64"/>
  <c r="X79"/>
  <c r="X80"/>
  <c r="X76"/>
  <c r="X78"/>
  <c r="AJ84"/>
  <c r="AJ83" s="1"/>
  <c r="Y85"/>
  <c r="AJ88"/>
  <c r="AJ19"/>
  <c r="Y19"/>
  <c r="V26"/>
  <c r="V56"/>
  <c r="W80"/>
  <c r="W79"/>
  <c r="W78"/>
  <c r="W76"/>
  <c r="V85"/>
  <c r="V19"/>
  <c r="W24"/>
  <c r="W30"/>
  <c r="V64"/>
  <c r="AJ33"/>
  <c r="AJ29" s="1"/>
  <c r="AJ37"/>
  <c r="AJ41"/>
  <c r="AJ45"/>
  <c r="AJ49"/>
  <c r="AJ53"/>
  <c r="AJ61"/>
  <c r="AJ67"/>
  <c r="Y73"/>
  <c r="AJ72"/>
  <c r="AJ81"/>
  <c r="AJ79" s="1"/>
  <c r="AJ32"/>
  <c r="AJ36"/>
  <c r="AJ40"/>
  <c r="AJ44"/>
  <c r="AJ48"/>
  <c r="AJ52"/>
  <c r="Y67"/>
  <c r="AJ66"/>
  <c r="AJ80"/>
  <c r="Y81"/>
  <c r="V67"/>
  <c r="V81"/>
  <c r="W26"/>
  <c r="W56"/>
  <c r="V79"/>
  <c r="V80"/>
  <c r="V76"/>
  <c r="V78"/>
  <c r="W85"/>
  <c r="AJ18"/>
  <c r="AJ62"/>
  <c r="Y8"/>
  <c r="AJ8"/>
  <c r="AJ7" s="1"/>
  <c r="X10"/>
  <c r="X12"/>
  <c r="X6"/>
  <c r="V8"/>
  <c r="X8"/>
  <c r="W10"/>
  <c r="AJ10"/>
  <c r="Y10"/>
  <c r="W12"/>
  <c r="AJ12"/>
  <c r="Y12"/>
  <c r="AJ14"/>
  <c r="AJ16"/>
  <c r="Y6"/>
  <c r="AJ6"/>
  <c r="W8"/>
  <c r="V10"/>
  <c r="AJ9" s="1"/>
  <c r="V12"/>
  <c r="AJ13"/>
  <c r="AJ15"/>
  <c r="AJ17"/>
  <c r="AJ65"/>
  <c r="AJ25"/>
  <c r="AJ55"/>
  <c r="W6"/>
  <c r="V6"/>
  <c r="AJ5"/>
  <c r="AJ11" l="1"/>
  <c r="AJ4" s="1"/>
  <c r="Y5"/>
  <c r="X5"/>
  <c r="W5"/>
  <c r="V5"/>
  <c r="BF231" i="86"/>
  <c r="BF230"/>
  <c r="BF229"/>
  <c r="O230"/>
  <c r="P230"/>
  <c r="L230"/>
  <c r="K230"/>
  <c r="Q232"/>
  <c r="N232"/>
  <c r="O232"/>
  <c r="P232"/>
  <c r="M230"/>
  <c r="L232"/>
  <c r="K232"/>
  <c r="N230"/>
  <c r="M232"/>
  <c r="Q230"/>
  <c r="R230" l="1"/>
  <c r="U230"/>
  <c r="W230"/>
  <c r="V232"/>
  <c r="V230"/>
  <c r="U232"/>
  <c r="R232"/>
  <c r="W232"/>
  <c r="X232"/>
  <c r="X230"/>
  <c r="BF228"/>
  <c r="Q229"/>
  <c r="O229"/>
  <c r="P229"/>
  <c r="K229"/>
  <c r="L229"/>
  <c r="N229"/>
  <c r="M229"/>
  <c r="V229" l="1"/>
  <c r="U229"/>
  <c r="R229"/>
  <c r="X229" s="1"/>
  <c r="W229"/>
  <c r="BF227"/>
  <c r="AU227"/>
  <c r="AR227"/>
  <c r="AQ227"/>
  <c r="AP227"/>
  <c r="K228"/>
  <c r="N228"/>
  <c r="O228"/>
  <c r="M228"/>
  <c r="L228"/>
  <c r="P228"/>
  <c r="Q228"/>
  <c r="R228" l="1"/>
  <c r="X228" s="1"/>
  <c r="U228"/>
  <c r="W228"/>
  <c r="W227" s="1"/>
  <c r="V228"/>
  <c r="X227"/>
  <c r="U227"/>
  <c r="Q227"/>
  <c r="P227"/>
  <c r="O227"/>
  <c r="N227"/>
  <c r="M227"/>
  <c r="L227"/>
  <c r="K227"/>
  <c r="BF226"/>
  <c r="BF225"/>
  <c r="N226"/>
  <c r="M226"/>
  <c r="O226"/>
  <c r="K226"/>
  <c r="L226"/>
  <c r="P226"/>
  <c r="Q226"/>
  <c r="V227" l="1"/>
  <c r="V226"/>
  <c r="U226"/>
  <c r="R226"/>
  <c r="X226" s="1"/>
  <c r="W226"/>
  <c r="R227"/>
  <c r="BF224"/>
  <c r="O225"/>
  <c r="K225"/>
  <c r="M225"/>
  <c r="L225"/>
  <c r="P225"/>
  <c r="Q225"/>
  <c r="N225"/>
  <c r="R225" l="1"/>
  <c r="X225" s="1"/>
  <c r="U225"/>
  <c r="W225"/>
  <c r="V225"/>
  <c r="BF223"/>
  <c r="N224"/>
  <c r="L224"/>
  <c r="P224"/>
  <c r="Q224"/>
  <c r="M224"/>
  <c r="K224"/>
  <c r="O224"/>
  <c r="R224" l="1"/>
  <c r="X224" s="1"/>
  <c r="U224"/>
  <c r="W224"/>
  <c r="V224"/>
  <c r="BF222"/>
  <c r="P223"/>
  <c r="N223"/>
  <c r="L223"/>
  <c r="Q223"/>
  <c r="O223"/>
  <c r="M223"/>
  <c r="K223"/>
  <c r="V223" l="1"/>
  <c r="U223"/>
  <c r="R223"/>
  <c r="X223" s="1"/>
  <c r="W223"/>
  <c r="BF221"/>
  <c r="O222"/>
  <c r="M222"/>
  <c r="K222"/>
  <c r="P222"/>
  <c r="N222"/>
  <c r="L222"/>
  <c r="Q222"/>
  <c r="R222" l="1"/>
  <c r="X222" s="1"/>
  <c r="U222"/>
  <c r="W222"/>
  <c r="V222"/>
  <c r="BF220"/>
  <c r="L221"/>
  <c r="N221"/>
  <c r="O221"/>
  <c r="Q221"/>
  <c r="K221"/>
  <c r="M221"/>
  <c r="P221"/>
  <c r="V221" l="1"/>
  <c r="U221"/>
  <c r="R221"/>
  <c r="X221" s="1"/>
  <c r="W221"/>
  <c r="BF219"/>
  <c r="L220"/>
  <c r="N220"/>
  <c r="O220"/>
  <c r="Q220"/>
  <c r="K220"/>
  <c r="M220"/>
  <c r="P220"/>
  <c r="V220" l="1"/>
  <c r="U220"/>
  <c r="R220"/>
  <c r="X220" s="1"/>
  <c r="W220"/>
  <c r="BF218"/>
  <c r="K219"/>
  <c r="N219"/>
  <c r="Q219"/>
  <c r="L219"/>
  <c r="M219"/>
  <c r="O219"/>
  <c r="P219"/>
  <c r="V219" l="1"/>
  <c r="U219"/>
  <c r="R219"/>
  <c r="X219" s="1"/>
  <c r="W219"/>
  <c r="BF217"/>
  <c r="P218"/>
  <c r="N218"/>
  <c r="L218"/>
  <c r="Q218"/>
  <c r="O218"/>
  <c r="M218"/>
  <c r="K218"/>
  <c r="V218" l="1"/>
  <c r="U218"/>
  <c r="R218"/>
  <c r="X218" s="1"/>
  <c r="W218"/>
  <c r="BF216"/>
  <c r="BF215"/>
  <c r="AU215"/>
  <c r="AR215"/>
  <c r="AQ215"/>
  <c r="AP215"/>
  <c r="L216"/>
  <c r="Q217"/>
  <c r="P216"/>
  <c r="K216"/>
  <c r="O217"/>
  <c r="Q216"/>
  <c r="M216"/>
  <c r="P217"/>
  <c r="M217"/>
  <c r="K217"/>
  <c r="N216"/>
  <c r="L217"/>
  <c r="N217"/>
  <c r="O216"/>
  <c r="L215" l="1"/>
  <c r="N215"/>
  <c r="P215"/>
  <c r="V216"/>
  <c r="V217"/>
  <c r="M215"/>
  <c r="U216"/>
  <c r="R216"/>
  <c r="X216" s="1"/>
  <c r="O215"/>
  <c r="W216"/>
  <c r="Q215"/>
  <c r="U217"/>
  <c r="R217"/>
  <c r="X217" s="1"/>
  <c r="W217"/>
  <c r="K215"/>
  <c r="BF214" s="1"/>
  <c r="AU214" s="1"/>
  <c r="AR214"/>
  <c r="AQ214" s="1"/>
  <c r="AP214" s="1"/>
  <c r="X215" l="1"/>
  <c r="X214" s="1"/>
  <c r="R215"/>
  <c r="U215"/>
  <c r="W215"/>
  <c r="V215" s="1"/>
  <c r="U214"/>
  <c r="Q214"/>
  <c r="P214"/>
  <c r="O214"/>
  <c r="N214"/>
  <c r="M214"/>
  <c r="L214"/>
  <c r="K214"/>
  <c r="BF213"/>
  <c r="R214" l="1"/>
  <c r="W214"/>
  <c r="V214" s="1"/>
  <c r="BF212"/>
  <c r="BF211"/>
  <c r="BF210" s="1"/>
  <c r="AU210"/>
  <c r="AR210"/>
  <c r="AQ210"/>
  <c r="AP210"/>
  <c r="P213"/>
  <c r="L212"/>
  <c r="O212"/>
  <c r="O211"/>
  <c r="M213"/>
  <c r="M211"/>
  <c r="K213"/>
  <c r="K212"/>
  <c r="P212"/>
  <c r="N211"/>
  <c r="K211"/>
  <c r="P211"/>
  <c r="L213"/>
  <c r="Q212"/>
  <c r="M212"/>
  <c r="N212"/>
  <c r="Q211"/>
  <c r="Q213"/>
  <c r="O213"/>
  <c r="L211"/>
  <c r="N213"/>
  <c r="M210" l="1"/>
  <c r="R211"/>
  <c r="X211" s="1"/>
  <c r="U211"/>
  <c r="O210"/>
  <c r="W211"/>
  <c r="Q210"/>
  <c r="R212"/>
  <c r="U212"/>
  <c r="W212"/>
  <c r="U213"/>
  <c r="R213"/>
  <c r="X213" s="1"/>
  <c r="W213"/>
  <c r="L210"/>
  <c r="N210"/>
  <c r="V211"/>
  <c r="P210"/>
  <c r="V212"/>
  <c r="V213"/>
  <c r="X212"/>
  <c r="K210"/>
  <c r="BF209"/>
  <c r="AU209"/>
  <c r="AU208" s="1"/>
  <c r="AR209"/>
  <c r="AQ209"/>
  <c r="AQ208" s="1"/>
  <c r="AP209"/>
  <c r="BF208"/>
  <c r="AR208"/>
  <c r="AP208"/>
  <c r="BF207"/>
  <c r="AU207"/>
  <c r="AR207"/>
  <c r="AQ207"/>
  <c r="AP207"/>
  <c r="U210" l="1"/>
  <c r="X210"/>
  <c r="X209" s="1"/>
  <c r="X208" s="1"/>
  <c r="W210"/>
  <c r="BF206"/>
  <c r="AU206"/>
  <c r="AR206"/>
  <c r="AQ206"/>
  <c r="AP206"/>
  <c r="N207"/>
  <c r="L207"/>
  <c r="Q207"/>
  <c r="O207"/>
  <c r="M207"/>
  <c r="K207"/>
  <c r="P207"/>
  <c r="R210" l="1"/>
  <c r="U209"/>
  <c r="U208" s="1"/>
  <c r="V207"/>
  <c r="U207"/>
  <c r="R207"/>
  <c r="X207" s="1"/>
  <c r="W207"/>
  <c r="X206"/>
  <c r="V210"/>
  <c r="V209" s="1"/>
  <c r="V208" s="1"/>
  <c r="W209"/>
  <c r="W208" s="1"/>
  <c r="W206"/>
  <c r="Q206"/>
  <c r="P206"/>
  <c r="O206"/>
  <c r="N206"/>
  <c r="M206"/>
  <c r="L206"/>
  <c r="K206"/>
  <c r="BF205"/>
  <c r="BF204"/>
  <c r="M205"/>
  <c r="P205"/>
  <c r="O205"/>
  <c r="Q205"/>
  <c r="K205"/>
  <c r="N205"/>
  <c r="L205"/>
  <c r="R206" l="1"/>
  <c r="V206"/>
  <c r="U206" s="1"/>
  <c r="R205"/>
  <c r="I205"/>
  <c r="BF203"/>
  <c r="BF202"/>
  <c r="AU202"/>
  <c r="AR202"/>
  <c r="AQ202"/>
  <c r="AP202"/>
  <c r="Q204"/>
  <c r="N203"/>
  <c r="P204"/>
  <c r="L204"/>
  <c r="P203"/>
  <c r="K203"/>
  <c r="N204"/>
  <c r="M203"/>
  <c r="M204"/>
  <c r="K204"/>
  <c r="O203"/>
  <c r="O204"/>
  <c r="L203"/>
  <c r="Q203"/>
  <c r="N202" l="1"/>
  <c r="P202"/>
  <c r="M202"/>
  <c r="O202"/>
  <c r="R203"/>
  <c r="I203"/>
  <c r="Q202"/>
  <c r="R204"/>
  <c r="I204"/>
  <c r="W205"/>
  <c r="U205"/>
  <c r="X205"/>
  <c r="V205"/>
  <c r="L202"/>
  <c r="K202"/>
  <c r="BF201"/>
  <c r="BF200" s="1"/>
  <c r="AU201"/>
  <c r="AR201"/>
  <c r="AR200" s="1"/>
  <c r="AQ201"/>
  <c r="AP201"/>
  <c r="AP200" s="1"/>
  <c r="AU200"/>
  <c r="AQ200"/>
  <c r="BF199"/>
  <c r="W204" l="1"/>
  <c r="U204"/>
  <c r="X204"/>
  <c r="V204"/>
  <c r="W203"/>
  <c r="W202" s="1"/>
  <c r="U203"/>
  <c r="X203"/>
  <c r="X202" s="1"/>
  <c r="X201" s="1"/>
  <c r="X200" s="1"/>
  <c r="V203"/>
  <c r="BF198"/>
  <c r="P199"/>
  <c r="Q199"/>
  <c r="N199"/>
  <c r="L199"/>
  <c r="M199"/>
  <c r="O199"/>
  <c r="K199"/>
  <c r="R199" l="1"/>
  <c r="X199" s="1"/>
  <c r="U199"/>
  <c r="W199"/>
  <c r="V199"/>
  <c r="V202"/>
  <c r="U202" s="1"/>
  <c r="R202" s="1"/>
  <c r="W201"/>
  <c r="BF197"/>
  <c r="Q198"/>
  <c r="K198"/>
  <c r="P198"/>
  <c r="N198"/>
  <c r="O198"/>
  <c r="L198"/>
  <c r="M198"/>
  <c r="V198" l="1"/>
  <c r="U198"/>
  <c r="R198"/>
  <c r="X198" s="1"/>
  <c r="W198"/>
  <c r="V201"/>
  <c r="U201" s="1"/>
  <c r="W200"/>
  <c r="BF196"/>
  <c r="AU196"/>
  <c r="AR196"/>
  <c r="AQ196"/>
  <c r="AP196"/>
  <c r="O197"/>
  <c r="M197"/>
  <c r="N197"/>
  <c r="P197"/>
  <c r="Q197"/>
  <c r="L197"/>
  <c r="K197"/>
  <c r="V200" l="1"/>
  <c r="U200" s="1"/>
  <c r="V197"/>
  <c r="V196" s="1"/>
  <c r="U197"/>
  <c r="R197"/>
  <c r="X197" s="1"/>
  <c r="W197"/>
  <c r="X196"/>
  <c r="Q196"/>
  <c r="P196"/>
  <c r="O196"/>
  <c r="N196"/>
  <c r="M196"/>
  <c r="L196"/>
  <c r="K196"/>
  <c r="BF194"/>
  <c r="AU194"/>
  <c r="AR194"/>
  <c r="AQ194"/>
  <c r="AP194"/>
  <c r="N195"/>
  <c r="O195"/>
  <c r="M195"/>
  <c r="Q195"/>
  <c r="P195"/>
  <c r="K195"/>
  <c r="L195"/>
  <c r="U196" l="1"/>
  <c r="R196"/>
  <c r="W196"/>
  <c r="R195"/>
  <c r="U195"/>
  <c r="W195"/>
  <c r="W194" s="1"/>
  <c r="V195"/>
  <c r="X195"/>
  <c r="X194" s="1"/>
  <c r="Q194"/>
  <c r="P194"/>
  <c r="O194"/>
  <c r="N194"/>
  <c r="M194"/>
  <c r="L194"/>
  <c r="K194"/>
  <c r="BF193"/>
  <c r="BF192"/>
  <c r="L193"/>
  <c r="P193"/>
  <c r="N193"/>
  <c r="M193"/>
  <c r="K193"/>
  <c r="O193"/>
  <c r="Q193"/>
  <c r="R194" l="1"/>
  <c r="V194"/>
  <c r="U194" s="1"/>
  <c r="V193"/>
  <c r="U193"/>
  <c r="R193"/>
  <c r="X193" s="1"/>
  <c r="W193"/>
  <c r="BF191"/>
  <c r="BF190"/>
  <c r="AU190"/>
  <c r="AR190"/>
  <c r="AQ190"/>
  <c r="AP190"/>
  <c r="K191"/>
  <c r="Q192"/>
  <c r="Q191"/>
  <c r="P192"/>
  <c r="N191"/>
  <c r="M191"/>
  <c r="P191"/>
  <c r="L191"/>
  <c r="L192"/>
  <c r="O192"/>
  <c r="O191"/>
  <c r="K192"/>
  <c r="N192"/>
  <c r="M192"/>
  <c r="L190" l="1"/>
  <c r="N190"/>
  <c r="V191"/>
  <c r="P190"/>
  <c r="V192"/>
  <c r="M190"/>
  <c r="U191"/>
  <c r="R191"/>
  <c r="X191" s="1"/>
  <c r="O190"/>
  <c r="W191"/>
  <c r="Q190"/>
  <c r="U192"/>
  <c r="R192"/>
  <c r="X192" s="1"/>
  <c r="W192"/>
  <c r="K190"/>
  <c r="BF189"/>
  <c r="X190" l="1"/>
  <c r="W190"/>
  <c r="V190" s="1"/>
  <c r="U190" s="1"/>
  <c r="R190" s="1"/>
  <c r="BF188"/>
  <c r="BF187"/>
  <c r="AU187"/>
  <c r="AR187"/>
  <c r="AQ187"/>
  <c r="AP187"/>
  <c r="Q189"/>
  <c r="N189"/>
  <c r="K189"/>
  <c r="P189"/>
  <c r="O189"/>
  <c r="L189"/>
  <c r="M189"/>
  <c r="L188" l="1"/>
  <c r="L187" s="1"/>
  <c r="L186" s="1"/>
  <c r="N188"/>
  <c r="V189"/>
  <c r="P188"/>
  <c r="P187" s="1"/>
  <c r="P186" s="1"/>
  <c r="K188"/>
  <c r="M188"/>
  <c r="M187" s="1"/>
  <c r="M186" s="1"/>
  <c r="U189"/>
  <c r="O188"/>
  <c r="R189"/>
  <c r="X189" s="1"/>
  <c r="X188" s="1"/>
  <c r="X187" s="1"/>
  <c r="W189"/>
  <c r="Q188"/>
  <c r="Q187" s="1"/>
  <c r="Q186" s="1"/>
  <c r="K187"/>
  <c r="BF186" s="1"/>
  <c r="AU186"/>
  <c r="AR186" s="1"/>
  <c r="AQ186"/>
  <c r="AP186" s="1"/>
  <c r="BF185"/>
  <c r="BF184"/>
  <c r="L185"/>
  <c r="Q185"/>
  <c r="M185"/>
  <c r="P185"/>
  <c r="N185"/>
  <c r="K185"/>
  <c r="O185"/>
  <c r="X186" l="1"/>
  <c r="K186"/>
  <c r="W188"/>
  <c r="V188" s="1"/>
  <c r="U188" s="1"/>
  <c r="U185"/>
  <c r="R185"/>
  <c r="X185" s="1"/>
  <c r="V185"/>
  <c r="W185"/>
  <c r="R188"/>
  <c r="O187"/>
  <c r="BF183"/>
  <c r="N184"/>
  <c r="L184"/>
  <c r="Q184"/>
  <c r="O184"/>
  <c r="M184"/>
  <c r="K184"/>
  <c r="P184"/>
  <c r="W187" l="1"/>
  <c r="V184"/>
  <c r="U184"/>
  <c r="R184"/>
  <c r="X184" s="1"/>
  <c r="W184"/>
  <c r="N187"/>
  <c r="N186" s="1"/>
  <c r="R187"/>
  <c r="O186"/>
  <c r="R186" s="1"/>
  <c r="BF182"/>
  <c r="P183"/>
  <c r="K183"/>
  <c r="N183"/>
  <c r="M183"/>
  <c r="O183"/>
  <c r="L183"/>
  <c r="Q183"/>
  <c r="V187" l="1"/>
  <c r="U187" s="1"/>
  <c r="W186"/>
  <c r="R183"/>
  <c r="X183" s="1"/>
  <c r="U183"/>
  <c r="W183"/>
  <c r="V183"/>
  <c r="BF181"/>
  <c r="M182"/>
  <c r="N182"/>
  <c r="K182"/>
  <c r="P182"/>
  <c r="O182"/>
  <c r="L182"/>
  <c r="Q182"/>
  <c r="V186" l="1"/>
  <c r="U186" s="1"/>
  <c r="V182"/>
  <c r="U182"/>
  <c r="R182"/>
  <c r="X182" s="1"/>
  <c r="W182"/>
  <c r="BF180"/>
  <c r="L181"/>
  <c r="Q181"/>
  <c r="K181"/>
  <c r="O181"/>
  <c r="M181"/>
  <c r="P181"/>
  <c r="N181"/>
  <c r="V181" l="1"/>
  <c r="U181"/>
  <c r="R181"/>
  <c r="X181" s="1"/>
  <c r="W181"/>
  <c r="BF179"/>
  <c r="BF178"/>
  <c r="AU178"/>
  <c r="AR178"/>
  <c r="AQ178"/>
  <c r="AP178"/>
  <c r="O180"/>
  <c r="O179"/>
  <c r="N180"/>
  <c r="L179"/>
  <c r="M180"/>
  <c r="M179"/>
  <c r="L180"/>
  <c r="K180"/>
  <c r="K179"/>
  <c r="P179"/>
  <c r="Q180"/>
  <c r="Q179"/>
  <c r="P180"/>
  <c r="N179"/>
  <c r="L178" l="1"/>
  <c r="N178"/>
  <c r="V179"/>
  <c r="P178"/>
  <c r="V180"/>
  <c r="M178"/>
  <c r="U179"/>
  <c r="O178"/>
  <c r="R179"/>
  <c r="X179" s="1"/>
  <c r="W179"/>
  <c r="Q178"/>
  <c r="U180"/>
  <c r="R180"/>
  <c r="X180" s="1"/>
  <c r="W180"/>
  <c r="K178"/>
  <c r="BF177"/>
  <c r="AU177"/>
  <c r="AR177"/>
  <c r="AQ177"/>
  <c r="AP177"/>
  <c r="BF176"/>
  <c r="BF175"/>
  <c r="BF174"/>
  <c r="BF173"/>
  <c r="BF172"/>
  <c r="BF171"/>
  <c r="BF170"/>
  <c r="BF169"/>
  <c r="BF168"/>
  <c r="BF167"/>
  <c r="BF166"/>
  <c r="BF165"/>
  <c r="BF164"/>
  <c r="BF163"/>
  <c r="BF162"/>
  <c r="BF161"/>
  <c r="BF160"/>
  <c r="BF159"/>
  <c r="BF158"/>
  <c r="BF157"/>
  <c r="BF156"/>
  <c r="BF155"/>
  <c r="BF154"/>
  <c r="BF153"/>
  <c r="BF152" s="1"/>
  <c r="AU152"/>
  <c r="AR152"/>
  <c r="AQ152"/>
  <c r="AP152"/>
  <c r="X178" l="1"/>
  <c r="X177" s="1"/>
  <c r="U178"/>
  <c r="U177" s="1"/>
  <c r="R178"/>
  <c r="W178"/>
  <c r="BF151"/>
  <c r="AU151"/>
  <c r="AR151"/>
  <c r="AQ151"/>
  <c r="AP151"/>
  <c r="BF150"/>
  <c r="BF149" s="1"/>
  <c r="AU149"/>
  <c r="AR149"/>
  <c r="AQ149"/>
  <c r="AP149"/>
  <c r="P152"/>
  <c r="L150"/>
  <c r="M150"/>
  <c r="O150"/>
  <c r="O152"/>
  <c r="N152"/>
  <c r="L152"/>
  <c r="Q152"/>
  <c r="M152"/>
  <c r="P150"/>
  <c r="N150"/>
  <c r="K150"/>
  <c r="K152"/>
  <c r="Q150"/>
  <c r="R150" l="1"/>
  <c r="I150"/>
  <c r="L151"/>
  <c r="N151"/>
  <c r="V152"/>
  <c r="P151"/>
  <c r="K151"/>
  <c r="M151"/>
  <c r="U152"/>
  <c r="R152"/>
  <c r="X152" s="1"/>
  <c r="O151"/>
  <c r="W152"/>
  <c r="Q151"/>
  <c r="X151"/>
  <c r="W151" s="1"/>
  <c r="V178"/>
  <c r="V177" s="1"/>
  <c r="W177"/>
  <c r="Q149"/>
  <c r="P149"/>
  <c r="O149"/>
  <c r="N149"/>
  <c r="M149"/>
  <c r="V151" l="1"/>
  <c r="U151" s="1"/>
  <c r="R151" s="1"/>
  <c r="R149"/>
  <c r="X150"/>
  <c r="X149" s="1"/>
  <c r="X148" s="1"/>
  <c r="W150"/>
  <c r="W149" s="1"/>
  <c r="U150"/>
  <c r="V150"/>
  <c r="L149"/>
  <c r="K149"/>
  <c r="BF148"/>
  <c r="AU148"/>
  <c r="AR148"/>
  <c r="AQ148"/>
  <c r="AP148"/>
  <c r="W148"/>
  <c r="BF147"/>
  <c r="BF146"/>
  <c r="AU146"/>
  <c r="AR146"/>
  <c r="AQ146"/>
  <c r="AP146"/>
  <c r="Q147"/>
  <c r="N147"/>
  <c r="O147"/>
  <c r="K147"/>
  <c r="P147"/>
  <c r="M147"/>
  <c r="L147"/>
  <c r="R147" l="1"/>
  <c r="U147"/>
  <c r="W147"/>
  <c r="V147"/>
  <c r="X147"/>
  <c r="X146" s="1"/>
  <c r="W146" s="1"/>
  <c r="V149"/>
  <c r="U149" s="1"/>
  <c r="Q146"/>
  <c r="P146"/>
  <c r="O146"/>
  <c r="N146"/>
  <c r="M146"/>
  <c r="L146"/>
  <c r="K146"/>
  <c r="BF145"/>
  <c r="Q145"/>
  <c r="O145"/>
  <c r="M145"/>
  <c r="K145"/>
  <c r="P145"/>
  <c r="N145"/>
  <c r="L145"/>
  <c r="R146" l="1"/>
  <c r="V146"/>
  <c r="U146" s="1"/>
  <c r="V145"/>
  <c r="U145"/>
  <c r="U144" s="1"/>
  <c r="R145"/>
  <c r="W145"/>
  <c r="W144" s="1"/>
  <c r="X145"/>
  <c r="X144" s="1"/>
  <c r="V148"/>
  <c r="U148" s="1"/>
  <c r="Q144"/>
  <c r="P144"/>
  <c r="O144"/>
  <c r="N144"/>
  <c r="M144"/>
  <c r="L144"/>
  <c r="K144"/>
  <c r="BF143"/>
  <c r="BF142" s="1"/>
  <c r="AU142"/>
  <c r="AR142"/>
  <c r="AQ142"/>
  <c r="AP142"/>
  <c r="P143"/>
  <c r="N143"/>
  <c r="L143"/>
  <c r="K143"/>
  <c r="Q143"/>
  <c r="O143"/>
  <c r="M143"/>
  <c r="V144" l="1"/>
  <c r="R144"/>
  <c r="R143"/>
  <c r="U143"/>
  <c r="W143"/>
  <c r="V143"/>
  <c r="X143"/>
  <c r="X142" s="1"/>
  <c r="W142" s="1"/>
  <c r="V142"/>
  <c r="U142" s="1"/>
  <c r="Q142"/>
  <c r="P142"/>
  <c r="O142"/>
  <c r="N142"/>
  <c r="M142"/>
  <c r="L142"/>
  <c r="K142"/>
  <c r="BF141"/>
  <c r="BF140" s="1"/>
  <c r="AU140"/>
  <c r="AR140"/>
  <c r="AQ140"/>
  <c r="AQ139" s="1"/>
  <c r="AP139" s="1"/>
  <c r="AP140"/>
  <c r="AU139"/>
  <c r="AR139" s="1"/>
  <c r="L141"/>
  <c r="Q141"/>
  <c r="O141"/>
  <c r="M141"/>
  <c r="K141"/>
  <c r="P141"/>
  <c r="N141"/>
  <c r="L140" l="1"/>
  <c r="N140"/>
  <c r="N139" s="1"/>
  <c r="P140"/>
  <c r="P139" s="1"/>
  <c r="V141"/>
  <c r="K140"/>
  <c r="BF139" s="1"/>
  <c r="M140"/>
  <c r="U141"/>
  <c r="R141"/>
  <c r="X141" s="1"/>
  <c r="O140"/>
  <c r="W141"/>
  <c r="Q140"/>
  <c r="Q139" s="1"/>
  <c r="X140"/>
  <c r="R142"/>
  <c r="BF138"/>
  <c r="BF137"/>
  <c r="O138"/>
  <c r="M138"/>
  <c r="K138"/>
  <c r="P138"/>
  <c r="N138"/>
  <c r="L138"/>
  <c r="Q138"/>
  <c r="M139" l="1"/>
  <c r="L139" s="1"/>
  <c r="K139" s="1"/>
  <c r="R138"/>
  <c r="X138" s="1"/>
  <c r="U138"/>
  <c r="W138"/>
  <c r="V138"/>
  <c r="R140"/>
  <c r="O139"/>
  <c r="R139" s="1"/>
  <c r="W140"/>
  <c r="V140" s="1"/>
  <c r="U140" s="1"/>
  <c r="X139"/>
  <c r="BF136"/>
  <c r="Q137"/>
  <c r="O137"/>
  <c r="M137"/>
  <c r="N137"/>
  <c r="K137"/>
  <c r="P137"/>
  <c r="L137"/>
  <c r="W139" l="1"/>
  <c r="V139" s="1"/>
  <c r="U139" s="1"/>
  <c r="R137"/>
  <c r="I137"/>
  <c r="BF135"/>
  <c r="Q136"/>
  <c r="O136"/>
  <c r="N136"/>
  <c r="K136"/>
  <c r="P136"/>
  <c r="L136"/>
  <c r="M136"/>
  <c r="R136" l="1"/>
  <c r="X136" s="1"/>
  <c r="U136"/>
  <c r="W136"/>
  <c r="V136"/>
  <c r="W137"/>
  <c r="U137"/>
  <c r="X137"/>
  <c r="V137"/>
  <c r="BF134"/>
  <c r="Q135"/>
  <c r="O135"/>
  <c r="M135"/>
  <c r="K135"/>
  <c r="P135"/>
  <c r="N135"/>
  <c r="L135"/>
  <c r="V135" l="1"/>
  <c r="U135"/>
  <c r="R135"/>
  <c r="X135" s="1"/>
  <c r="W135"/>
  <c r="BF133"/>
  <c r="AU133"/>
  <c r="AR133"/>
  <c r="AQ133"/>
  <c r="AP133"/>
  <c r="BF132"/>
  <c r="O134"/>
  <c r="M134"/>
  <c r="K134"/>
  <c r="P134"/>
  <c r="N134"/>
  <c r="L134"/>
  <c r="Q134"/>
  <c r="K133" l="1"/>
  <c r="M133"/>
  <c r="R134"/>
  <c r="X134" s="1"/>
  <c r="X133" s="1"/>
  <c r="Y133" s="1"/>
  <c r="O133"/>
  <c r="U134"/>
  <c r="U133" s="1"/>
  <c r="W134"/>
  <c r="W133" s="1"/>
  <c r="Q133"/>
  <c r="L133"/>
  <c r="N133"/>
  <c r="V134"/>
  <c r="V133" s="1"/>
  <c r="P133"/>
  <c r="BF131"/>
  <c r="K132"/>
  <c r="P132"/>
  <c r="N132"/>
  <c r="L132"/>
  <c r="Q132"/>
  <c r="O132"/>
  <c r="M132"/>
  <c r="V132" l="1"/>
  <c r="U132"/>
  <c r="R132"/>
  <c r="X132" s="1"/>
  <c r="W132"/>
  <c r="R133"/>
  <c r="BF130"/>
  <c r="AU130"/>
  <c r="AR130"/>
  <c r="AQ130"/>
  <c r="AP130"/>
  <c r="O131"/>
  <c r="P131"/>
  <c r="K131"/>
  <c r="M131"/>
  <c r="Q131"/>
  <c r="N131"/>
  <c r="L131"/>
  <c r="R131" l="1"/>
  <c r="X131" s="1"/>
  <c r="U131"/>
  <c r="W131"/>
  <c r="V131"/>
  <c r="BF129"/>
  <c r="M130"/>
  <c r="K130"/>
  <c r="P130"/>
  <c r="N130"/>
  <c r="L130"/>
  <c r="Q130"/>
  <c r="O130"/>
  <c r="V130" l="1"/>
  <c r="U130"/>
  <c r="R130"/>
  <c r="X130" s="1"/>
  <c r="W130"/>
  <c r="BF128"/>
  <c r="BF127"/>
  <c r="AU127"/>
  <c r="AR127"/>
  <c r="AQ127"/>
  <c r="AP127"/>
  <c r="Q129"/>
  <c r="P128"/>
  <c r="M129"/>
  <c r="O128"/>
  <c r="L129"/>
  <c r="P129"/>
  <c r="N129"/>
  <c r="L128"/>
  <c r="Q128"/>
  <c r="N128"/>
  <c r="M128"/>
  <c r="K129"/>
  <c r="O129"/>
  <c r="K128"/>
  <c r="M127" l="1"/>
  <c r="W128"/>
  <c r="Q127"/>
  <c r="W129"/>
  <c r="L127"/>
  <c r="N127"/>
  <c r="V128"/>
  <c r="P127"/>
  <c r="V129"/>
  <c r="O127"/>
  <c r="R128"/>
  <c r="U128"/>
  <c r="R129"/>
  <c r="X129" s="1"/>
  <c r="U129"/>
  <c r="X128"/>
  <c r="K127"/>
  <c r="BF126"/>
  <c r="AU126"/>
  <c r="AR126"/>
  <c r="AQ126"/>
  <c r="AP126"/>
  <c r="BF125"/>
  <c r="X127" l="1"/>
  <c r="X126" s="1"/>
  <c r="U127"/>
  <c r="R127" s="1"/>
  <c r="W127"/>
  <c r="V127" s="1"/>
  <c r="BF124"/>
  <c r="Q125"/>
  <c r="N125"/>
  <c r="L125"/>
  <c r="O125"/>
  <c r="K125"/>
  <c r="M125"/>
  <c r="P125"/>
  <c r="W126" l="1"/>
  <c r="V126" s="1"/>
  <c r="V125"/>
  <c r="U125"/>
  <c r="R125"/>
  <c r="X125" s="1"/>
  <c r="W125"/>
  <c r="U126"/>
  <c r="BF123"/>
  <c r="N124"/>
  <c r="Q124"/>
  <c r="L124"/>
  <c r="K124"/>
  <c r="O124"/>
  <c r="M124"/>
  <c r="P124"/>
  <c r="R124" l="1"/>
  <c r="X124" s="1"/>
  <c r="U124"/>
  <c r="W124"/>
  <c r="V124"/>
  <c r="BF122"/>
  <c r="M123"/>
  <c r="K123"/>
  <c r="P123"/>
  <c r="N123"/>
  <c r="L123"/>
  <c r="Q123"/>
  <c r="O123"/>
  <c r="V123" l="1"/>
  <c r="U123"/>
  <c r="R123"/>
  <c r="X123" s="1"/>
  <c r="W123"/>
  <c r="BF121"/>
  <c r="Q122"/>
  <c r="O122"/>
  <c r="M122"/>
  <c r="K122"/>
  <c r="P122"/>
  <c r="N122"/>
  <c r="L122"/>
  <c r="V122" l="1"/>
  <c r="U122"/>
  <c r="R122"/>
  <c r="X122" s="1"/>
  <c r="W122"/>
  <c r="BF120"/>
  <c r="M121"/>
  <c r="K121"/>
  <c r="P121"/>
  <c r="N121"/>
  <c r="L121"/>
  <c r="Q121"/>
  <c r="O121"/>
  <c r="V121" l="1"/>
  <c r="U121"/>
  <c r="R121"/>
  <c r="X121" s="1"/>
  <c r="W121"/>
  <c r="BF119"/>
  <c r="M120"/>
  <c r="K120"/>
  <c r="P120"/>
  <c r="N120"/>
  <c r="L120"/>
  <c r="Q120"/>
  <c r="O120"/>
  <c r="V120" l="1"/>
  <c r="U120"/>
  <c r="R120"/>
  <c r="X120" s="1"/>
  <c r="W120"/>
  <c r="BF118"/>
  <c r="AU118"/>
  <c r="AR118"/>
  <c r="AQ118"/>
  <c r="AP118"/>
  <c r="M119"/>
  <c r="K119"/>
  <c r="P119"/>
  <c r="N119"/>
  <c r="L119"/>
  <c r="Q119"/>
  <c r="O119"/>
  <c r="V119" l="1"/>
  <c r="U119"/>
  <c r="R119"/>
  <c r="X119" s="1"/>
  <c r="W119"/>
  <c r="X118"/>
  <c r="Q118"/>
  <c r="Q117" s="1"/>
  <c r="P118"/>
  <c r="O118"/>
  <c r="O117" s="1"/>
  <c r="N118"/>
  <c r="M118"/>
  <c r="M117" s="1"/>
  <c r="L118"/>
  <c r="K118"/>
  <c r="K117" s="1"/>
  <c r="BF117"/>
  <c r="AU117"/>
  <c r="AR117"/>
  <c r="AQ117"/>
  <c r="AP117"/>
  <c r="X117"/>
  <c r="P117"/>
  <c r="N117"/>
  <c r="L117"/>
  <c r="BF116"/>
  <c r="BF115"/>
  <c r="K116"/>
  <c r="N116"/>
  <c r="O116"/>
  <c r="Q116"/>
  <c r="P116"/>
  <c r="M116"/>
  <c r="L116"/>
  <c r="W118" l="1"/>
  <c r="V118" s="1"/>
  <c r="R117"/>
  <c r="R118"/>
  <c r="R116"/>
  <c r="X116" s="1"/>
  <c r="U116"/>
  <c r="W116"/>
  <c r="V116"/>
  <c r="BF114"/>
  <c r="O115"/>
  <c r="M115"/>
  <c r="L115"/>
  <c r="Q115"/>
  <c r="N115"/>
  <c r="P115"/>
  <c r="K115"/>
  <c r="U118" l="1"/>
  <c r="V117"/>
  <c r="W117"/>
  <c r="V115"/>
  <c r="U115"/>
  <c r="R115"/>
  <c r="X115" s="1"/>
  <c r="W115"/>
  <c r="BF113"/>
  <c r="AU113"/>
  <c r="AR113"/>
  <c r="AQ113"/>
  <c r="AP113"/>
  <c r="L114"/>
  <c r="Q114"/>
  <c r="P114"/>
  <c r="N114"/>
  <c r="K114"/>
  <c r="M114"/>
  <c r="O114"/>
  <c r="U117" l="1"/>
  <c r="V114"/>
  <c r="U114"/>
  <c r="R114"/>
  <c r="X114" s="1"/>
  <c r="W114"/>
  <c r="BF112"/>
  <c r="K113"/>
  <c r="P113"/>
  <c r="N113"/>
  <c r="L113"/>
  <c r="Q113"/>
  <c r="O113"/>
  <c r="M113"/>
  <c r="R113" l="1"/>
  <c r="X113" s="1"/>
  <c r="U113"/>
  <c r="W113"/>
  <c r="V113"/>
  <c r="BF111"/>
  <c r="AU111"/>
  <c r="AR111"/>
  <c r="AQ111"/>
  <c r="AP111"/>
  <c r="M112"/>
  <c r="K112"/>
  <c r="P112"/>
  <c r="L112"/>
  <c r="Q112"/>
  <c r="O112"/>
  <c r="N112"/>
  <c r="V112" l="1"/>
  <c r="U112"/>
  <c r="R112"/>
  <c r="X112" s="1"/>
  <c r="W112"/>
  <c r="BF110"/>
  <c r="M111"/>
  <c r="K111"/>
  <c r="P111"/>
  <c r="N111"/>
  <c r="L111"/>
  <c r="Q111"/>
  <c r="O111"/>
  <c r="V111" l="1"/>
  <c r="U111"/>
  <c r="R111"/>
  <c r="X111" s="1"/>
  <c r="W111"/>
  <c r="BF109"/>
  <c r="M110"/>
  <c r="K110"/>
  <c r="P110"/>
  <c r="N110"/>
  <c r="L110"/>
  <c r="Q110"/>
  <c r="O110"/>
  <c r="V110" l="1"/>
  <c r="U110"/>
  <c r="R110"/>
  <c r="X110" s="1"/>
  <c r="W110"/>
  <c r="BF108"/>
  <c r="L109"/>
  <c r="Q109"/>
  <c r="O109"/>
  <c r="M109"/>
  <c r="K109"/>
  <c r="P109"/>
  <c r="N109"/>
  <c r="R109" l="1"/>
  <c r="X109" s="1"/>
  <c r="U109"/>
  <c r="W109"/>
  <c r="V109"/>
  <c r="BF107"/>
  <c r="Q108"/>
  <c r="O108"/>
  <c r="M108"/>
  <c r="K108"/>
  <c r="P108"/>
  <c r="N108"/>
  <c r="L108"/>
  <c r="V108" l="1"/>
  <c r="U108"/>
  <c r="R108"/>
  <c r="X108" s="1"/>
  <c r="W108"/>
  <c r="BF106"/>
  <c r="BF105"/>
  <c r="AU105"/>
  <c r="AR105"/>
  <c r="AQ105"/>
  <c r="AP105"/>
  <c r="O107"/>
  <c r="O106"/>
  <c r="N107"/>
  <c r="L106"/>
  <c r="Q106"/>
  <c r="P107"/>
  <c r="N106"/>
  <c r="K107"/>
  <c r="K106"/>
  <c r="P106"/>
  <c r="M107"/>
  <c r="M106"/>
  <c r="L107"/>
  <c r="Q107"/>
  <c r="M105" l="1"/>
  <c r="R106"/>
  <c r="X106" s="1"/>
  <c r="U106"/>
  <c r="O105"/>
  <c r="O104" s="1"/>
  <c r="O103" s="1"/>
  <c r="W106"/>
  <c r="Q105"/>
  <c r="R107"/>
  <c r="X107" s="1"/>
  <c r="U107"/>
  <c r="W107"/>
  <c r="L105"/>
  <c r="L104" s="1"/>
  <c r="N105"/>
  <c r="V106"/>
  <c r="P105"/>
  <c r="V107"/>
  <c r="K105"/>
  <c r="BF104"/>
  <c r="BF103" s="1"/>
  <c r="AU104"/>
  <c r="AR104"/>
  <c r="AR103" s="1"/>
  <c r="AQ104"/>
  <c r="AP104"/>
  <c r="AP103" s="1"/>
  <c r="P104"/>
  <c r="P103" s="1"/>
  <c r="N104"/>
  <c r="M104" s="1"/>
  <c r="M103" s="1"/>
  <c r="AU103"/>
  <c r="AQ103"/>
  <c r="BF102"/>
  <c r="AU102"/>
  <c r="AR102"/>
  <c r="AQ102"/>
  <c r="AP102"/>
  <c r="X105" l="1"/>
  <c r="K104"/>
  <c r="K103" s="1"/>
  <c r="L103"/>
  <c r="W105"/>
  <c r="W104" s="1"/>
  <c r="W103" s="1"/>
  <c r="X104"/>
  <c r="X103" s="1"/>
  <c r="N103"/>
  <c r="V105"/>
  <c r="U105" s="1"/>
  <c r="R105"/>
  <c r="BF101"/>
  <c r="AU101"/>
  <c r="AR101"/>
  <c r="AQ101"/>
  <c r="AP101"/>
  <c r="Q102"/>
  <c r="P102"/>
  <c r="O102"/>
  <c r="N102"/>
  <c r="M102"/>
  <c r="L102"/>
  <c r="K102"/>
  <c r="V104" l="1"/>
  <c r="U104" s="1"/>
  <c r="V102"/>
  <c r="U102"/>
  <c r="R102"/>
  <c r="X102" s="1"/>
  <c r="W102"/>
  <c r="BF100"/>
  <c r="AU100"/>
  <c r="AR100"/>
  <c r="AQ100"/>
  <c r="AP100"/>
  <c r="M101"/>
  <c r="L101"/>
  <c r="K101"/>
  <c r="P101"/>
  <c r="N101"/>
  <c r="O101"/>
  <c r="Q101"/>
  <c r="V103" l="1"/>
  <c r="U103"/>
  <c r="R101"/>
  <c r="X101" s="1"/>
  <c r="U101"/>
  <c r="W101"/>
  <c r="V101"/>
  <c r="BF99"/>
  <c r="N100"/>
  <c r="O100"/>
  <c r="M100"/>
  <c r="K100"/>
  <c r="P100"/>
  <c r="L100"/>
  <c r="Q100"/>
  <c r="V100" l="1"/>
  <c r="U100"/>
  <c r="R100"/>
  <c r="X100" s="1"/>
  <c r="W100"/>
  <c r="BF98"/>
  <c r="AU98"/>
  <c r="AR98"/>
  <c r="AQ98"/>
  <c r="AP98"/>
  <c r="AQ97"/>
  <c r="AP97" s="1"/>
  <c r="L99"/>
  <c r="Q99"/>
  <c r="O99"/>
  <c r="M99"/>
  <c r="K99"/>
  <c r="P99"/>
  <c r="N99"/>
  <c r="L98" l="1"/>
  <c r="N98"/>
  <c r="V99"/>
  <c r="V98" s="1"/>
  <c r="P98"/>
  <c r="P97" s="1"/>
  <c r="K98"/>
  <c r="BF97" s="1"/>
  <c r="AU97" s="1"/>
  <c r="AR97" s="1"/>
  <c r="M98"/>
  <c r="U99"/>
  <c r="R99"/>
  <c r="X99" s="1"/>
  <c r="O98"/>
  <c r="O97" s="1"/>
  <c r="W99"/>
  <c r="Q98"/>
  <c r="Q97" s="1"/>
  <c r="X98"/>
  <c r="W98" s="1"/>
  <c r="V97"/>
  <c r="BF96"/>
  <c r="BF95"/>
  <c r="M96"/>
  <c r="K96"/>
  <c r="P96"/>
  <c r="L96"/>
  <c r="Q96"/>
  <c r="O96"/>
  <c r="N96"/>
  <c r="N97" l="1"/>
  <c r="M97" s="1"/>
  <c r="L97" s="1"/>
  <c r="K97" s="1"/>
  <c r="X97"/>
  <c r="W97" s="1"/>
  <c r="V96"/>
  <c r="U96"/>
  <c r="R96"/>
  <c r="W96"/>
  <c r="X96"/>
  <c r="R97"/>
  <c r="U98"/>
  <c r="R98" s="1"/>
  <c r="BF94"/>
  <c r="AU94"/>
  <c r="AR94"/>
  <c r="AQ94"/>
  <c r="AP94"/>
  <c r="BF93"/>
  <c r="Q95"/>
  <c r="L95"/>
  <c r="M95"/>
  <c r="O95"/>
  <c r="K95"/>
  <c r="N95"/>
  <c r="P95"/>
  <c r="U97" l="1"/>
  <c r="K94"/>
  <c r="M94"/>
  <c r="U95"/>
  <c r="R95"/>
  <c r="X95" s="1"/>
  <c r="O94"/>
  <c r="W95"/>
  <c r="W94" s="1"/>
  <c r="Q94"/>
  <c r="L94"/>
  <c r="N94"/>
  <c r="V95"/>
  <c r="P94"/>
  <c r="X94"/>
  <c r="BF92"/>
  <c r="AU92"/>
  <c r="AR92"/>
  <c r="AQ92"/>
  <c r="AP92"/>
  <c r="N93"/>
  <c r="L93"/>
  <c r="M93"/>
  <c r="O93"/>
  <c r="P93"/>
  <c r="K93"/>
  <c r="Q93"/>
  <c r="U93" l="1"/>
  <c r="R93"/>
  <c r="X93" s="1"/>
  <c r="X92" s="1"/>
  <c r="V93"/>
  <c r="W93"/>
  <c r="V94"/>
  <c r="U94" s="1"/>
  <c r="R94" s="1"/>
  <c r="Q92"/>
  <c r="P92"/>
  <c r="O92"/>
  <c r="N92"/>
  <c r="M92"/>
  <c r="L92"/>
  <c r="K92"/>
  <c r="BF91"/>
  <c r="BF90"/>
  <c r="BF89" s="1"/>
  <c r="AU89"/>
  <c r="AR89"/>
  <c r="AQ89"/>
  <c r="AP89"/>
  <c r="L90"/>
  <c r="M90"/>
  <c r="K90"/>
  <c r="O90"/>
  <c r="N90"/>
  <c r="P90"/>
  <c r="Q90"/>
  <c r="R92" l="1"/>
  <c r="W92"/>
  <c r="V92" s="1"/>
  <c r="U92" s="1"/>
  <c r="R90"/>
  <c r="U90"/>
  <c r="W90"/>
  <c r="V90"/>
  <c r="X90"/>
  <c r="X89" s="1"/>
  <c r="W89" s="1"/>
  <c r="U89"/>
  <c r="Q89"/>
  <c r="P89"/>
  <c r="O89"/>
  <c r="N89"/>
  <c r="M89"/>
  <c r="L89"/>
  <c r="K89"/>
  <c r="BF88"/>
  <c r="AU88"/>
  <c r="AR88"/>
  <c r="AQ88"/>
  <c r="AP88"/>
  <c r="BF87"/>
  <c r="AU87"/>
  <c r="AR87"/>
  <c r="AQ87"/>
  <c r="AP87"/>
  <c r="O88"/>
  <c r="P88"/>
  <c r="K88"/>
  <c r="L88"/>
  <c r="Q88"/>
  <c r="N88"/>
  <c r="M88"/>
  <c r="R89" l="1"/>
  <c r="V89"/>
  <c r="V88"/>
  <c r="U88"/>
  <c r="R88"/>
  <c r="X88" s="1"/>
  <c r="W88"/>
  <c r="BF86"/>
  <c r="Q87"/>
  <c r="O87"/>
  <c r="M87"/>
  <c r="K87"/>
  <c r="P87"/>
  <c r="N87"/>
  <c r="L87"/>
  <c r="V87" l="1"/>
  <c r="U87"/>
  <c r="R87"/>
  <c r="X87" s="1"/>
  <c r="W87"/>
  <c r="BF85"/>
  <c r="L86"/>
  <c r="Q86"/>
  <c r="O86"/>
  <c r="M86"/>
  <c r="K86"/>
  <c r="P86"/>
  <c r="N86"/>
  <c r="R86" l="1"/>
  <c r="X86" s="1"/>
  <c r="U86"/>
  <c r="W86"/>
  <c r="V86"/>
  <c r="BF84"/>
  <c r="M85"/>
  <c r="K85"/>
  <c r="P85"/>
  <c r="N85"/>
  <c r="L85"/>
  <c r="Q85"/>
  <c r="O85"/>
  <c r="V85" l="1"/>
  <c r="U85"/>
  <c r="R85"/>
  <c r="X85" s="1"/>
  <c r="W85"/>
  <c r="BF83"/>
  <c r="M84"/>
  <c r="K84"/>
  <c r="P84"/>
  <c r="N84"/>
  <c r="L84"/>
  <c r="Q84"/>
  <c r="O84"/>
  <c r="V84" l="1"/>
  <c r="U84"/>
  <c r="R84"/>
  <c r="X84" s="1"/>
  <c r="W84"/>
  <c r="BF82"/>
  <c r="BF81"/>
  <c r="BF80"/>
  <c r="BF79"/>
  <c r="AU79"/>
  <c r="AR79"/>
  <c r="AQ79"/>
  <c r="AP79"/>
  <c r="BF78"/>
  <c r="BF77"/>
  <c r="AU77"/>
  <c r="AR77"/>
  <c r="AQ77"/>
  <c r="AP77"/>
  <c r="O78"/>
  <c r="N83"/>
  <c r="K83"/>
  <c r="K78"/>
  <c r="N78"/>
  <c r="L78"/>
  <c r="M83"/>
  <c r="P78"/>
  <c r="Q83"/>
  <c r="O83"/>
  <c r="M78"/>
  <c r="L83"/>
  <c r="Q78"/>
  <c r="P83"/>
  <c r="L77" l="1"/>
  <c r="N77"/>
  <c r="N76" s="1"/>
  <c r="V78"/>
  <c r="P77"/>
  <c r="P76" s="1"/>
  <c r="P75" s="1"/>
  <c r="V83"/>
  <c r="M77"/>
  <c r="U78"/>
  <c r="O77"/>
  <c r="O76" s="1"/>
  <c r="O75" s="1"/>
  <c r="R78"/>
  <c r="W78"/>
  <c r="Q77"/>
  <c r="U83"/>
  <c r="R83"/>
  <c r="X83" s="1"/>
  <c r="W83"/>
  <c r="X78"/>
  <c r="X77" s="1"/>
  <c r="K77"/>
  <c r="BF76"/>
  <c r="AU76"/>
  <c r="AU75" s="1"/>
  <c r="AR76"/>
  <c r="AQ76"/>
  <c r="AQ75" s="1"/>
  <c r="AP76"/>
  <c r="X76"/>
  <c r="X75" s="1"/>
  <c r="Y75" s="1"/>
  <c r="L76"/>
  <c r="BF75"/>
  <c r="AR75"/>
  <c r="AP75"/>
  <c r="BF74"/>
  <c r="K76" l="1"/>
  <c r="K75" s="1"/>
  <c r="M76"/>
  <c r="M75" s="1"/>
  <c r="N75"/>
  <c r="L75"/>
  <c r="R77"/>
  <c r="W77"/>
  <c r="V77" s="1"/>
  <c r="U77" s="1"/>
  <c r="BF73"/>
  <c r="AU73"/>
  <c r="AR73"/>
  <c r="AQ73"/>
  <c r="AP73"/>
  <c r="O74"/>
  <c r="M74"/>
  <c r="K74"/>
  <c r="N74"/>
  <c r="Q74"/>
  <c r="P74"/>
  <c r="L74"/>
  <c r="U74" l="1"/>
  <c r="R74"/>
  <c r="X74" s="1"/>
  <c r="W74"/>
  <c r="V74"/>
  <c r="V73" s="1"/>
  <c r="U73" s="1"/>
  <c r="W76"/>
  <c r="X73"/>
  <c r="W73" s="1"/>
  <c r="Q73"/>
  <c r="P73"/>
  <c r="O73"/>
  <c r="N73"/>
  <c r="M73"/>
  <c r="L73"/>
  <c r="K73"/>
  <c r="BF72"/>
  <c r="BF71" s="1"/>
  <c r="AU71"/>
  <c r="AR71"/>
  <c r="AQ71"/>
  <c r="AP71"/>
  <c r="BF70"/>
  <c r="P72"/>
  <c r="N72"/>
  <c r="L72"/>
  <c r="Q72"/>
  <c r="O72"/>
  <c r="M72"/>
  <c r="K72"/>
  <c r="R73" l="1"/>
  <c r="L71"/>
  <c r="N71"/>
  <c r="V72"/>
  <c r="P71"/>
  <c r="K71"/>
  <c r="M71"/>
  <c r="U72"/>
  <c r="O71"/>
  <c r="R72"/>
  <c r="X72" s="1"/>
  <c r="X71" s="1"/>
  <c r="W72"/>
  <c r="Q71"/>
  <c r="V76"/>
  <c r="W75"/>
  <c r="BF69"/>
  <c r="AU69"/>
  <c r="AR69"/>
  <c r="AQ69"/>
  <c r="AP69"/>
  <c r="O70"/>
  <c r="M69"/>
  <c r="K69"/>
  <c r="Q69"/>
  <c r="P70"/>
  <c r="P69"/>
  <c r="M70"/>
  <c r="L69"/>
  <c r="K70"/>
  <c r="Q70"/>
  <c r="L70"/>
  <c r="N70"/>
  <c r="O69"/>
  <c r="N69"/>
  <c r="W71" l="1"/>
  <c r="V71" s="1"/>
  <c r="U71" s="1"/>
  <c r="R71"/>
  <c r="R69"/>
  <c r="X69" s="1"/>
  <c r="U69"/>
  <c r="W69"/>
  <c r="V70"/>
  <c r="V69"/>
  <c r="U70"/>
  <c r="R70"/>
  <c r="X70" s="1"/>
  <c r="W70"/>
  <c r="U76"/>
  <c r="U75" s="1"/>
  <c r="V75"/>
  <c r="BF68"/>
  <c r="AU68"/>
  <c r="AR68"/>
  <c r="AQ68"/>
  <c r="AP68"/>
  <c r="BF67"/>
  <c r="BF66" l="1"/>
  <c r="AU66"/>
  <c r="AR66"/>
  <c r="AQ66"/>
  <c r="AP66"/>
  <c r="BF65"/>
  <c r="N67"/>
  <c r="Q67"/>
  <c r="O67"/>
  <c r="M67"/>
  <c r="K67"/>
  <c r="P67"/>
  <c r="L67"/>
  <c r="R67" l="1"/>
  <c r="X67" s="1"/>
  <c r="U67"/>
  <c r="W67"/>
  <c r="V67"/>
  <c r="O65"/>
  <c r="P65"/>
  <c r="Q65"/>
  <c r="L65"/>
  <c r="M65"/>
  <c r="K65"/>
  <c r="N65"/>
  <c r="R65" l="1"/>
  <c r="X65" s="1"/>
  <c r="U65"/>
  <c r="W65"/>
  <c r="V65"/>
  <c r="BF64"/>
  <c r="AU64"/>
  <c r="AR64"/>
  <c r="AQ64"/>
  <c r="AP64"/>
  <c r="BF63" s="1"/>
  <c r="AU63" s="1"/>
  <c r="AR63"/>
  <c r="AQ63" s="1"/>
  <c r="AP63" s="1"/>
  <c r="X63"/>
  <c r="W63" l="1"/>
  <c r="V63" s="1"/>
  <c r="U63"/>
  <c r="R63"/>
  <c r="Q63"/>
  <c r="P63"/>
  <c r="O63"/>
  <c r="N63"/>
  <c r="M63"/>
  <c r="L63"/>
  <c r="K63"/>
  <c r="BF62" s="1"/>
  <c r="AU62" s="1"/>
  <c r="AR62" s="1"/>
  <c r="AQ62" s="1"/>
  <c r="AP62" s="1"/>
  <c r="X62" s="1"/>
  <c r="W62" s="1"/>
  <c r="V62" s="1"/>
  <c r="U62" s="1"/>
  <c r="R62" s="1"/>
  <c r="Q62" s="1"/>
  <c r="P62" s="1"/>
  <c r="O62" s="1"/>
  <c r="N62" s="1"/>
  <c r="M62" s="1"/>
  <c r="L62" s="1"/>
  <c r="K62" s="1"/>
  <c r="BF61"/>
  <c r="BF60"/>
  <c r="AU60"/>
  <c r="AR60"/>
  <c r="AQ60"/>
  <c r="AP60"/>
  <c r="N61"/>
  <c r="Q61"/>
  <c r="O61"/>
  <c r="L61"/>
  <c r="K61"/>
  <c r="P61"/>
  <c r="M61"/>
  <c r="R61" l="1"/>
  <c r="X61" s="1"/>
  <c r="X60" s="1"/>
  <c r="X59" s="1"/>
  <c r="U61"/>
  <c r="W61"/>
  <c r="W60" s="1"/>
  <c r="V61"/>
  <c r="Q60"/>
  <c r="Q59" s="1"/>
  <c r="P60"/>
  <c r="O60"/>
  <c r="N60"/>
  <c r="M60"/>
  <c r="L60"/>
  <c r="K60"/>
  <c r="BF59" s="1"/>
  <c r="AU59"/>
  <c r="AR59" s="1"/>
  <c r="AQ59"/>
  <c r="AP59" s="1"/>
  <c r="P59"/>
  <c r="O59"/>
  <c r="N59"/>
  <c r="M59"/>
  <c r="L59"/>
  <c r="K59"/>
  <c r="BF58"/>
  <c r="BF57"/>
  <c r="AU57"/>
  <c r="AR57"/>
  <c r="AQ57"/>
  <c r="AP57"/>
  <c r="L58"/>
  <c r="K58"/>
  <c r="Q58"/>
  <c r="O58"/>
  <c r="M58"/>
  <c r="P58"/>
  <c r="N58"/>
  <c r="V60" l="1"/>
  <c r="U60" s="1"/>
  <c r="W59"/>
  <c r="R59"/>
  <c r="R60"/>
  <c r="R58"/>
  <c r="X58" s="1"/>
  <c r="U58"/>
  <c r="W58"/>
  <c r="V58"/>
  <c r="V57" s="1"/>
  <c r="U57" s="1"/>
  <c r="X57"/>
  <c r="W57" s="1"/>
  <c r="Q57"/>
  <c r="P57"/>
  <c r="O57"/>
  <c r="N57"/>
  <c r="M57"/>
  <c r="L57"/>
  <c r="K57"/>
  <c r="BF56"/>
  <c r="BF55"/>
  <c r="N56"/>
  <c r="O56"/>
  <c r="Q56"/>
  <c r="K56"/>
  <c r="M56"/>
  <c r="L56"/>
  <c r="P56"/>
  <c r="V59" l="1"/>
  <c r="U59" s="1"/>
  <c r="R57"/>
  <c r="V56"/>
  <c r="U56"/>
  <c r="R56"/>
  <c r="X56" s="1"/>
  <c r="W56"/>
  <c r="BF54"/>
  <c r="AU54"/>
  <c r="AR54"/>
  <c r="AQ54"/>
  <c r="AP54"/>
  <c r="BF53"/>
  <c r="AU53"/>
  <c r="AR53"/>
  <c r="AQ53"/>
  <c r="AP53"/>
  <c r="BF52"/>
  <c r="BF51"/>
  <c r="K55"/>
  <c r="P55"/>
  <c r="N55"/>
  <c r="L55"/>
  <c r="Q55"/>
  <c r="O55"/>
  <c r="M55"/>
  <c r="L54" l="1"/>
  <c r="N54"/>
  <c r="V55"/>
  <c r="P54"/>
  <c r="K54"/>
  <c r="M54"/>
  <c r="U55"/>
  <c r="O54"/>
  <c r="R55"/>
  <c r="X55" s="1"/>
  <c r="X54" s="1"/>
  <c r="W55"/>
  <c r="Q54"/>
  <c r="BF50"/>
  <c r="O51"/>
  <c r="P51"/>
  <c r="K51"/>
  <c r="Q51"/>
  <c r="N51"/>
  <c r="L51"/>
  <c r="M51"/>
  <c r="W54" l="1"/>
  <c r="V54" s="1"/>
  <c r="U54" s="1"/>
  <c r="R54"/>
  <c r="V51"/>
  <c r="U51"/>
  <c r="R51"/>
  <c r="X51" s="1"/>
  <c r="W51"/>
  <c r="BF49"/>
  <c r="K50"/>
  <c r="P50"/>
  <c r="N50"/>
  <c r="L50"/>
  <c r="Q50"/>
  <c r="O50"/>
  <c r="M50"/>
  <c r="V50" l="1"/>
  <c r="U50"/>
  <c r="R50"/>
  <c r="X50" s="1"/>
  <c r="W50"/>
  <c r="BF48"/>
  <c r="AU48"/>
  <c r="AR48"/>
  <c r="AQ48"/>
  <c r="AP48"/>
  <c r="L49"/>
  <c r="M49"/>
  <c r="O49"/>
  <c r="K49"/>
  <c r="N49"/>
  <c r="P49"/>
  <c r="Q49"/>
  <c r="R49" l="1"/>
  <c r="X49" s="1"/>
  <c r="X48" s="1"/>
  <c r="U49"/>
  <c r="W49"/>
  <c r="V49"/>
  <c r="W48"/>
  <c r="U48"/>
  <c r="Q48"/>
  <c r="P48"/>
  <c r="O48"/>
  <c r="N48"/>
  <c r="M48"/>
  <c r="L48"/>
  <c r="K48"/>
  <c r="BF47"/>
  <c r="AU47"/>
  <c r="AR47"/>
  <c r="AQ47"/>
  <c r="AP47"/>
  <c r="BF46"/>
  <c r="M47"/>
  <c r="O47"/>
  <c r="L47"/>
  <c r="N47"/>
  <c r="K47"/>
  <c r="V48" l="1"/>
  <c r="U47"/>
  <c r="R48"/>
  <c r="BF45"/>
  <c r="AU45"/>
  <c r="AR45"/>
  <c r="AQ45"/>
  <c r="AP45"/>
  <c r="K46"/>
  <c r="P47"/>
  <c r="P46"/>
  <c r="N46"/>
  <c r="L46"/>
  <c r="Q47"/>
  <c r="Q46"/>
  <c r="O46"/>
  <c r="M46"/>
  <c r="V46" l="1"/>
  <c r="V47"/>
  <c r="U46"/>
  <c r="R46"/>
  <c r="X46" s="1"/>
  <c r="W46"/>
  <c r="W47"/>
  <c r="R47"/>
  <c r="X47" s="1"/>
  <c r="K45"/>
  <c r="P45"/>
  <c r="N45"/>
  <c r="L45"/>
  <c r="Q45"/>
  <c r="O45"/>
  <c r="M45"/>
  <c r="U45" l="1"/>
  <c r="R45"/>
  <c r="X45" s="1"/>
  <c r="W45"/>
  <c r="V45"/>
  <c r="BF43"/>
  <c r="AU43"/>
  <c r="AR43"/>
  <c r="AQ43"/>
  <c r="AP43"/>
  <c r="O44"/>
  <c r="L44"/>
  <c r="Q44"/>
  <c r="P44"/>
  <c r="N44"/>
  <c r="K44"/>
  <c r="M44"/>
  <c r="R44" l="1"/>
  <c r="X44" s="1"/>
  <c r="U44"/>
  <c r="W44"/>
  <c r="V44"/>
  <c r="BF42"/>
  <c r="AU42"/>
  <c r="AR42"/>
  <c r="AQ42"/>
  <c r="AP42"/>
  <c r="L43"/>
  <c r="Q43"/>
  <c r="O43"/>
  <c r="M43"/>
  <c r="K43"/>
  <c r="P43"/>
  <c r="N43"/>
  <c r="R43" l="1"/>
  <c r="X43" s="1"/>
  <c r="U43"/>
  <c r="W43"/>
  <c r="V43"/>
  <c r="BF41"/>
  <c r="L42"/>
  <c r="M42"/>
  <c r="O42"/>
  <c r="K42"/>
  <c r="N42"/>
  <c r="P42"/>
  <c r="Q42"/>
  <c r="R42" l="1"/>
  <c r="X42" s="1"/>
  <c r="U42"/>
  <c r="W42"/>
  <c r="V42"/>
  <c r="BF40"/>
  <c r="AU40"/>
  <c r="AR40"/>
  <c r="AQ40"/>
  <c r="AP40"/>
  <c r="M41"/>
  <c r="K41"/>
  <c r="P41"/>
  <c r="N41"/>
  <c r="L41"/>
  <c r="Q41"/>
  <c r="O41"/>
  <c r="V41" l="1"/>
  <c r="U41"/>
  <c r="R41"/>
  <c r="X41" s="1"/>
  <c r="W41"/>
  <c r="BF39"/>
  <c r="M40"/>
  <c r="K40"/>
  <c r="P40"/>
  <c r="N40"/>
  <c r="L40"/>
  <c r="Q40"/>
  <c r="O40"/>
  <c r="V40" l="1"/>
  <c r="U40"/>
  <c r="R40"/>
  <c r="X40" s="1"/>
  <c r="W40"/>
  <c r="BF38"/>
  <c r="AU38"/>
  <c r="AR38"/>
  <c r="AQ38"/>
  <c r="AP38"/>
  <c r="O39"/>
  <c r="P39"/>
  <c r="K39"/>
  <c r="N39"/>
  <c r="Q39"/>
  <c r="L39"/>
  <c r="M39"/>
  <c r="R39" l="1"/>
  <c r="X39" s="1"/>
  <c r="X38" s="1"/>
  <c r="U39"/>
  <c r="W39"/>
  <c r="V39"/>
  <c r="W38"/>
  <c r="U38"/>
  <c r="Q38"/>
  <c r="P38"/>
  <c r="O38"/>
  <c r="N38"/>
  <c r="M38"/>
  <c r="L38"/>
  <c r="K38"/>
  <c r="BF37"/>
  <c r="BF36"/>
  <c r="M37"/>
  <c r="K37"/>
  <c r="P37"/>
  <c r="N37"/>
  <c r="O37"/>
  <c r="L37"/>
  <c r="Q37"/>
  <c r="V38" l="1"/>
  <c r="V37"/>
  <c r="U37"/>
  <c r="R37"/>
  <c r="X37" s="1"/>
  <c r="W37"/>
  <c r="R38"/>
  <c r="BF35"/>
  <c r="K36"/>
  <c r="P36"/>
  <c r="N36"/>
  <c r="L36"/>
  <c r="M36"/>
  <c r="Q36"/>
  <c r="O36"/>
  <c r="V36" l="1"/>
  <c r="U36"/>
  <c r="R36"/>
  <c r="X36" s="1"/>
  <c r="W36"/>
  <c r="BF33"/>
  <c r="AU33"/>
  <c r="AR33"/>
  <c r="AQ33"/>
  <c r="AP33"/>
  <c r="M34"/>
  <c r="K34"/>
  <c r="P34"/>
  <c r="N34"/>
  <c r="L34"/>
  <c r="Q34"/>
  <c r="O34"/>
  <c r="V34" l="1"/>
  <c r="V33" s="1"/>
  <c r="U34"/>
  <c r="U33" s="1"/>
  <c r="R34"/>
  <c r="X34" s="1"/>
  <c r="Y34" s="1"/>
  <c r="W34"/>
  <c r="W33" s="1"/>
  <c r="X33"/>
  <c r="Q33"/>
  <c r="P33"/>
  <c r="O33"/>
  <c r="R33" s="1"/>
  <c r="N33"/>
  <c r="M33"/>
  <c r="L33"/>
  <c r="K33"/>
  <c r="BF32"/>
  <c r="AU32"/>
  <c r="AR32"/>
  <c r="AQ32"/>
  <c r="AP32"/>
  <c r="BF31"/>
  <c r="AU31"/>
  <c r="AR31"/>
  <c r="AQ31"/>
  <c r="AP31"/>
  <c r="N32"/>
  <c r="K32"/>
  <c r="M32"/>
  <c r="O32"/>
  <c r="L32"/>
  <c r="U32" l="1"/>
  <c r="BF30"/>
  <c r="AU30" s="1"/>
  <c r="AR30" s="1"/>
  <c r="AQ30" s="1"/>
  <c r="AP30"/>
  <c r="BF29"/>
  <c r="AU29"/>
  <c r="AR29"/>
  <c r="AQ29"/>
  <c r="AP29"/>
  <c r="P32"/>
  <c r="Q31"/>
  <c r="O31"/>
  <c r="M31"/>
  <c r="K31"/>
  <c r="Q32"/>
  <c r="P31"/>
  <c r="N31"/>
  <c r="L31"/>
  <c r="K30" l="1"/>
  <c r="M30"/>
  <c r="R31"/>
  <c r="X31" s="1"/>
  <c r="U31"/>
  <c r="U30" s="1"/>
  <c r="O30"/>
  <c r="W31"/>
  <c r="Q30"/>
  <c r="V32"/>
  <c r="L30"/>
  <c r="N30"/>
  <c r="V31"/>
  <c r="P30"/>
  <c r="W32"/>
  <c r="R32"/>
  <c r="X32" s="1"/>
  <c r="X30"/>
  <c r="BF28"/>
  <c r="AU28"/>
  <c r="AR28"/>
  <c r="AQ28"/>
  <c r="AP28"/>
  <c r="P29"/>
  <c r="N29"/>
  <c r="L29"/>
  <c r="Q29"/>
  <c r="O29"/>
  <c r="M29"/>
  <c r="K29"/>
  <c r="W30" l="1"/>
  <c r="V30" s="1"/>
  <c r="R29"/>
  <c r="X29" s="1"/>
  <c r="X28" s="1"/>
  <c r="U29"/>
  <c r="W29"/>
  <c r="V29"/>
  <c r="R30"/>
  <c r="Q28"/>
  <c r="P28"/>
  <c r="O28"/>
  <c r="N28"/>
  <c r="M28"/>
  <c r="L28"/>
  <c r="K28"/>
  <c r="BF26"/>
  <c r="BF25" s="1"/>
  <c r="AU26"/>
  <c r="AR26"/>
  <c r="AR25" s="1"/>
  <c r="AQ26"/>
  <c r="AP26"/>
  <c r="AP25" s="1"/>
  <c r="AU25"/>
  <c r="AQ25"/>
  <c r="M27"/>
  <c r="N26"/>
  <c r="N27"/>
  <c r="L26"/>
  <c r="K27"/>
  <c r="K26"/>
  <c r="L27"/>
  <c r="Q27"/>
  <c r="Q26"/>
  <c r="M26"/>
  <c r="P26"/>
  <c r="O27"/>
  <c r="O26"/>
  <c r="P27"/>
  <c r="R28" l="1"/>
  <c r="R26"/>
  <c r="X26" s="1"/>
  <c r="U26"/>
  <c r="W26"/>
  <c r="R27"/>
  <c r="X27" s="1"/>
  <c r="U27"/>
  <c r="W27"/>
  <c r="V26"/>
  <c r="V27"/>
  <c r="W28"/>
  <c r="V28" s="1"/>
  <c r="U28" s="1"/>
  <c r="Q25"/>
  <c r="P25"/>
  <c r="O25"/>
  <c r="N25"/>
  <c r="M25"/>
  <c r="X25" l="1"/>
  <c r="R25"/>
  <c r="W25"/>
  <c r="V25" s="1"/>
  <c r="U25"/>
  <c r="L25"/>
  <c r="K25"/>
  <c r="BF24" s="1"/>
  <c r="AU24" s="1"/>
  <c r="AR24" s="1"/>
  <c r="AQ24" s="1"/>
  <c r="AP24"/>
  <c r="X24" s="1"/>
  <c r="W24" s="1"/>
  <c r="V24" s="1"/>
  <c r="V23" s="1"/>
  <c r="Q24"/>
  <c r="P24"/>
  <c r="O24" s="1"/>
  <c r="N24" s="1"/>
  <c r="M24"/>
  <c r="L24"/>
  <c r="BF21"/>
  <c r="BF20"/>
  <c r="BF19"/>
  <c r="BF18" s="1"/>
  <c r="AU18"/>
  <c r="AR18"/>
  <c r="AQ18"/>
  <c r="AP18"/>
  <c r="O21"/>
  <c r="P21"/>
  <c r="K21"/>
  <c r="Q21"/>
  <c r="L21"/>
  <c r="M21"/>
  <c r="N21"/>
  <c r="P23" l="1"/>
  <c r="O23"/>
  <c r="K24"/>
  <c r="BF23" s="1"/>
  <c r="AU23" s="1"/>
  <c r="AR23" s="1"/>
  <c r="AQ23" s="1"/>
  <c r="AP23" s="1"/>
  <c r="X23" s="1"/>
  <c r="U24"/>
  <c r="U23" s="1"/>
  <c r="R21"/>
  <c r="X21" s="1"/>
  <c r="U21"/>
  <c r="W21"/>
  <c r="V21"/>
  <c r="R24"/>
  <c r="BF17"/>
  <c r="O18"/>
  <c r="M18"/>
  <c r="K18"/>
  <c r="P18"/>
  <c r="N18"/>
  <c r="L18"/>
  <c r="Q18"/>
  <c r="N23" l="1"/>
  <c r="M23" s="1"/>
  <c r="L23" s="1"/>
  <c r="O22"/>
  <c r="W23"/>
  <c r="X22"/>
  <c r="K23"/>
  <c r="V18"/>
  <c r="U18"/>
  <c r="R18"/>
  <c r="X18" s="1"/>
  <c r="W18"/>
  <c r="BF16"/>
  <c r="BF15"/>
  <c r="BF14"/>
  <c r="BF13"/>
  <c r="Z13"/>
  <c r="BF12"/>
  <c r="AU11"/>
  <c r="AR11"/>
  <c r="AQ11"/>
  <c r="AP11"/>
  <c r="K17"/>
  <c r="M17"/>
  <c r="P17"/>
  <c r="N17"/>
  <c r="Q17"/>
  <c r="O17"/>
  <c r="L17"/>
  <c r="BF11" l="1"/>
  <c r="W22"/>
  <c r="V22" s="1"/>
  <c r="U22" s="1"/>
  <c r="N22"/>
  <c r="M22" s="1"/>
  <c r="L22" s="1"/>
  <c r="BF22"/>
  <c r="AU22" s="1"/>
  <c r="AR22" s="1"/>
  <c r="AQ22" s="1"/>
  <c r="AP22" s="1"/>
  <c r="K22"/>
  <c r="R17"/>
  <c r="X17" s="1"/>
  <c r="U17"/>
  <c r="W17"/>
  <c r="V17"/>
  <c r="Z15"/>
  <c r="BF10"/>
  <c r="BF9"/>
  <c r="BF7" s="1"/>
  <c r="BF8"/>
  <c r="AU7"/>
  <c r="AR7"/>
  <c r="AQ7"/>
  <c r="AP7"/>
  <c r="L11"/>
  <c r="Q11"/>
  <c r="O11"/>
  <c r="M11"/>
  <c r="K11"/>
  <c r="P11"/>
  <c r="N11"/>
  <c r="V11" l="1"/>
  <c r="U11"/>
  <c r="R11"/>
  <c r="X11" s="1"/>
  <c r="W11"/>
  <c r="BF6"/>
  <c r="Q7"/>
  <c r="O7"/>
  <c r="M7"/>
  <c r="K7"/>
  <c r="P7"/>
  <c r="N7"/>
  <c r="L7"/>
  <c r="R7" l="1"/>
  <c r="X7" s="1"/>
  <c r="U7"/>
  <c r="W7"/>
  <c r="V7"/>
  <c r="AU6"/>
  <c r="AR6"/>
  <c r="AQ6"/>
  <c r="AP6"/>
  <c r="X6"/>
  <c r="W6" s="1"/>
  <c r="V6"/>
  <c r="U6" s="1"/>
  <c r="Q6"/>
  <c r="P6"/>
  <c r="O6"/>
  <c r="N6"/>
  <c r="M6"/>
  <c r="R6" l="1"/>
  <c r="L6"/>
  <c r="K6"/>
  <c r="K5" s="1"/>
  <c r="BF5"/>
  <c r="AU5"/>
  <c r="AR5"/>
  <c r="AR4" s="1"/>
  <c r="AQ5"/>
  <c r="AP5"/>
  <c r="AP4" s="1"/>
  <c r="W5"/>
  <c r="W4" s="1"/>
  <c r="V5"/>
  <c r="U5" s="1"/>
  <c r="O5"/>
  <c r="N5" s="1"/>
  <c r="M5" s="1"/>
  <c r="AU4"/>
  <c r="AQ4"/>
  <c r="BF4" l="1"/>
  <c r="V4"/>
  <c r="U4" s="1"/>
  <c r="L5"/>
  <c r="BF381" i="21"/>
  <c r="BF380"/>
  <c r="BF379"/>
  <c r="BF378"/>
  <c r="Q380"/>
  <c r="K382"/>
  <c r="N380"/>
  <c r="K380"/>
  <c r="L380"/>
  <c r="P380"/>
  <c r="M380"/>
  <c r="Q382"/>
  <c r="N382"/>
  <c r="N378"/>
  <c r="K378"/>
  <c r="O380"/>
  <c r="M382"/>
  <c r="M378"/>
  <c r="Q378"/>
  <c r="K379"/>
  <c r="O382"/>
  <c r="P378"/>
  <c r="P382"/>
  <c r="O378"/>
  <c r="L378"/>
  <c r="M379"/>
  <c r="N379"/>
  <c r="O379"/>
  <c r="L379"/>
  <c r="P379"/>
  <c r="Q379"/>
  <c r="L382"/>
  <c r="V378" l="1"/>
  <c r="R379"/>
  <c r="X379" s="1"/>
  <c r="U379"/>
  <c r="W379"/>
  <c r="V380"/>
  <c r="R382"/>
  <c r="X382" s="1"/>
  <c r="U382"/>
  <c r="W382"/>
  <c r="U378"/>
  <c r="R378"/>
  <c r="X378" s="1"/>
  <c r="W378"/>
  <c r="V379"/>
  <c r="U380"/>
  <c r="R380"/>
  <c r="X380" s="1"/>
  <c r="W380"/>
  <c r="V382"/>
  <c r="BF377"/>
  <c r="AU377"/>
  <c r="AR377"/>
  <c r="AQ377"/>
  <c r="AP377"/>
  <c r="U377"/>
  <c r="Q377"/>
  <c r="P377"/>
  <c r="O377"/>
  <c r="N377"/>
  <c r="M377"/>
  <c r="L377"/>
  <c r="K377"/>
  <c r="BF376"/>
  <c r="BF375"/>
  <c r="BF374"/>
  <c r="O376"/>
  <c r="M376"/>
  <c r="P376"/>
  <c r="K375"/>
  <c r="N375"/>
  <c r="L375"/>
  <c r="P375"/>
  <c r="M375"/>
  <c r="N376"/>
  <c r="O375"/>
  <c r="L376"/>
  <c r="Q375"/>
  <c r="K376"/>
  <c r="Q376"/>
  <c r="X377" l="1"/>
  <c r="W377"/>
  <c r="V377"/>
  <c r="V375"/>
  <c r="V376"/>
  <c r="U375"/>
  <c r="R375"/>
  <c r="X375" s="1"/>
  <c r="W375"/>
  <c r="U376"/>
  <c r="R376"/>
  <c r="X376" s="1"/>
  <c r="W376"/>
  <c r="R377"/>
  <c r="BF373"/>
  <c r="BF372"/>
  <c r="BF371"/>
  <c r="BF370"/>
  <c r="K372"/>
  <c r="M374"/>
  <c r="M373"/>
  <c r="P371"/>
  <c r="O371"/>
  <c r="P372"/>
  <c r="Q374"/>
  <c r="Q373"/>
  <c r="M372"/>
  <c r="K374"/>
  <c r="N372"/>
  <c r="L372"/>
  <c r="O372"/>
  <c r="M371"/>
  <c r="N374"/>
  <c r="N373"/>
  <c r="K373"/>
  <c r="K371"/>
  <c r="P374"/>
  <c r="L373"/>
  <c r="P373"/>
  <c r="N371"/>
  <c r="Q371"/>
  <c r="L374"/>
  <c r="L371"/>
  <c r="O373"/>
  <c r="Q372"/>
  <c r="O374"/>
  <c r="R371" l="1"/>
  <c r="X371" s="1"/>
  <c r="U371"/>
  <c r="W371"/>
  <c r="V372"/>
  <c r="V373"/>
  <c r="V374"/>
  <c r="V371"/>
  <c r="U372"/>
  <c r="R372"/>
  <c r="W372"/>
  <c r="U373"/>
  <c r="R373"/>
  <c r="W373"/>
  <c r="U374"/>
  <c r="R374"/>
  <c r="X374" s="1"/>
  <c r="W374"/>
  <c r="X372"/>
  <c r="X373"/>
  <c r="BF369"/>
  <c r="Q370"/>
  <c r="O370"/>
  <c r="M370"/>
  <c r="K370"/>
  <c r="P370"/>
  <c r="N370"/>
  <c r="L370"/>
  <c r="V370" l="1"/>
  <c r="U370"/>
  <c r="R370"/>
  <c r="X370" s="1"/>
  <c r="W370"/>
  <c r="BF368"/>
  <c r="P369"/>
  <c r="N369"/>
  <c r="Q369"/>
  <c r="O369"/>
  <c r="M369"/>
  <c r="K369"/>
  <c r="L369"/>
  <c r="R369" l="1"/>
  <c r="X369" s="1"/>
  <c r="U369"/>
  <c r="W369"/>
  <c r="V369"/>
  <c r="BF367"/>
  <c r="M368"/>
  <c r="K368"/>
  <c r="N368"/>
  <c r="L368"/>
  <c r="Q368"/>
  <c r="O368"/>
  <c r="P368"/>
  <c r="V368" l="1"/>
  <c r="U368"/>
  <c r="R368"/>
  <c r="X368" s="1"/>
  <c r="W368"/>
  <c r="BF366"/>
  <c r="BF365"/>
  <c r="AU365"/>
  <c r="AR365"/>
  <c r="AQ365"/>
  <c r="AP365"/>
  <c r="M366"/>
  <c r="O366"/>
  <c r="L367"/>
  <c r="O367"/>
  <c r="K366"/>
  <c r="Q367"/>
  <c r="N366"/>
  <c r="N367"/>
  <c r="M367"/>
  <c r="P367"/>
  <c r="P366"/>
  <c r="K367"/>
  <c r="L366"/>
  <c r="Q366"/>
  <c r="M365" l="1"/>
  <c r="R366"/>
  <c r="X366" s="1"/>
  <c r="O365"/>
  <c r="O364" s="1"/>
  <c r="U366"/>
  <c r="Q365"/>
  <c r="W366"/>
  <c r="R367"/>
  <c r="X367" s="1"/>
  <c r="U367"/>
  <c r="W367"/>
  <c r="N365"/>
  <c r="N364" s="1"/>
  <c r="V366"/>
  <c r="P365"/>
  <c r="P364" s="1"/>
  <c r="V367"/>
  <c r="L365"/>
  <c r="L364" s="1"/>
  <c r="K365"/>
  <c r="K364" s="1"/>
  <c r="BF364"/>
  <c r="AU364"/>
  <c r="AR364"/>
  <c r="AQ364"/>
  <c r="AP364"/>
  <c r="Q364"/>
  <c r="M364"/>
  <c r="BF363"/>
  <c r="W365" l="1"/>
  <c r="V365" s="1"/>
  <c r="V364" s="1"/>
  <c r="X365"/>
  <c r="X364" s="1"/>
  <c r="R364"/>
  <c r="U365"/>
  <c r="U364" s="1"/>
  <c r="W364"/>
  <c r="R365"/>
  <c r="BF362"/>
  <c r="N363"/>
  <c r="K363"/>
  <c r="P363"/>
  <c r="O363"/>
  <c r="L363"/>
  <c r="Q363"/>
  <c r="M363"/>
  <c r="R363" l="1"/>
  <c r="X363" s="1"/>
  <c r="U363"/>
  <c r="W363"/>
  <c r="V363"/>
  <c r="BF361"/>
  <c r="BF360"/>
  <c r="AU360"/>
  <c r="AR360"/>
  <c r="AQ360"/>
  <c r="AP360"/>
  <c r="K361"/>
  <c r="O362"/>
  <c r="P361"/>
  <c r="L362"/>
  <c r="O361"/>
  <c r="Q361"/>
  <c r="Q362"/>
  <c r="L361"/>
  <c r="N362"/>
  <c r="P362"/>
  <c r="K362"/>
  <c r="M362"/>
  <c r="N361"/>
  <c r="M361"/>
  <c r="R361" l="1"/>
  <c r="O360"/>
  <c r="O359" s="1"/>
  <c r="U361"/>
  <c r="Q360"/>
  <c r="Q359" s="1"/>
  <c r="Q358" s="1"/>
  <c r="W361"/>
  <c r="R362"/>
  <c r="X362" s="1"/>
  <c r="U362"/>
  <c r="W362"/>
  <c r="N360"/>
  <c r="N359" s="1"/>
  <c r="V361"/>
  <c r="P360"/>
  <c r="V362"/>
  <c r="M360"/>
  <c r="X361"/>
  <c r="X360" s="1"/>
  <c r="X359" s="1"/>
  <c r="X358" s="1"/>
  <c r="L360"/>
  <c r="K360"/>
  <c r="BF359" s="1"/>
  <c r="AU359"/>
  <c r="AR359" s="1"/>
  <c r="AQ359"/>
  <c r="AP359" s="1"/>
  <c r="P359"/>
  <c r="M359"/>
  <c r="L359"/>
  <c r="BF358"/>
  <c r="AU358"/>
  <c r="AR358"/>
  <c r="AP358"/>
  <c r="BF357"/>
  <c r="BF356"/>
  <c r="AU356"/>
  <c r="AR356"/>
  <c r="AQ356"/>
  <c r="AP356"/>
  <c r="N356"/>
  <c r="O356"/>
  <c r="L356"/>
  <c r="Q356"/>
  <c r="M356"/>
  <c r="P356"/>
  <c r="K356"/>
  <c r="AQ358" l="1"/>
  <c r="K359"/>
  <c r="P358"/>
  <c r="O358" s="1"/>
  <c r="V356"/>
  <c r="U356"/>
  <c r="R356"/>
  <c r="X356" s="1"/>
  <c r="W356"/>
  <c r="W355" s="1"/>
  <c r="N358"/>
  <c r="M358" s="1"/>
  <c r="L358" s="1"/>
  <c r="K358" s="1"/>
  <c r="R358"/>
  <c r="R359"/>
  <c r="W360"/>
  <c r="BF355"/>
  <c r="AU355" s="1"/>
  <c r="AR355"/>
  <c r="AQ355" s="1"/>
  <c r="AP355" s="1"/>
  <c r="V355" l="1"/>
  <c r="U355" s="1"/>
  <c r="V360"/>
  <c r="U360" s="1"/>
  <c r="R360" s="1"/>
  <c r="W359"/>
  <c r="X355"/>
  <c r="Q355"/>
  <c r="P355"/>
  <c r="O355"/>
  <c r="N355"/>
  <c r="M355"/>
  <c r="L355"/>
  <c r="K355"/>
  <c r="BF354"/>
  <c r="BF353"/>
  <c r="M354"/>
  <c r="Q354"/>
  <c r="O354"/>
  <c r="P354"/>
  <c r="K354"/>
  <c r="N354"/>
  <c r="L354"/>
  <c r="R355" l="1"/>
  <c r="R354"/>
  <c r="I354"/>
  <c r="V359"/>
  <c r="W358"/>
  <c r="BF352"/>
  <c r="BF351" s="1"/>
  <c r="AU351"/>
  <c r="AR351"/>
  <c r="AQ351"/>
  <c r="AP351"/>
  <c r="P352"/>
  <c r="O353"/>
  <c r="O352"/>
  <c r="P353"/>
  <c r="N352"/>
  <c r="M353"/>
  <c r="M352"/>
  <c r="N353"/>
  <c r="L352"/>
  <c r="K353"/>
  <c r="K352"/>
  <c r="L353"/>
  <c r="Q353"/>
  <c r="Q352"/>
  <c r="R352" l="1"/>
  <c r="I352"/>
  <c r="R353"/>
  <c r="I353"/>
  <c r="U354"/>
  <c r="X354"/>
  <c r="V354"/>
  <c r="W354"/>
  <c r="U359"/>
  <c r="U358" s="1"/>
  <c r="V358"/>
  <c r="Q351"/>
  <c r="P351"/>
  <c r="O351"/>
  <c r="N351"/>
  <c r="M351"/>
  <c r="L351"/>
  <c r="R351" l="1"/>
  <c r="U353"/>
  <c r="X353"/>
  <c r="V353"/>
  <c r="W353"/>
  <c r="X352"/>
  <c r="V352"/>
  <c r="W352"/>
  <c r="U352"/>
  <c r="K351"/>
  <c r="BF350" s="1"/>
  <c r="AU350" s="1"/>
  <c r="AR350" s="1"/>
  <c r="AQ350" s="1"/>
  <c r="AP350" s="1"/>
  <c r="Q350"/>
  <c r="Q349" s="1"/>
  <c r="P350"/>
  <c r="O350"/>
  <c r="N350"/>
  <c r="M350"/>
  <c r="L350"/>
  <c r="AU349"/>
  <c r="AR349" s="1"/>
  <c r="AP349"/>
  <c r="BF348"/>
  <c r="AQ349" l="1"/>
  <c r="BF349"/>
  <c r="K350"/>
  <c r="R350"/>
  <c r="P349"/>
  <c r="O349" s="1"/>
  <c r="N349" s="1"/>
  <c r="M349" s="1"/>
  <c r="L349" s="1"/>
  <c r="K349" s="1"/>
  <c r="V351"/>
  <c r="U351"/>
  <c r="R349"/>
  <c r="X351"/>
  <c r="BF347"/>
  <c r="BF346"/>
  <c r="N348"/>
  <c r="P348"/>
  <c r="M347"/>
  <c r="O347"/>
  <c r="Q347"/>
  <c r="K348"/>
  <c r="M348"/>
  <c r="O348"/>
  <c r="Q348"/>
  <c r="L347"/>
  <c r="N347"/>
  <c r="P347"/>
  <c r="L348"/>
  <c r="K347"/>
  <c r="R347" l="1"/>
  <c r="U347"/>
  <c r="W347"/>
  <c r="R348"/>
  <c r="X348" s="1"/>
  <c r="U348"/>
  <c r="W348"/>
  <c r="V347"/>
  <c r="V348"/>
  <c r="W351"/>
  <c r="W350" s="1"/>
  <c r="V350" s="1"/>
  <c r="U350" s="1"/>
  <c r="X350"/>
  <c r="X349" s="1"/>
  <c r="X347"/>
  <c r="BF345"/>
  <c r="AU345"/>
  <c r="AR345"/>
  <c r="AQ345"/>
  <c r="AP345"/>
  <c r="Q346"/>
  <c r="L346"/>
  <c r="N346"/>
  <c r="K346"/>
  <c r="M346"/>
  <c r="P346"/>
  <c r="O346"/>
  <c r="U346" l="1"/>
  <c r="R346"/>
  <c r="X346" s="1"/>
  <c r="X345" s="1"/>
  <c r="V346"/>
  <c r="W346"/>
  <c r="W349"/>
  <c r="V349" s="1"/>
  <c r="U349" s="1"/>
  <c r="Q345"/>
  <c r="P345"/>
  <c r="O345"/>
  <c r="N345"/>
  <c r="M345"/>
  <c r="L345"/>
  <c r="K345"/>
  <c r="BF343"/>
  <c r="AU343"/>
  <c r="AR343"/>
  <c r="AQ343"/>
  <c r="AP343"/>
  <c r="K344"/>
  <c r="O344"/>
  <c r="P344"/>
  <c r="M344"/>
  <c r="Q344"/>
  <c r="N344"/>
  <c r="L344"/>
  <c r="R345" l="1"/>
  <c r="V344"/>
  <c r="U344"/>
  <c r="R344"/>
  <c r="X344" s="1"/>
  <c r="W344"/>
  <c r="X343"/>
  <c r="W345"/>
  <c r="V345" s="1"/>
  <c r="U345" s="1"/>
  <c r="Q343"/>
  <c r="P343"/>
  <c r="O343"/>
  <c r="N343"/>
  <c r="M343"/>
  <c r="L343"/>
  <c r="K343"/>
  <c r="BF342"/>
  <c r="BF341"/>
  <c r="L342"/>
  <c r="Q342"/>
  <c r="O342"/>
  <c r="M342"/>
  <c r="K342"/>
  <c r="P342"/>
  <c r="N342"/>
  <c r="R343" l="1"/>
  <c r="V342"/>
  <c r="U342"/>
  <c r="R342"/>
  <c r="X342" s="1"/>
  <c r="W342"/>
  <c r="W343"/>
  <c r="V343" s="1"/>
  <c r="U343" s="1"/>
  <c r="BF340"/>
  <c r="K341"/>
  <c r="N341"/>
  <c r="P341"/>
  <c r="Q341"/>
  <c r="L341"/>
  <c r="M341"/>
  <c r="O341"/>
  <c r="R341" l="1"/>
  <c r="X341" s="1"/>
  <c r="U341"/>
  <c r="W341"/>
  <c r="V341"/>
  <c r="BF339"/>
  <c r="AU339"/>
  <c r="AR339"/>
  <c r="AQ339"/>
  <c r="AP339"/>
  <c r="M340"/>
  <c r="K340"/>
  <c r="P340"/>
  <c r="N340"/>
  <c r="L340"/>
  <c r="Q340"/>
  <c r="O340"/>
  <c r="V340" l="1"/>
  <c r="U340"/>
  <c r="R340"/>
  <c r="X340" s="1"/>
  <c r="W340"/>
  <c r="X339"/>
  <c r="Q339"/>
  <c r="P339"/>
  <c r="O339"/>
  <c r="N339"/>
  <c r="M339"/>
  <c r="L339"/>
  <c r="K339"/>
  <c r="BF338"/>
  <c r="BF337"/>
  <c r="BF336" s="1"/>
  <c r="AU336"/>
  <c r="AR336"/>
  <c r="AQ336"/>
  <c r="AP336"/>
  <c r="P338"/>
  <c r="N338"/>
  <c r="L338"/>
  <c r="Q338"/>
  <c r="O338"/>
  <c r="M338"/>
  <c r="K338"/>
  <c r="W339" l="1"/>
  <c r="V339" s="1"/>
  <c r="U339" s="1"/>
  <c r="R339"/>
  <c r="K337"/>
  <c r="M337"/>
  <c r="M336" s="1"/>
  <c r="R338"/>
  <c r="X338" s="1"/>
  <c r="X337" s="1"/>
  <c r="X336" s="1"/>
  <c r="O337"/>
  <c r="O336" s="1"/>
  <c r="U338"/>
  <c r="U337" s="1"/>
  <c r="Q337"/>
  <c r="W338"/>
  <c r="W337" s="1"/>
  <c r="W336" s="1"/>
  <c r="L337"/>
  <c r="N337"/>
  <c r="N336" s="1"/>
  <c r="V338"/>
  <c r="P337"/>
  <c r="P336" s="1"/>
  <c r="Q336"/>
  <c r="R336" l="1"/>
  <c r="R337"/>
  <c r="V337"/>
  <c r="V336" s="1"/>
  <c r="U336" s="1"/>
  <c r="L336"/>
  <c r="K336" s="1"/>
  <c r="BF335"/>
  <c r="AU335"/>
  <c r="AR335"/>
  <c r="AQ335"/>
  <c r="AP335"/>
  <c r="X335" s="1"/>
  <c r="W335" l="1"/>
  <c r="V335" s="1"/>
  <c r="U335" s="1"/>
  <c r="Q335"/>
  <c r="P335" s="1"/>
  <c r="O335" s="1"/>
  <c r="N335" s="1"/>
  <c r="M335"/>
  <c r="L335"/>
  <c r="K335"/>
  <c r="BF334"/>
  <c r="BF333"/>
  <c r="BF332"/>
  <c r="P333"/>
  <c r="N333"/>
  <c r="Q333"/>
  <c r="L334"/>
  <c r="N334"/>
  <c r="M333"/>
  <c r="O334"/>
  <c r="M334"/>
  <c r="Q334"/>
  <c r="K333"/>
  <c r="K334"/>
  <c r="P334"/>
  <c r="O333"/>
  <c r="L333"/>
  <c r="R335" l="1"/>
  <c r="V333"/>
  <c r="R333"/>
  <c r="X333" s="1"/>
  <c r="U333"/>
  <c r="W333"/>
  <c r="R334"/>
  <c r="X334" s="1"/>
  <c r="U334"/>
  <c r="W334"/>
  <c r="V334"/>
  <c r="BF331"/>
  <c r="M332"/>
  <c r="O332"/>
  <c r="N332"/>
  <c r="P332"/>
  <c r="Q332"/>
  <c r="L332"/>
  <c r="K332"/>
  <c r="R332" l="1"/>
  <c r="X332" s="1"/>
  <c r="U332"/>
  <c r="W332"/>
  <c r="V332"/>
  <c r="BF330"/>
  <c r="M331"/>
  <c r="K331"/>
  <c r="L331"/>
  <c r="Q331"/>
  <c r="O331"/>
  <c r="P331"/>
  <c r="N331"/>
  <c r="V331" l="1"/>
  <c r="U331"/>
  <c r="R331"/>
  <c r="X331" s="1"/>
  <c r="W331"/>
  <c r="BF329"/>
  <c r="K330"/>
  <c r="P330"/>
  <c r="N330"/>
  <c r="L330"/>
  <c r="Q330"/>
  <c r="O330"/>
  <c r="M330"/>
  <c r="R330" l="1"/>
  <c r="X330" s="1"/>
  <c r="U330"/>
  <c r="W330"/>
  <c r="V330"/>
  <c r="BF328"/>
  <c r="BF327"/>
  <c r="AU327"/>
  <c r="AR327"/>
  <c r="AQ327"/>
  <c r="AP327"/>
  <c r="O329"/>
  <c r="L328"/>
  <c r="L329"/>
  <c r="P328"/>
  <c r="P329"/>
  <c r="N329"/>
  <c r="M328"/>
  <c r="K328"/>
  <c r="Q328"/>
  <c r="O328"/>
  <c r="M329"/>
  <c r="K329"/>
  <c r="Q329"/>
  <c r="N328"/>
  <c r="N327" l="1"/>
  <c r="P327"/>
  <c r="V328"/>
  <c r="V329"/>
  <c r="M327"/>
  <c r="U328"/>
  <c r="R328"/>
  <c r="O327"/>
  <c r="W328"/>
  <c r="Q327"/>
  <c r="U329"/>
  <c r="R329"/>
  <c r="X329" s="1"/>
  <c r="W329"/>
  <c r="X328"/>
  <c r="X327" s="1"/>
  <c r="W327" s="1"/>
  <c r="V327" s="1"/>
  <c r="U327" s="1"/>
  <c r="L327"/>
  <c r="K327"/>
  <c r="BF326" s="1"/>
  <c r="AU326" s="1"/>
  <c r="AR326"/>
  <c r="AQ326" s="1"/>
  <c r="AP326" s="1"/>
  <c r="X326" l="1"/>
  <c r="W326" s="1"/>
  <c r="R327"/>
  <c r="V326"/>
  <c r="U326" s="1"/>
  <c r="Q326"/>
  <c r="P326"/>
  <c r="O326"/>
  <c r="N326"/>
  <c r="M326"/>
  <c r="L326"/>
  <c r="K326"/>
  <c r="BF325"/>
  <c r="BF324"/>
  <c r="BF323"/>
  <c r="BF322"/>
  <c r="BF321"/>
  <c r="BF320"/>
  <c r="BF319"/>
  <c r="BF318"/>
  <c r="BF317"/>
  <c r="BF316"/>
  <c r="BF315"/>
  <c r="BF314"/>
  <c r="BF313"/>
  <c r="BF312"/>
  <c r="BF311"/>
  <c r="BF310"/>
  <c r="BF309"/>
  <c r="BF308"/>
  <c r="BF307"/>
  <c r="BF306"/>
  <c r="BF305"/>
  <c r="BF304"/>
  <c r="BF303"/>
  <c r="BF302"/>
  <c r="BF301" s="1"/>
  <c r="BF300" s="1"/>
  <c r="AU300" s="1"/>
  <c r="AU301"/>
  <c r="AR301"/>
  <c r="AQ301"/>
  <c r="AP301"/>
  <c r="AR300"/>
  <c r="AQ300" s="1"/>
  <c r="AP300" s="1"/>
  <c r="P301"/>
  <c r="N301"/>
  <c r="L301"/>
  <c r="Q301"/>
  <c r="O301"/>
  <c r="M301"/>
  <c r="K301"/>
  <c r="R326" l="1"/>
  <c r="R301"/>
  <c r="X301" s="1"/>
  <c r="X300" s="1"/>
  <c r="U301"/>
  <c r="U300" s="1"/>
  <c r="W301"/>
  <c r="V301"/>
  <c r="Q300"/>
  <c r="P300"/>
  <c r="O300"/>
  <c r="N300"/>
  <c r="M300"/>
  <c r="L300"/>
  <c r="K300"/>
  <c r="BF299"/>
  <c r="BF298"/>
  <c r="BF297" s="1"/>
  <c r="AU298"/>
  <c r="AR298"/>
  <c r="AQ298"/>
  <c r="AP298"/>
  <c r="AU297"/>
  <c r="AR297" s="1"/>
  <c r="AQ297"/>
  <c r="AP297"/>
  <c r="BF296"/>
  <c r="P299"/>
  <c r="N299"/>
  <c r="L299"/>
  <c r="Q299"/>
  <c r="O299"/>
  <c r="M299"/>
  <c r="K299"/>
  <c r="W300" l="1"/>
  <c r="R300"/>
  <c r="M298"/>
  <c r="M297" s="1"/>
  <c r="R299"/>
  <c r="I299"/>
  <c r="O298"/>
  <c r="Q298"/>
  <c r="Q297" s="1"/>
  <c r="L298"/>
  <c r="L297" s="1"/>
  <c r="N298"/>
  <c r="P298"/>
  <c r="K298"/>
  <c r="K297" s="1"/>
  <c r="V300"/>
  <c r="BF295"/>
  <c r="AU295"/>
  <c r="AR295"/>
  <c r="AQ295"/>
  <c r="AP295"/>
  <c r="BF294"/>
  <c r="K296"/>
  <c r="P296"/>
  <c r="N296"/>
  <c r="L296"/>
  <c r="Q296"/>
  <c r="O296"/>
  <c r="M296"/>
  <c r="L295" l="1"/>
  <c r="N295"/>
  <c r="V296"/>
  <c r="P295"/>
  <c r="K295"/>
  <c r="M295"/>
  <c r="U296"/>
  <c r="O295"/>
  <c r="R296"/>
  <c r="X296" s="1"/>
  <c r="X295" s="1"/>
  <c r="W296"/>
  <c r="Q295"/>
  <c r="X299"/>
  <c r="X298" s="1"/>
  <c r="X297" s="1"/>
  <c r="V299"/>
  <c r="W299"/>
  <c r="W298" s="1"/>
  <c r="U299"/>
  <c r="R298"/>
  <c r="P297"/>
  <c r="O297" s="1"/>
  <c r="P294"/>
  <c r="N294"/>
  <c r="L294"/>
  <c r="Q294"/>
  <c r="O294"/>
  <c r="M294"/>
  <c r="K294"/>
  <c r="W295" l="1"/>
  <c r="V295" s="1"/>
  <c r="U295" s="1"/>
  <c r="R295" s="1"/>
  <c r="R294"/>
  <c r="X294" s="1"/>
  <c r="X293" s="1"/>
  <c r="U294"/>
  <c r="W294"/>
  <c r="V294"/>
  <c r="N297"/>
  <c r="R297"/>
  <c r="V298"/>
  <c r="U298" s="1"/>
  <c r="W297"/>
  <c r="Q293"/>
  <c r="P293"/>
  <c r="O293"/>
  <c r="N293"/>
  <c r="M293"/>
  <c r="L293"/>
  <c r="K293"/>
  <c r="BF292"/>
  <c r="BF291"/>
  <c r="AU291"/>
  <c r="AR291"/>
  <c r="AQ291"/>
  <c r="AP291"/>
  <c r="BF290"/>
  <c r="Q292"/>
  <c r="O292"/>
  <c r="M292"/>
  <c r="K292"/>
  <c r="P292"/>
  <c r="N292"/>
  <c r="L292"/>
  <c r="R293" l="1"/>
  <c r="W293"/>
  <c r="V293" s="1"/>
  <c r="U293" s="1"/>
  <c r="L291"/>
  <c r="N291"/>
  <c r="V292"/>
  <c r="P291"/>
  <c r="K291"/>
  <c r="M291"/>
  <c r="U292"/>
  <c r="O291"/>
  <c r="R292"/>
  <c r="X292" s="1"/>
  <c r="X291" s="1"/>
  <c r="W292"/>
  <c r="Q291"/>
  <c r="V297"/>
  <c r="U297" s="1"/>
  <c r="BF289"/>
  <c r="AU289"/>
  <c r="AR289"/>
  <c r="AQ289"/>
  <c r="AP289"/>
  <c r="BF288"/>
  <c r="AU288" s="1"/>
  <c r="AR288"/>
  <c r="AP288"/>
  <c r="Q290"/>
  <c r="O290"/>
  <c r="M290"/>
  <c r="K290"/>
  <c r="P290"/>
  <c r="N290"/>
  <c r="L290"/>
  <c r="AQ288" l="1"/>
  <c r="W291"/>
  <c r="V291" s="1"/>
  <c r="U291" s="1"/>
  <c r="R291" s="1"/>
  <c r="L289"/>
  <c r="N289"/>
  <c r="V290"/>
  <c r="P289"/>
  <c r="P288" s="1"/>
  <c r="K289"/>
  <c r="M289"/>
  <c r="U290"/>
  <c r="O289"/>
  <c r="R290"/>
  <c r="X290" s="1"/>
  <c r="X289" s="1"/>
  <c r="X288" s="1"/>
  <c r="W290"/>
  <c r="Q289"/>
  <c r="Q288" s="1"/>
  <c r="O288"/>
  <c r="BF287"/>
  <c r="BF286"/>
  <c r="Q287"/>
  <c r="O287"/>
  <c r="M287"/>
  <c r="K287"/>
  <c r="P287"/>
  <c r="N287"/>
  <c r="L287"/>
  <c r="V287" l="1"/>
  <c r="U287"/>
  <c r="R287"/>
  <c r="X287" s="1"/>
  <c r="W287"/>
  <c r="N288"/>
  <c r="M288" s="1"/>
  <c r="L288" s="1"/>
  <c r="K288" s="1"/>
  <c r="R288"/>
  <c r="W289"/>
  <c r="BF285"/>
  <c r="Q286"/>
  <c r="O286"/>
  <c r="M286"/>
  <c r="K286"/>
  <c r="P286"/>
  <c r="N286"/>
  <c r="L286"/>
  <c r="R286" l="1"/>
  <c r="I286"/>
  <c r="V289"/>
  <c r="U289" s="1"/>
  <c r="R289" s="1"/>
  <c r="W288"/>
  <c r="BF284"/>
  <c r="P285"/>
  <c r="N285"/>
  <c r="L285"/>
  <c r="Q285"/>
  <c r="O285"/>
  <c r="M285"/>
  <c r="K285"/>
  <c r="V288" l="1"/>
  <c r="U288" s="1"/>
  <c r="R285"/>
  <c r="X285" s="1"/>
  <c r="U285"/>
  <c r="W285"/>
  <c r="V285"/>
  <c r="W286"/>
  <c r="U286"/>
  <c r="X286"/>
  <c r="V286"/>
  <c r="BF283"/>
  <c r="Q284"/>
  <c r="O284"/>
  <c r="M284"/>
  <c r="K284"/>
  <c r="P284"/>
  <c r="N284"/>
  <c r="L284"/>
  <c r="R284" l="1"/>
  <c r="X284" s="1"/>
  <c r="U284"/>
  <c r="W284"/>
  <c r="V284"/>
  <c r="BF282"/>
  <c r="AU282"/>
  <c r="AR282"/>
  <c r="AQ282"/>
  <c r="AP282"/>
  <c r="BF281"/>
  <c r="P283"/>
  <c r="N283"/>
  <c r="L283"/>
  <c r="Q283"/>
  <c r="O283"/>
  <c r="M283"/>
  <c r="K283"/>
  <c r="K282" l="1"/>
  <c r="M282"/>
  <c r="R283"/>
  <c r="X283" s="1"/>
  <c r="U283"/>
  <c r="O282"/>
  <c r="W283"/>
  <c r="Q282"/>
  <c r="L282"/>
  <c r="N282"/>
  <c r="V283"/>
  <c r="V282" s="1"/>
  <c r="U282" s="1"/>
  <c r="P282"/>
  <c r="BF280"/>
  <c r="Q281"/>
  <c r="O281"/>
  <c r="M281"/>
  <c r="K281"/>
  <c r="P281"/>
  <c r="N281"/>
  <c r="L281"/>
  <c r="R282" l="1"/>
  <c r="V281"/>
  <c r="U281"/>
  <c r="R281"/>
  <c r="X281" s="1"/>
  <c r="W281"/>
  <c r="BF279"/>
  <c r="BF278" s="1"/>
  <c r="AU278"/>
  <c r="AR278"/>
  <c r="AQ278"/>
  <c r="AP278"/>
  <c r="P280"/>
  <c r="N280"/>
  <c r="L280"/>
  <c r="Q280"/>
  <c r="K280"/>
  <c r="O280"/>
  <c r="M280"/>
  <c r="R280" l="1"/>
  <c r="X280" s="1"/>
  <c r="U280"/>
  <c r="W280"/>
  <c r="V280"/>
  <c r="BF277"/>
  <c r="K278"/>
  <c r="P278"/>
  <c r="N278"/>
  <c r="Q278"/>
  <c r="O278"/>
  <c r="M278"/>
  <c r="L278"/>
  <c r="V278" l="1"/>
  <c r="U278"/>
  <c r="R278"/>
  <c r="X278" s="1"/>
  <c r="W278"/>
  <c r="BF276"/>
  <c r="M276"/>
  <c r="O277"/>
  <c r="P277"/>
  <c r="N276"/>
  <c r="K276"/>
  <c r="Q276"/>
  <c r="O276"/>
  <c r="P276"/>
  <c r="N277"/>
  <c r="K277"/>
  <c r="M277"/>
  <c r="L276"/>
  <c r="Q277"/>
  <c r="L277"/>
  <c r="R276" l="1"/>
  <c r="U276"/>
  <c r="W276"/>
  <c r="R277"/>
  <c r="X277" s="1"/>
  <c r="U277"/>
  <c r="W277"/>
  <c r="V276"/>
  <c r="V277"/>
  <c r="X276"/>
  <c r="BF275"/>
  <c r="AU275" s="1"/>
  <c r="AR275"/>
  <c r="AQ275" s="1"/>
  <c r="AP275" s="1"/>
  <c r="W275" l="1"/>
  <c r="V275" s="1"/>
  <c r="X275"/>
  <c r="U275"/>
  <c r="Q275"/>
  <c r="Q274" s="1"/>
  <c r="P275"/>
  <c r="P274" s="1"/>
  <c r="O275"/>
  <c r="O274" s="1"/>
  <c r="N275"/>
  <c r="N274" s="1"/>
  <c r="M275"/>
  <c r="M274" s="1"/>
  <c r="L275"/>
  <c r="L274" s="1"/>
  <c r="K275"/>
  <c r="K274" s="1"/>
  <c r="BF274"/>
  <c r="AU274" s="1"/>
  <c r="AR274" s="1"/>
  <c r="AQ274" s="1"/>
  <c r="AP274"/>
  <c r="BF273"/>
  <c r="BF272"/>
  <c r="K273"/>
  <c r="N273"/>
  <c r="L273"/>
  <c r="Q273"/>
  <c r="P273"/>
  <c r="O273"/>
  <c r="M273"/>
  <c r="R275" l="1"/>
  <c r="R274"/>
  <c r="R273"/>
  <c r="X273" s="1"/>
  <c r="U273"/>
  <c r="W273"/>
  <c r="V273"/>
  <c r="BF271"/>
  <c r="O272"/>
  <c r="L272"/>
  <c r="N272"/>
  <c r="P272"/>
  <c r="M272"/>
  <c r="Q272"/>
  <c r="K272"/>
  <c r="V272" l="1"/>
  <c r="U272"/>
  <c r="R272"/>
  <c r="X272" s="1"/>
  <c r="W272"/>
  <c r="BF270"/>
  <c r="N271"/>
  <c r="L271"/>
  <c r="P271"/>
  <c r="M271"/>
  <c r="Q271"/>
  <c r="O271"/>
  <c r="K271"/>
  <c r="V271" l="1"/>
  <c r="U271"/>
  <c r="R271"/>
  <c r="X271" s="1"/>
  <c r="W271"/>
  <c r="BF269"/>
  <c r="N270"/>
  <c r="L270"/>
  <c r="Q270"/>
  <c r="O270"/>
  <c r="M270"/>
  <c r="K270"/>
  <c r="P270"/>
  <c r="V270" l="1"/>
  <c r="U270"/>
  <c r="R270"/>
  <c r="X270" s="1"/>
  <c r="W270"/>
  <c r="BF268"/>
  <c r="K269"/>
  <c r="L269"/>
  <c r="O269"/>
  <c r="Q269"/>
  <c r="P269"/>
  <c r="M269"/>
  <c r="N269"/>
  <c r="R269" l="1"/>
  <c r="X269" s="1"/>
  <c r="U269"/>
  <c r="W269"/>
  <c r="V269"/>
  <c r="BF267"/>
  <c r="BF266"/>
  <c r="AU266"/>
  <c r="AR266"/>
  <c r="AQ266"/>
  <c r="AP266"/>
  <c r="N268"/>
  <c r="M267"/>
  <c r="P268"/>
  <c r="Q267"/>
  <c r="L268"/>
  <c r="M268"/>
  <c r="K267"/>
  <c r="Q268"/>
  <c r="K268"/>
  <c r="O268"/>
  <c r="N267"/>
  <c r="L267"/>
  <c r="O267"/>
  <c r="P267"/>
  <c r="V268" l="1"/>
  <c r="U267"/>
  <c r="R267"/>
  <c r="W267"/>
  <c r="U268"/>
  <c r="R268"/>
  <c r="X268" s="1"/>
  <c r="W268"/>
  <c r="V267"/>
  <c r="X267"/>
  <c r="Q266"/>
  <c r="P266"/>
  <c r="O266"/>
  <c r="R266" s="1"/>
  <c r="N266"/>
  <c r="M266"/>
  <c r="W266" l="1"/>
  <c r="X266"/>
  <c r="X265" s="1"/>
  <c r="V266"/>
  <c r="U266" s="1"/>
  <c r="L266"/>
  <c r="L265" s="1"/>
  <c r="K266"/>
  <c r="BF265" s="1"/>
  <c r="AU265" s="1"/>
  <c r="AR265" s="1"/>
  <c r="AQ265" s="1"/>
  <c r="AP265" s="1"/>
  <c r="Q265"/>
  <c r="P265"/>
  <c r="O265"/>
  <c r="N265"/>
  <c r="M265"/>
  <c r="BF264"/>
  <c r="BF263"/>
  <c r="N264"/>
  <c r="L264"/>
  <c r="P264"/>
  <c r="K264"/>
  <c r="M264"/>
  <c r="O264"/>
  <c r="Q264"/>
  <c r="W265" l="1"/>
  <c r="R265"/>
  <c r="K265"/>
  <c r="V265"/>
  <c r="U265" s="1"/>
  <c r="V264"/>
  <c r="U264"/>
  <c r="R264"/>
  <c r="X264" s="1"/>
  <c r="W264"/>
  <c r="BF262"/>
  <c r="P263"/>
  <c r="N263"/>
  <c r="L263"/>
  <c r="Q263"/>
  <c r="O263"/>
  <c r="M263"/>
  <c r="K263"/>
  <c r="R263" l="1"/>
  <c r="X263" s="1"/>
  <c r="U263"/>
  <c r="W263"/>
  <c r="V263"/>
  <c r="BF261"/>
  <c r="BF260"/>
  <c r="BF259"/>
  <c r="BF258"/>
  <c r="BF257"/>
  <c r="BF256"/>
  <c r="AU256"/>
  <c r="AR256"/>
  <c r="AQ256"/>
  <c r="AP256"/>
  <c r="Q262"/>
  <c r="O262"/>
  <c r="M262"/>
  <c r="K262"/>
  <c r="P262"/>
  <c r="N262"/>
  <c r="L262"/>
  <c r="V262" l="1"/>
  <c r="U262"/>
  <c r="R262"/>
  <c r="X262" s="1"/>
  <c r="W262"/>
  <c r="BF255"/>
  <c r="Q256"/>
  <c r="O256"/>
  <c r="M256"/>
  <c r="K256"/>
  <c r="P256"/>
  <c r="N256"/>
  <c r="L256"/>
  <c r="V256" l="1"/>
  <c r="U256"/>
  <c r="R256"/>
  <c r="X256" s="1"/>
  <c r="W256"/>
  <c r="BF254"/>
  <c r="BF253"/>
  <c r="BF252"/>
  <c r="BF251"/>
  <c r="AU251"/>
  <c r="AR251"/>
  <c r="AR246" s="1"/>
  <c r="AQ246" s="1"/>
  <c r="AP246" s="1"/>
  <c r="AQ251"/>
  <c r="AP251"/>
  <c r="BF250"/>
  <c r="BF249"/>
  <c r="BF248"/>
  <c r="BF247"/>
  <c r="BF246" s="1"/>
  <c r="AU246" s="1"/>
  <c r="Q255"/>
  <c r="O255"/>
  <c r="M255"/>
  <c r="K255"/>
  <c r="P255"/>
  <c r="N255"/>
  <c r="L255"/>
  <c r="V255" l="1"/>
  <c r="U255"/>
  <c r="R255"/>
  <c r="X255" s="1"/>
  <c r="W255"/>
  <c r="BF245"/>
  <c r="Q246"/>
  <c r="O246"/>
  <c r="M246"/>
  <c r="K246"/>
  <c r="P246"/>
  <c r="N246"/>
  <c r="L246"/>
  <c r="V246" l="1"/>
  <c r="U246"/>
  <c r="R246"/>
  <c r="X246" s="1"/>
  <c r="W246"/>
  <c r="BF244"/>
  <c r="Q245"/>
  <c r="O245"/>
  <c r="M245"/>
  <c r="K245"/>
  <c r="P245"/>
  <c r="N245"/>
  <c r="L245"/>
  <c r="V245" l="1"/>
  <c r="U245"/>
  <c r="R245"/>
  <c r="X245" s="1"/>
  <c r="W245"/>
  <c r="BF243"/>
  <c r="Q244"/>
  <c r="O244"/>
  <c r="M244"/>
  <c r="K244"/>
  <c r="P244"/>
  <c r="N244"/>
  <c r="L244"/>
  <c r="V244" l="1"/>
  <c r="U244"/>
  <c r="R244"/>
  <c r="X244" s="1"/>
  <c r="W244"/>
  <c r="BF242"/>
  <c r="Q243"/>
  <c r="O243"/>
  <c r="M243"/>
  <c r="K243"/>
  <c r="P243"/>
  <c r="N243"/>
  <c r="L243"/>
  <c r="V243" l="1"/>
  <c r="U243"/>
  <c r="R243"/>
  <c r="X243" s="1"/>
  <c r="W243"/>
  <c r="BF241"/>
  <c r="BF240"/>
  <c r="AU240"/>
  <c r="AR240"/>
  <c r="AQ240"/>
  <c r="AP240"/>
  <c r="Q242"/>
  <c r="N241"/>
  <c r="P241"/>
  <c r="L242"/>
  <c r="N242"/>
  <c r="P242"/>
  <c r="K241"/>
  <c r="M241"/>
  <c r="O241"/>
  <c r="Q241"/>
  <c r="K242"/>
  <c r="M242"/>
  <c r="O242"/>
  <c r="L241"/>
  <c r="N240" l="1"/>
  <c r="P240"/>
  <c r="P239" s="1"/>
  <c r="V241"/>
  <c r="V242"/>
  <c r="M240"/>
  <c r="U241"/>
  <c r="R241"/>
  <c r="O240"/>
  <c r="W241"/>
  <c r="Q240"/>
  <c r="Q239" s="1"/>
  <c r="Q238" s="1"/>
  <c r="U242"/>
  <c r="R242"/>
  <c r="X242" s="1"/>
  <c r="W242"/>
  <c r="X241"/>
  <c r="L240"/>
  <c r="K240"/>
  <c r="BF239" s="1"/>
  <c r="AU239" s="1"/>
  <c r="AR239"/>
  <c r="AQ239" s="1"/>
  <c r="AP239"/>
  <c r="N239"/>
  <c r="M239" s="1"/>
  <c r="AU238"/>
  <c r="AR238" s="1"/>
  <c r="AQ238"/>
  <c r="BF237"/>
  <c r="BF236"/>
  <c r="BF235"/>
  <c r="AU235"/>
  <c r="AR235"/>
  <c r="AQ235"/>
  <c r="AP235"/>
  <c r="AP238" l="1"/>
  <c r="K239"/>
  <c r="BF238" s="1"/>
  <c r="X240"/>
  <c r="X239" s="1"/>
  <c r="X238" s="1"/>
  <c r="U240"/>
  <c r="U239" s="1"/>
  <c r="L239"/>
  <c r="P238"/>
  <c r="R240"/>
  <c r="N238"/>
  <c r="M238" s="1"/>
  <c r="O239"/>
  <c r="R239" s="1"/>
  <c r="W240"/>
  <c r="V240" s="1"/>
  <c r="BF234"/>
  <c r="BF233"/>
  <c r="BF232"/>
  <c r="BF231"/>
  <c r="AU231"/>
  <c r="AR231"/>
  <c r="AQ231"/>
  <c r="AP231"/>
  <c r="N235"/>
  <c r="P235"/>
  <c r="O235"/>
  <c r="K235"/>
  <c r="M235"/>
  <c r="Q235"/>
  <c r="L235"/>
  <c r="L238" l="1"/>
  <c r="K238" s="1"/>
  <c r="V235"/>
  <c r="U235"/>
  <c r="R235"/>
  <c r="X235" s="1"/>
  <c r="W235"/>
  <c r="W239"/>
  <c r="O238"/>
  <c r="R238" s="1"/>
  <c r="BF230"/>
  <c r="BF229"/>
  <c r="BF228"/>
  <c r="AU228"/>
  <c r="AR228"/>
  <c r="AQ228"/>
  <c r="AP228"/>
  <c r="Q231"/>
  <c r="K231"/>
  <c r="P231"/>
  <c r="N231"/>
  <c r="L231"/>
  <c r="O231"/>
  <c r="M231"/>
  <c r="V231" l="1"/>
  <c r="U231"/>
  <c r="R231"/>
  <c r="X231" s="1"/>
  <c r="W231"/>
  <c r="V239"/>
  <c r="W238"/>
  <c r="BF227"/>
  <c r="BF226"/>
  <c r="BF225"/>
  <c r="BF224"/>
  <c r="AU224" s="1"/>
  <c r="AR224" s="1"/>
  <c r="AQ224" s="1"/>
  <c r="AP224"/>
  <c r="Q225"/>
  <c r="N225"/>
  <c r="O225"/>
  <c r="M228"/>
  <c r="M225"/>
  <c r="L228"/>
  <c r="L225"/>
  <c r="K228"/>
  <c r="K225"/>
  <c r="P225"/>
  <c r="Q228"/>
  <c r="P228"/>
  <c r="O228"/>
  <c r="N228"/>
  <c r="N224" l="1"/>
  <c r="V225"/>
  <c r="P224"/>
  <c r="V228"/>
  <c r="M224"/>
  <c r="M223" s="1"/>
  <c r="U225"/>
  <c r="O224"/>
  <c r="O223" s="1"/>
  <c r="N223" s="1"/>
  <c r="R225"/>
  <c r="X225" s="1"/>
  <c r="W225"/>
  <c r="Q224"/>
  <c r="Q223" s="1"/>
  <c r="U228"/>
  <c r="R228"/>
  <c r="X228" s="1"/>
  <c r="W228"/>
  <c r="L224"/>
  <c r="V238"/>
  <c r="U238" s="1"/>
  <c r="K224"/>
  <c r="BF223" s="1"/>
  <c r="AU223" s="1"/>
  <c r="AR223" s="1"/>
  <c r="AQ223" s="1"/>
  <c r="AP223" s="1"/>
  <c r="P223"/>
  <c r="BF222"/>
  <c r="R223" l="1"/>
  <c r="X224"/>
  <c r="X223" s="1"/>
  <c r="L223"/>
  <c r="K223" s="1"/>
  <c r="W224"/>
  <c r="V224" s="1"/>
  <c r="U224" s="1"/>
  <c r="R224"/>
  <c r="BF221"/>
  <c r="M222"/>
  <c r="N222"/>
  <c r="O222"/>
  <c r="Q222"/>
  <c r="L222"/>
  <c r="K222"/>
  <c r="P222"/>
  <c r="W223" l="1"/>
  <c r="V223" s="1"/>
  <c r="U223" s="1"/>
  <c r="V222"/>
  <c r="U222"/>
  <c r="R222"/>
  <c r="X222" s="1"/>
  <c r="W222"/>
  <c r="BF220"/>
  <c r="AU220"/>
  <c r="AR220"/>
  <c r="AQ220"/>
  <c r="AP220"/>
  <c r="O221"/>
  <c r="M221"/>
  <c r="K221"/>
  <c r="P221"/>
  <c r="N221"/>
  <c r="L221"/>
  <c r="Q221"/>
  <c r="V221" l="1"/>
  <c r="U221"/>
  <c r="R221"/>
  <c r="X221" s="1"/>
  <c r="W221"/>
  <c r="X220"/>
  <c r="Q220"/>
  <c r="P220"/>
  <c r="O220"/>
  <c r="N220"/>
  <c r="M220"/>
  <c r="L220"/>
  <c r="K220"/>
  <c r="BF219"/>
  <c r="BF218"/>
  <c r="AU218"/>
  <c r="AR218"/>
  <c r="AQ218"/>
  <c r="AP218"/>
  <c r="BF217"/>
  <c r="BF216"/>
  <c r="P219"/>
  <c r="N219"/>
  <c r="L219"/>
  <c r="Q219"/>
  <c r="O219"/>
  <c r="M219"/>
  <c r="K219"/>
  <c r="R220" l="1"/>
  <c r="K218"/>
  <c r="M218"/>
  <c r="R219"/>
  <c r="X219" s="1"/>
  <c r="X218" s="1"/>
  <c r="U219"/>
  <c r="O218"/>
  <c r="W219"/>
  <c r="Q218"/>
  <c r="L218"/>
  <c r="N218"/>
  <c r="V219"/>
  <c r="P218"/>
  <c r="W220"/>
  <c r="V220" s="1"/>
  <c r="U220" s="1"/>
  <c r="BF215"/>
  <c r="AU215"/>
  <c r="AR215"/>
  <c r="AQ215"/>
  <c r="AP215"/>
  <c r="O216"/>
  <c r="M216"/>
  <c r="K216"/>
  <c r="P216"/>
  <c r="N216"/>
  <c r="L216"/>
  <c r="Q216"/>
  <c r="W218" l="1"/>
  <c r="V218" s="1"/>
  <c r="U218" s="1"/>
  <c r="R218"/>
  <c r="V216"/>
  <c r="V215" s="1"/>
  <c r="U216"/>
  <c r="R216"/>
  <c r="X216" s="1"/>
  <c r="W216"/>
  <c r="X215"/>
  <c r="Q215"/>
  <c r="P215"/>
  <c r="O215"/>
  <c r="N215"/>
  <c r="M215"/>
  <c r="L215"/>
  <c r="K215"/>
  <c r="BF214"/>
  <c r="BF213"/>
  <c r="BF212" s="1"/>
  <c r="AU212"/>
  <c r="AR212"/>
  <c r="AQ212"/>
  <c r="AP212"/>
  <c r="BF211"/>
  <c r="BF210"/>
  <c r="BF209"/>
  <c r="BF208" s="1"/>
  <c r="AU208"/>
  <c r="AR208"/>
  <c r="AQ208"/>
  <c r="AP208"/>
  <c r="BF207"/>
  <c r="BF206"/>
  <c r="BF205"/>
  <c r="BF204"/>
  <c r="AQ203"/>
  <c r="AP203" s="1"/>
  <c r="BF202"/>
  <c r="O212"/>
  <c r="K212"/>
  <c r="P212"/>
  <c r="N212"/>
  <c r="L212"/>
  <c r="Q212"/>
  <c r="M212"/>
  <c r="BF203" l="1"/>
  <c r="AU203" s="1"/>
  <c r="AR203" s="1"/>
  <c r="U215"/>
  <c r="R212"/>
  <c r="X212" s="1"/>
  <c r="U212"/>
  <c r="W212"/>
  <c r="V212"/>
  <c r="R215"/>
  <c r="W215"/>
  <c r="BF200"/>
  <c r="N201"/>
  <c r="L201"/>
  <c r="Q201"/>
  <c r="O201"/>
  <c r="M201"/>
  <c r="K201"/>
  <c r="P201"/>
  <c r="BF201" l="1"/>
  <c r="AU201" s="1"/>
  <c r="AR201" s="1"/>
  <c r="AQ201" s="1"/>
  <c r="AP201" s="1"/>
  <c r="R201"/>
  <c r="X201" s="1"/>
  <c r="U201"/>
  <c r="W201"/>
  <c r="V201"/>
  <c r="BF199"/>
  <c r="N200"/>
  <c r="L200"/>
  <c r="Q200"/>
  <c r="O200"/>
  <c r="M200"/>
  <c r="K200"/>
  <c r="P200"/>
  <c r="R200" l="1"/>
  <c r="X200" s="1"/>
  <c r="U200"/>
  <c r="W200"/>
  <c r="V200"/>
  <c r="BF198"/>
  <c r="M199"/>
  <c r="K199"/>
  <c r="P199"/>
  <c r="N199"/>
  <c r="L199"/>
  <c r="Q199"/>
  <c r="O199"/>
  <c r="R199" l="1"/>
  <c r="X199" s="1"/>
  <c r="U199"/>
  <c r="W199"/>
  <c r="V199"/>
  <c r="BF197"/>
  <c r="P198"/>
  <c r="O198"/>
  <c r="L198"/>
  <c r="Q198"/>
  <c r="K198"/>
  <c r="M198"/>
  <c r="N198"/>
  <c r="V198" l="1"/>
  <c r="U198"/>
  <c r="R198"/>
  <c r="X198" s="1"/>
  <c r="W198"/>
  <c r="BF196"/>
  <c r="BF195"/>
  <c r="BF194"/>
  <c r="BF193"/>
  <c r="AU193"/>
  <c r="AR193"/>
  <c r="AR191" s="1"/>
  <c r="AQ191" s="1"/>
  <c r="AP191" s="1"/>
  <c r="AQ193"/>
  <c r="AP193"/>
  <c r="BF192"/>
  <c r="BF191"/>
  <c r="AU191" s="1"/>
  <c r="Q197"/>
  <c r="Q192"/>
  <c r="P197"/>
  <c r="N192"/>
  <c r="K197"/>
  <c r="K192"/>
  <c r="P192"/>
  <c r="M197"/>
  <c r="M192"/>
  <c r="L197"/>
  <c r="O197"/>
  <c r="O192"/>
  <c r="N197"/>
  <c r="L192"/>
  <c r="N191" l="1"/>
  <c r="N190" s="1"/>
  <c r="V192"/>
  <c r="P191"/>
  <c r="V197"/>
  <c r="M191"/>
  <c r="U192"/>
  <c r="O191"/>
  <c r="O190" s="1"/>
  <c r="O189" s="1"/>
  <c r="R192"/>
  <c r="W192"/>
  <c r="Q191"/>
  <c r="Q190" s="1"/>
  <c r="U197"/>
  <c r="R197"/>
  <c r="X197" s="1"/>
  <c r="W197"/>
  <c r="X192"/>
  <c r="X191" s="1"/>
  <c r="L191"/>
  <c r="K191"/>
  <c r="K190" s="1"/>
  <c r="BF189" s="1"/>
  <c r="BF190"/>
  <c r="AU190"/>
  <c r="AR190" s="1"/>
  <c r="AQ190"/>
  <c r="AP190"/>
  <c r="P190"/>
  <c r="BF188"/>
  <c r="AU189" l="1"/>
  <c r="AR189" s="1"/>
  <c r="AQ189" s="1"/>
  <c r="AP189" s="1"/>
  <c r="M190"/>
  <c r="L190" s="1"/>
  <c r="W191"/>
  <c r="V191" s="1"/>
  <c r="U191" s="1"/>
  <c r="U190" s="1"/>
  <c r="U189" s="1"/>
  <c r="X190"/>
  <c r="Q189"/>
  <c r="P189" s="1"/>
  <c r="R190"/>
  <c r="N189"/>
  <c r="R191"/>
  <c r="BF187"/>
  <c r="AU187"/>
  <c r="AR187"/>
  <c r="AQ187"/>
  <c r="AP187"/>
  <c r="Q188"/>
  <c r="O188"/>
  <c r="K188"/>
  <c r="P188"/>
  <c r="N188"/>
  <c r="M188"/>
  <c r="L188"/>
  <c r="M189" l="1"/>
  <c r="L189" s="1"/>
  <c r="K189" s="1"/>
  <c r="V188"/>
  <c r="U188"/>
  <c r="R188"/>
  <c r="X188" s="1"/>
  <c r="X187" s="1"/>
  <c r="W188"/>
  <c r="R189"/>
  <c r="W190"/>
  <c r="X189"/>
  <c r="Y189" s="1"/>
  <c r="Q187"/>
  <c r="P187"/>
  <c r="O187"/>
  <c r="N187"/>
  <c r="M187"/>
  <c r="L187"/>
  <c r="K187"/>
  <c r="BF186"/>
  <c r="BF185" s="1"/>
  <c r="AU185"/>
  <c r="AR185"/>
  <c r="AQ185"/>
  <c r="AP185"/>
  <c r="N186"/>
  <c r="M186"/>
  <c r="P186"/>
  <c r="L186"/>
  <c r="Q186"/>
  <c r="O186"/>
  <c r="K186"/>
  <c r="W187" l="1"/>
  <c r="V187" s="1"/>
  <c r="U187" s="1"/>
  <c r="R187"/>
  <c r="V186"/>
  <c r="U186"/>
  <c r="R186"/>
  <c r="X186" s="1"/>
  <c r="W186"/>
  <c r="V190"/>
  <c r="V189" s="1"/>
  <c r="W189"/>
  <c r="X185"/>
  <c r="Q185"/>
  <c r="P185"/>
  <c r="O185"/>
  <c r="N185"/>
  <c r="M185"/>
  <c r="L185"/>
  <c r="K185"/>
  <c r="BF184"/>
  <c r="BF183"/>
  <c r="BF182"/>
  <c r="BF181"/>
  <c r="BF180"/>
  <c r="BF179"/>
  <c r="BF178"/>
  <c r="BF177"/>
  <c r="BF176"/>
  <c r="BF175"/>
  <c r="BF174"/>
  <c r="BF173"/>
  <c r="AU173"/>
  <c r="AR173"/>
  <c r="AQ173"/>
  <c r="AP173"/>
  <c r="BF172"/>
  <c r="BF171"/>
  <c r="BF170"/>
  <c r="AR169"/>
  <c r="AQ169" s="1"/>
  <c r="AP169" s="1"/>
  <c r="BF167"/>
  <c r="BF166"/>
  <c r="BF165"/>
  <c r="BF164"/>
  <c r="BF163"/>
  <c r="BF162"/>
  <c r="BF161"/>
  <c r="BF160" s="1"/>
  <c r="AU160"/>
  <c r="AR160"/>
  <c r="AQ160"/>
  <c r="AP160"/>
  <c r="Q184"/>
  <c r="O169"/>
  <c r="L184"/>
  <c r="N167"/>
  <c r="L160"/>
  <c r="P184"/>
  <c r="M167"/>
  <c r="K160"/>
  <c r="M184"/>
  <c r="K184"/>
  <c r="L167"/>
  <c r="P160"/>
  <c r="P167"/>
  <c r="K167"/>
  <c r="Q169"/>
  <c r="O160"/>
  <c r="O184"/>
  <c r="P169"/>
  <c r="N169"/>
  <c r="L169"/>
  <c r="Q160"/>
  <c r="M160"/>
  <c r="O167"/>
  <c r="Q167"/>
  <c r="N160"/>
  <c r="K169"/>
  <c r="M169"/>
  <c r="N184"/>
  <c r="BF169" l="1"/>
  <c r="R185"/>
  <c r="V169"/>
  <c r="U160"/>
  <c r="R160"/>
  <c r="X160" s="1"/>
  <c r="W160"/>
  <c r="R167"/>
  <c r="X167" s="1"/>
  <c r="U167"/>
  <c r="W167"/>
  <c r="R169"/>
  <c r="X169" s="1"/>
  <c r="U169"/>
  <c r="W169"/>
  <c r="R184"/>
  <c r="X184" s="1"/>
  <c r="U184"/>
  <c r="W184"/>
  <c r="V160"/>
  <c r="V167"/>
  <c r="V184"/>
  <c r="W185"/>
  <c r="V185" s="1"/>
  <c r="U185" s="1"/>
  <c r="BF159"/>
  <c r="AU159" s="1"/>
  <c r="AR159" s="1"/>
  <c r="AQ159" s="1"/>
  <c r="AP159" s="1"/>
  <c r="BF158"/>
  <c r="AU169" l="1"/>
  <c r="BF168"/>
  <c r="AU168" s="1"/>
  <c r="AR168" s="1"/>
  <c r="AQ168" s="1"/>
  <c r="AP168" s="1"/>
  <c r="BF157"/>
  <c r="AU157"/>
  <c r="AU156" s="1"/>
  <c r="AR157"/>
  <c r="AQ157"/>
  <c r="AQ156" s="1"/>
  <c r="AP157"/>
  <c r="BF156"/>
  <c r="AR156"/>
  <c r="AP156"/>
  <c r="BF154"/>
  <c r="N158"/>
  <c r="Q158"/>
  <c r="O158"/>
  <c r="M158"/>
  <c r="K158"/>
  <c r="P158"/>
  <c r="L158"/>
  <c r="L156" l="1"/>
  <c r="N156"/>
  <c r="V158"/>
  <c r="P156"/>
  <c r="K156"/>
  <c r="BF155" s="1"/>
  <c r="AU155" s="1"/>
  <c r="AR155" s="1"/>
  <c r="AQ155" s="1"/>
  <c r="AP155" s="1"/>
  <c r="M156"/>
  <c r="U158"/>
  <c r="R158"/>
  <c r="O156"/>
  <c r="W158"/>
  <c r="Q156"/>
  <c r="BF153"/>
  <c r="AU153"/>
  <c r="AR153"/>
  <c r="AR152" s="1"/>
  <c r="AQ152" s="1"/>
  <c r="AP152" s="1"/>
  <c r="AQ153"/>
  <c r="AP153"/>
  <c r="BF151"/>
  <c r="Q154"/>
  <c r="O154"/>
  <c r="M154"/>
  <c r="K154"/>
  <c r="P154"/>
  <c r="N154"/>
  <c r="L154"/>
  <c r="L153" l="1"/>
  <c r="L152" s="1"/>
  <c r="N153"/>
  <c r="N152" s="1"/>
  <c r="V154"/>
  <c r="P153"/>
  <c r="P152" s="1"/>
  <c r="K153"/>
  <c r="M153"/>
  <c r="M152" s="1"/>
  <c r="U154"/>
  <c r="O153"/>
  <c r="O152" s="1"/>
  <c r="R154"/>
  <c r="X154" s="1"/>
  <c r="X153" s="1"/>
  <c r="X152" s="1"/>
  <c r="W154"/>
  <c r="Q153"/>
  <c r="Q152" s="1"/>
  <c r="X158"/>
  <c r="X156" s="1"/>
  <c r="R156"/>
  <c r="BF150"/>
  <c r="AU150"/>
  <c r="AR150"/>
  <c r="AQ150"/>
  <c r="AP150"/>
  <c r="L151"/>
  <c r="Q151"/>
  <c r="O151"/>
  <c r="M151"/>
  <c r="K151"/>
  <c r="P151"/>
  <c r="N151"/>
  <c r="W153" l="1"/>
  <c r="V153" s="1"/>
  <c r="U153" s="1"/>
  <c r="R153" s="1"/>
  <c r="R151"/>
  <c r="X151" s="1"/>
  <c r="U151"/>
  <c r="W151"/>
  <c r="V151"/>
  <c r="BF152"/>
  <c r="AU152" s="1"/>
  <c r="K152"/>
  <c r="X150"/>
  <c r="W150" s="1"/>
  <c r="W156"/>
  <c r="V156" s="1"/>
  <c r="U156" s="1"/>
  <c r="U155" s="1"/>
  <c r="R155" s="1"/>
  <c r="Q155" s="1"/>
  <c r="P155" s="1"/>
  <c r="O155" s="1"/>
  <c r="N155" s="1"/>
  <c r="M155" s="1"/>
  <c r="L155" s="1"/>
  <c r="K155" s="1"/>
  <c r="X155"/>
  <c r="W152"/>
  <c r="V152" s="1"/>
  <c r="U152" s="1"/>
  <c r="R152"/>
  <c r="Q150"/>
  <c r="P150"/>
  <c r="O150"/>
  <c r="N150"/>
  <c r="M150"/>
  <c r="L150"/>
  <c r="K150"/>
  <c r="BF149"/>
  <c r="BF148"/>
  <c r="M149"/>
  <c r="P149"/>
  <c r="N149"/>
  <c r="L149"/>
  <c r="K149"/>
  <c r="Q149"/>
  <c r="O149"/>
  <c r="W155" l="1"/>
  <c r="V155" s="1"/>
  <c r="V150"/>
  <c r="U150" s="1"/>
  <c r="R150"/>
  <c r="R149"/>
  <c r="X149" s="1"/>
  <c r="U149"/>
  <c r="V149"/>
  <c r="W149"/>
  <c r="BF147"/>
  <c r="AU147"/>
  <c r="AR147"/>
  <c r="AQ147"/>
  <c r="AP147"/>
  <c r="N148"/>
  <c r="K148"/>
  <c r="O148"/>
  <c r="M148"/>
  <c r="Q148"/>
  <c r="P148"/>
  <c r="L148"/>
  <c r="R148" l="1"/>
  <c r="X148" s="1"/>
  <c r="U148"/>
  <c r="W148"/>
  <c r="V148"/>
  <c r="X147"/>
  <c r="W147" s="1"/>
  <c r="Q147"/>
  <c r="P147"/>
  <c r="O147"/>
  <c r="N147"/>
  <c r="M147"/>
  <c r="L147"/>
  <c r="K147"/>
  <c r="BF146"/>
  <c r="BF145"/>
  <c r="BF144"/>
  <c r="BF143"/>
  <c r="AU143"/>
  <c r="AR143"/>
  <c r="AQ143"/>
  <c r="AP143"/>
  <c r="BF142"/>
  <c r="BF141"/>
  <c r="BF140"/>
  <c r="K141"/>
  <c r="P141"/>
  <c r="N141"/>
  <c r="L141"/>
  <c r="Q141"/>
  <c r="O141"/>
  <c r="M141"/>
  <c r="V147" l="1"/>
  <c r="U147" s="1"/>
  <c r="R147"/>
  <c r="R141"/>
  <c r="X141" s="1"/>
  <c r="U141"/>
  <c r="W141"/>
  <c r="V141"/>
  <c r="BF139"/>
  <c r="Q140"/>
  <c r="O140"/>
  <c r="M140"/>
  <c r="K140"/>
  <c r="P140"/>
  <c r="N140"/>
  <c r="L140"/>
  <c r="V140" l="1"/>
  <c r="U140"/>
  <c r="R140"/>
  <c r="X140" s="1"/>
  <c r="W140"/>
  <c r="BF138"/>
  <c r="AU138" s="1"/>
  <c r="AR138"/>
  <c r="AQ138" s="1"/>
  <c r="AP138" s="1"/>
  <c r="P139"/>
  <c r="N139"/>
  <c r="L139"/>
  <c r="Q139"/>
  <c r="O139"/>
  <c r="M139"/>
  <c r="K139"/>
  <c r="R139" l="1"/>
  <c r="X139" s="1"/>
  <c r="U139"/>
  <c r="W139"/>
  <c r="V139"/>
  <c r="X138"/>
  <c r="W138" s="1"/>
  <c r="Q138"/>
  <c r="P138"/>
  <c r="O138"/>
  <c r="N138"/>
  <c r="M138"/>
  <c r="L138"/>
  <c r="K138"/>
  <c r="BF137"/>
  <c r="BF136"/>
  <c r="BF135"/>
  <c r="BF134"/>
  <c r="AU134"/>
  <c r="AR134"/>
  <c r="AQ134"/>
  <c r="AP134"/>
  <c r="AP127" s="1"/>
  <c r="BF133"/>
  <c r="BF132"/>
  <c r="BF131" s="1"/>
  <c r="AU131"/>
  <c r="AU127" s="1"/>
  <c r="AR127" s="1"/>
  <c r="AR131"/>
  <c r="AQ131"/>
  <c r="AP131"/>
  <c r="BF130"/>
  <c r="BF129"/>
  <c r="BF128"/>
  <c r="AQ127"/>
  <c r="BF126"/>
  <c r="O127"/>
  <c r="N127"/>
  <c r="K127"/>
  <c r="M127"/>
  <c r="L127"/>
  <c r="BF127" l="1"/>
  <c r="R138"/>
  <c r="V138"/>
  <c r="U138" s="1"/>
  <c r="U127"/>
  <c r="BF125"/>
  <c r="BF124"/>
  <c r="BF123"/>
  <c r="BF122"/>
  <c r="AU122"/>
  <c r="AR122"/>
  <c r="AQ122"/>
  <c r="AP122"/>
  <c r="M126"/>
  <c r="K126"/>
  <c r="P127"/>
  <c r="P126"/>
  <c r="N126"/>
  <c r="L126"/>
  <c r="Q127"/>
  <c r="Q126"/>
  <c r="O126"/>
  <c r="V126" l="1"/>
  <c r="V127"/>
  <c r="U126"/>
  <c r="R126"/>
  <c r="X126" s="1"/>
  <c r="W126"/>
  <c r="W127"/>
  <c r="R127"/>
  <c r="X127" s="1"/>
  <c r="P122"/>
  <c r="N122"/>
  <c r="L122"/>
  <c r="Q122"/>
  <c r="O122"/>
  <c r="M122"/>
  <c r="K122"/>
  <c r="R122" l="1"/>
  <c r="X122" s="1"/>
  <c r="U122"/>
  <c r="W122"/>
  <c r="V122"/>
  <c r="BF120"/>
  <c r="BF119"/>
  <c r="BF118" s="1"/>
  <c r="AU118"/>
  <c r="AR118"/>
  <c r="AQ118"/>
  <c r="AP118"/>
  <c r="AR117"/>
  <c r="AQ117" s="1"/>
  <c r="AP117" s="1"/>
  <c r="Q121"/>
  <c r="O121"/>
  <c r="M121"/>
  <c r="K121"/>
  <c r="P121"/>
  <c r="N121"/>
  <c r="L121"/>
  <c r="BF117" l="1"/>
  <c r="AU117" s="1"/>
  <c r="V121"/>
  <c r="U121"/>
  <c r="R121"/>
  <c r="X121" s="1"/>
  <c r="W121"/>
  <c r="BF116"/>
  <c r="BF115"/>
  <c r="BF114"/>
  <c r="AU114"/>
  <c r="AR114"/>
  <c r="AQ114"/>
  <c r="AP114"/>
  <c r="K117"/>
  <c r="P117"/>
  <c r="N117"/>
  <c r="L117"/>
  <c r="Q117"/>
  <c r="O117"/>
  <c r="M117"/>
  <c r="V117" l="1"/>
  <c r="U117"/>
  <c r="R117"/>
  <c r="X117" s="1"/>
  <c r="W117"/>
  <c r="BF113"/>
  <c r="P114"/>
  <c r="N114"/>
  <c r="L114"/>
  <c r="Q114"/>
  <c r="O114"/>
  <c r="M114"/>
  <c r="K114"/>
  <c r="R114" l="1"/>
  <c r="X114" s="1"/>
  <c r="U114"/>
  <c r="W114"/>
  <c r="V114"/>
  <c r="BF112"/>
  <c r="BF111"/>
  <c r="BF110" s="1"/>
  <c r="AU110"/>
  <c r="AR110"/>
  <c r="AQ110"/>
  <c r="AP110"/>
  <c r="P113"/>
  <c r="N113"/>
  <c r="L113"/>
  <c r="Q113"/>
  <c r="O113"/>
  <c r="M113"/>
  <c r="K113"/>
  <c r="R113" l="1"/>
  <c r="X113" s="1"/>
  <c r="U113"/>
  <c r="W113"/>
  <c r="V113"/>
  <c r="BF109"/>
  <c r="O110"/>
  <c r="M110"/>
  <c r="K110"/>
  <c r="P110"/>
  <c r="N110"/>
  <c r="L110"/>
  <c r="Q110"/>
  <c r="V110" l="1"/>
  <c r="U110"/>
  <c r="R110"/>
  <c r="X110" s="1"/>
  <c r="W110"/>
  <c r="BF108"/>
  <c r="AU108"/>
  <c r="AR108" s="1"/>
  <c r="AQ108"/>
  <c r="AP108" s="1"/>
  <c r="N109"/>
  <c r="L109"/>
  <c r="Q109"/>
  <c r="O109"/>
  <c r="M109"/>
  <c r="K109"/>
  <c r="P109"/>
  <c r="V109" l="1"/>
  <c r="U109"/>
  <c r="U108" s="1"/>
  <c r="R109"/>
  <c r="X109" s="1"/>
  <c r="W109"/>
  <c r="X108"/>
  <c r="Q108"/>
  <c r="P108"/>
  <c r="O108"/>
  <c r="N108"/>
  <c r="M108"/>
  <c r="L108"/>
  <c r="K108"/>
  <c r="BF107"/>
  <c r="BF106"/>
  <c r="K107"/>
  <c r="P107"/>
  <c r="N107"/>
  <c r="L107"/>
  <c r="M107"/>
  <c r="Q107"/>
  <c r="O107"/>
  <c r="R108" l="1"/>
  <c r="V107"/>
  <c r="U107"/>
  <c r="R107"/>
  <c r="X107" s="1"/>
  <c r="W107"/>
  <c r="W108"/>
  <c r="V108" s="1"/>
  <c r="BF105"/>
  <c r="BF104"/>
  <c r="BF103"/>
  <c r="BF102"/>
  <c r="BF101"/>
  <c r="BF100"/>
  <c r="AU100"/>
  <c r="AR100"/>
  <c r="AQ100"/>
  <c r="AP100"/>
  <c r="P106"/>
  <c r="N106"/>
  <c r="L106"/>
  <c r="O106"/>
  <c r="M106"/>
  <c r="K106"/>
  <c r="Q106"/>
  <c r="U106" l="1"/>
  <c r="R106"/>
  <c r="X106" s="1"/>
  <c r="V106"/>
  <c r="W106"/>
  <c r="N100"/>
  <c r="L100"/>
  <c r="Q100"/>
  <c r="O100"/>
  <c r="M100"/>
  <c r="K100"/>
  <c r="P100"/>
  <c r="R100" l="1"/>
  <c r="X100" s="1"/>
  <c r="Y100" s="1"/>
  <c r="U100"/>
  <c r="U99" s="1"/>
  <c r="W100"/>
  <c r="W99" s="1"/>
  <c r="V100"/>
  <c r="Q99"/>
  <c r="P99"/>
  <c r="O99"/>
  <c r="N99"/>
  <c r="M99"/>
  <c r="L99"/>
  <c r="K99"/>
  <c r="BF98" s="1"/>
  <c r="AU98"/>
  <c r="AR98" s="1"/>
  <c r="AQ98" s="1"/>
  <c r="AP98" s="1"/>
  <c r="BF97"/>
  <c r="BF96"/>
  <c r="R99" l="1"/>
  <c r="X99"/>
  <c r="V99"/>
  <c r="BF95"/>
  <c r="AU95"/>
  <c r="AR95"/>
  <c r="AQ95"/>
  <c r="AP95"/>
  <c r="BF94"/>
  <c r="BF93"/>
  <c r="AU93"/>
  <c r="AR93"/>
  <c r="AR91" s="1"/>
  <c r="AQ91" s="1"/>
  <c r="AP91" s="1"/>
  <c r="AQ93"/>
  <c r="AP93"/>
  <c r="BF92"/>
  <c r="BF91"/>
  <c r="AU91" s="1"/>
  <c r="N96"/>
  <c r="O92"/>
  <c r="Q92"/>
  <c r="M92"/>
  <c r="K96"/>
  <c r="O96"/>
  <c r="L92"/>
  <c r="K92"/>
  <c r="L96"/>
  <c r="M96"/>
  <c r="P92"/>
  <c r="N92"/>
  <c r="V92" l="1"/>
  <c r="U96"/>
  <c r="U92"/>
  <c r="R92"/>
  <c r="X92" s="1"/>
  <c r="X91" s="1"/>
  <c r="W92"/>
  <c r="Q91"/>
  <c r="P91"/>
  <c r="O91"/>
  <c r="R91" s="1"/>
  <c r="N91"/>
  <c r="M91"/>
  <c r="L91"/>
  <c r="K91"/>
  <c r="BF90" s="1"/>
  <c r="AU90" s="1"/>
  <c r="AR90" s="1"/>
  <c r="AQ90" s="1"/>
  <c r="AP90" s="1"/>
  <c r="BF89"/>
  <c r="BF88"/>
  <c r="BF87"/>
  <c r="BF86"/>
  <c r="AU86"/>
  <c r="AR86"/>
  <c r="AQ86"/>
  <c r="AP86"/>
  <c r="BF85"/>
  <c r="BF84"/>
  <c r="BF83" s="1"/>
  <c r="AU83"/>
  <c r="AQ83"/>
  <c r="AP83" s="1"/>
  <c r="BF82"/>
  <c r="BF81"/>
  <c r="BF80"/>
  <c r="BF79"/>
  <c r="BF78" s="1"/>
  <c r="AU79"/>
  <c r="AR79"/>
  <c r="AQ79"/>
  <c r="AP79"/>
  <c r="AP78" s="1"/>
  <c r="M78"/>
  <c r="Q78"/>
  <c r="O78"/>
  <c r="P96"/>
  <c r="K78"/>
  <c r="P78"/>
  <c r="L78"/>
  <c r="N78"/>
  <c r="Q96"/>
  <c r="AU78" l="1"/>
  <c r="BF77"/>
  <c r="AU77" s="1"/>
  <c r="AR77" s="1"/>
  <c r="AQ77" s="1"/>
  <c r="AP77" s="1"/>
  <c r="AR83"/>
  <c r="AR78" s="1"/>
  <c r="AQ78" s="1"/>
  <c r="W91"/>
  <c r="V91" s="1"/>
  <c r="U91" s="1"/>
  <c r="R78"/>
  <c r="X78" s="1"/>
  <c r="X77" s="1"/>
  <c r="U78"/>
  <c r="W78"/>
  <c r="W96"/>
  <c r="R96"/>
  <c r="X96" s="1"/>
  <c r="V96"/>
  <c r="V78"/>
  <c r="V77" s="1"/>
  <c r="Q77"/>
  <c r="P77"/>
  <c r="O77"/>
  <c r="N77"/>
  <c r="M77"/>
  <c r="L77"/>
  <c r="K77"/>
  <c r="BF75"/>
  <c r="BF74"/>
  <c r="BF73" s="1"/>
  <c r="AU73"/>
  <c r="AR73"/>
  <c r="AQ73"/>
  <c r="AP73"/>
  <c r="BF72"/>
  <c r="BF71"/>
  <c r="BF70"/>
  <c r="BF69"/>
  <c r="BF68"/>
  <c r="BF67"/>
  <c r="BF66"/>
  <c r="BF65" s="1"/>
  <c r="AU65"/>
  <c r="AR65"/>
  <c r="AQ65"/>
  <c r="AP65"/>
  <c r="BF64"/>
  <c r="BF63"/>
  <c r="BF62"/>
  <c r="BF61"/>
  <c r="AU61"/>
  <c r="AR61"/>
  <c r="AQ61"/>
  <c r="AP61"/>
  <c r="BF60" s="1"/>
  <c r="AU60" s="1"/>
  <c r="AR60"/>
  <c r="AQ60" s="1"/>
  <c r="AP60" s="1"/>
  <c r="BF59"/>
  <c r="BF58"/>
  <c r="BF57"/>
  <c r="AU57"/>
  <c r="AR57"/>
  <c r="AQ57"/>
  <c r="AP57"/>
  <c r="BF56"/>
  <c r="BF55"/>
  <c r="BF54"/>
  <c r="BF53"/>
  <c r="BF52"/>
  <c r="BF51"/>
  <c r="AU51"/>
  <c r="AR51"/>
  <c r="AQ51"/>
  <c r="AP51"/>
  <c r="BF50"/>
  <c r="BF49"/>
  <c r="BF48"/>
  <c r="BF47"/>
  <c r="BF46"/>
  <c r="BF45"/>
  <c r="BF44"/>
  <c r="BF43"/>
  <c r="BF42"/>
  <c r="BF41"/>
  <c r="AU41"/>
  <c r="AR41"/>
  <c r="AQ41"/>
  <c r="AP41"/>
  <c r="BF40"/>
  <c r="BF39"/>
  <c r="BF38"/>
  <c r="BF37"/>
  <c r="BF36"/>
  <c r="BF35"/>
  <c r="AU35"/>
  <c r="AR35"/>
  <c r="AQ35"/>
  <c r="AP35"/>
  <c r="BF34"/>
  <c r="BF33"/>
  <c r="BF32"/>
  <c r="BF31"/>
  <c r="BF30"/>
  <c r="BF29"/>
  <c r="BF28" s="1"/>
  <c r="AU28"/>
  <c r="AR28"/>
  <c r="AQ28"/>
  <c r="AP28"/>
  <c r="AU27"/>
  <c r="AR27"/>
  <c r="AQ27"/>
  <c r="AP27"/>
  <c r="N76"/>
  <c r="M76"/>
  <c r="P26"/>
  <c r="L26"/>
  <c r="Q26"/>
  <c r="O26"/>
  <c r="Q76"/>
  <c r="L76"/>
  <c r="K76"/>
  <c r="O76"/>
  <c r="P76"/>
  <c r="K26"/>
  <c r="N26"/>
  <c r="M26"/>
  <c r="BF27" l="1"/>
  <c r="BF26" s="1"/>
  <c r="W77"/>
  <c r="R77"/>
  <c r="N25"/>
  <c r="N24" s="1"/>
  <c r="P25"/>
  <c r="P24" s="1"/>
  <c r="V26"/>
  <c r="R76"/>
  <c r="X76" s="1"/>
  <c r="U76"/>
  <c r="W76"/>
  <c r="M25"/>
  <c r="U26"/>
  <c r="R26"/>
  <c r="X26" s="1"/>
  <c r="O25"/>
  <c r="W26"/>
  <c r="Q25"/>
  <c r="Q24" s="1"/>
  <c r="V76"/>
  <c r="U77"/>
  <c r="L25"/>
  <c r="K25"/>
  <c r="BF21"/>
  <c r="AU26" l="1"/>
  <c r="AR26" s="1"/>
  <c r="AQ26" s="1"/>
  <c r="AP26" s="1"/>
  <c r="BF25"/>
  <c r="X25"/>
  <c r="W25"/>
  <c r="V25" s="1"/>
  <c r="U25" s="1"/>
  <c r="M24"/>
  <c r="L24" s="1"/>
  <c r="K24"/>
  <c r="L23"/>
  <c r="X24"/>
  <c r="W24" s="1"/>
  <c r="V24" s="1"/>
  <c r="V23" s="1"/>
  <c r="N23"/>
  <c r="U24"/>
  <c r="U23" s="1"/>
  <c r="U22" s="1"/>
  <c r="R25"/>
  <c r="K23"/>
  <c r="M23"/>
  <c r="X23"/>
  <c r="O24"/>
  <c r="BF20"/>
  <c r="BF19"/>
  <c r="BF18"/>
  <c r="AU18"/>
  <c r="AR18"/>
  <c r="AQ18"/>
  <c r="AP18"/>
  <c r="N21"/>
  <c r="M21"/>
  <c r="L21"/>
  <c r="P21"/>
  <c r="O21"/>
  <c r="K21"/>
  <c r="Q21"/>
  <c r="AU25" l="1"/>
  <c r="AR25" s="1"/>
  <c r="AQ25" s="1"/>
  <c r="AP25" s="1"/>
  <c r="AP24" s="1"/>
  <c r="AP23" s="1"/>
  <c r="AP22" s="1"/>
  <c r="BF24"/>
  <c r="AU24" s="1"/>
  <c r="BF23"/>
  <c r="BF22" s="1"/>
  <c r="U21"/>
  <c r="R21"/>
  <c r="X21" s="1"/>
  <c r="W21"/>
  <c r="V21"/>
  <c r="O23"/>
  <c r="R24"/>
  <c r="W23"/>
  <c r="X22"/>
  <c r="BF17"/>
  <c r="N18"/>
  <c r="K18"/>
  <c r="P18"/>
  <c r="M18"/>
  <c r="O18"/>
  <c r="L18"/>
  <c r="Q18"/>
  <c r="AR24" l="1"/>
  <c r="AQ24" s="1"/>
  <c r="AQ23" s="1"/>
  <c r="AQ22" s="1"/>
  <c r="AU23"/>
  <c r="V18"/>
  <c r="U18"/>
  <c r="R18"/>
  <c r="X18" s="1"/>
  <c r="W18"/>
  <c r="W22"/>
  <c r="V22" s="1"/>
  <c r="BF16"/>
  <c r="BF15"/>
  <c r="BF14"/>
  <c r="BF13"/>
  <c r="Z13"/>
  <c r="BF12"/>
  <c r="BF11"/>
  <c r="AU11"/>
  <c r="AR11"/>
  <c r="AQ11"/>
  <c r="AP11"/>
  <c r="K17"/>
  <c r="P17"/>
  <c r="N17"/>
  <c r="L17"/>
  <c r="Q17"/>
  <c r="O17"/>
  <c r="M17"/>
  <c r="AR23" l="1"/>
  <c r="AR22" s="1"/>
  <c r="AU22"/>
  <c r="Z15"/>
  <c r="R17"/>
  <c r="X17" s="1"/>
  <c r="U17"/>
  <c r="W17"/>
  <c r="V17"/>
  <c r="BF10"/>
  <c r="BF9"/>
  <c r="BF8"/>
  <c r="BF7" s="1"/>
  <c r="BF6" s="1"/>
  <c r="AU7"/>
  <c r="AU6" s="1"/>
  <c r="AR6" s="1"/>
  <c r="AQ6" s="1"/>
  <c r="AR7"/>
  <c r="AQ7"/>
  <c r="AP7"/>
  <c r="AP6"/>
  <c r="N7"/>
  <c r="K7"/>
  <c r="O11"/>
  <c r="K11"/>
  <c r="Q7"/>
  <c r="L7"/>
  <c r="Q11"/>
  <c r="M11"/>
  <c r="L11"/>
  <c r="P11"/>
  <c r="M7"/>
  <c r="N11"/>
  <c r="P7"/>
  <c r="O7"/>
  <c r="V7" l="1"/>
  <c r="R11"/>
  <c r="X11" s="1"/>
  <c r="U11"/>
  <c r="W11"/>
  <c r="U7"/>
  <c r="U6" s="1"/>
  <c r="R7"/>
  <c r="X7" s="1"/>
  <c r="W7"/>
  <c r="V11"/>
  <c r="Q6"/>
  <c r="P6"/>
  <c r="O6"/>
  <c r="N6"/>
  <c r="M6"/>
  <c r="R6" l="1"/>
  <c r="W6"/>
  <c r="V6"/>
  <c r="L6"/>
  <c r="K6"/>
  <c r="BF5" s="1"/>
  <c r="AU5" s="1"/>
  <c r="AR5" s="1"/>
  <c r="AQ5" s="1"/>
  <c r="AP5" s="1"/>
  <c r="U5"/>
  <c r="Q5"/>
  <c r="P5"/>
  <c r="O5"/>
  <c r="N5"/>
  <c r="M5"/>
  <c r="L5"/>
  <c r="K5"/>
  <c r="BF4"/>
  <c r="AU4"/>
  <c r="AR4"/>
  <c r="AQ4" s="1"/>
  <c r="AP4" s="1"/>
  <c r="R5" l="1"/>
  <c r="AE205" i="13" l="1"/>
  <c r="AE200"/>
  <c r="AG197"/>
  <c r="AG194"/>
  <c r="AE194"/>
  <c r="AE191"/>
  <c r="AC199"/>
  <c r="AC204"/>
  <c r="AD204"/>
  <c r="AD202"/>
  <c r="AB209"/>
  <c r="AD207"/>
  <c r="AC207"/>
  <c r="AD193"/>
  <c r="AD196"/>
  <c r="AB207"/>
  <c r="AC202"/>
  <c r="AD209"/>
  <c r="AC209"/>
  <c r="AC193"/>
  <c r="AB193"/>
  <c r="AB202"/>
  <c r="AD199"/>
  <c r="AB199"/>
  <c r="AB204"/>
  <c r="AB196"/>
  <c r="AC196"/>
  <c r="AF193" l="1"/>
  <c r="AB191"/>
  <c r="AG193"/>
  <c r="AD191"/>
  <c r="AF196"/>
  <c r="AB194"/>
  <c r="AD194"/>
  <c r="AF199"/>
  <c r="AB197"/>
  <c r="AE199"/>
  <c r="AD197"/>
  <c r="AC200"/>
  <c r="AF204"/>
  <c r="AG204"/>
  <c r="AC205"/>
  <c r="AF209"/>
  <c r="AG209"/>
  <c r="AC191"/>
  <c r="AC194"/>
  <c r="AC197"/>
  <c r="AB200"/>
  <c r="AF202"/>
  <c r="AG202"/>
  <c r="AD200"/>
  <c r="AF207"/>
  <c r="AB205"/>
  <c r="AG207"/>
  <c r="AD205"/>
  <c r="AE188"/>
  <c r="AD190"/>
  <c r="AB190"/>
  <c r="AC190"/>
  <c r="AF205" l="1"/>
  <c r="AC188"/>
  <c r="AF190"/>
  <c r="AB188"/>
  <c r="AG190"/>
  <c r="AD188"/>
  <c r="AG200"/>
  <c r="AF200" s="1"/>
  <c r="AH202"/>
  <c r="AH193"/>
  <c r="AG191"/>
  <c r="AF191" s="1"/>
  <c r="AG205"/>
  <c r="AH207"/>
  <c r="AH199"/>
  <c r="AF197"/>
  <c r="AE197" s="1"/>
  <c r="AF194"/>
  <c r="AH196"/>
  <c r="AG185"/>
  <c r="AF185"/>
  <c r="AG180"/>
  <c r="AE180"/>
  <c r="AG173"/>
  <c r="AE173"/>
  <c r="AC168"/>
  <c r="AD172"/>
  <c r="AB177"/>
  <c r="AC187"/>
  <c r="AD187"/>
  <c r="AB172"/>
  <c r="AB184"/>
  <c r="AB175"/>
  <c r="AD182"/>
  <c r="AC184"/>
  <c r="AB170"/>
  <c r="AD177"/>
  <c r="AB179"/>
  <c r="AB182"/>
  <c r="AD168"/>
  <c r="AD179"/>
  <c r="AC179"/>
  <c r="AB168"/>
  <c r="AB187"/>
  <c r="AC170"/>
  <c r="AC175"/>
  <c r="AD175"/>
  <c r="AC177"/>
  <c r="AC182"/>
  <c r="AD184"/>
  <c r="AC172"/>
  <c r="AD170"/>
  <c r="AF172" l="1"/>
  <c r="AH172" s="1"/>
  <c r="AS172" s="1"/>
  <c r="AC173"/>
  <c r="S177"/>
  <c r="AF177" s="1"/>
  <c r="AH177" s="1"/>
  <c r="AS177" s="1"/>
  <c r="AF179"/>
  <c r="AH179" s="1"/>
  <c r="AS179" s="1"/>
  <c r="AF168"/>
  <c r="AE168"/>
  <c r="AF170"/>
  <c r="AG170"/>
  <c r="S175"/>
  <c r="AF175" s="1"/>
  <c r="AB173"/>
  <c r="AD173"/>
  <c r="AC180"/>
  <c r="AB185"/>
  <c r="AE187"/>
  <c r="AE185" s="1"/>
  <c r="AD185"/>
  <c r="AB180"/>
  <c r="AF182"/>
  <c r="AD180"/>
  <c r="AF184"/>
  <c r="AH184" s="1"/>
  <c r="AS184" s="1"/>
  <c r="AC185"/>
  <c r="AS196"/>
  <c r="AH194"/>
  <c r="AS194" s="1"/>
  <c r="AS207"/>
  <c r="AS202"/>
  <c r="AH197"/>
  <c r="AS197" s="1"/>
  <c r="AS199"/>
  <c r="AH191"/>
  <c r="AS191" s="1"/>
  <c r="AS193"/>
  <c r="AG188"/>
  <c r="AF188" s="1"/>
  <c r="AH190"/>
  <c r="U164"/>
  <c r="T163"/>
  <c r="AE153"/>
  <c r="AG144"/>
  <c r="AG137"/>
  <c r="AG134"/>
  <c r="AE129"/>
  <c r="AE126"/>
  <c r="AC155"/>
  <c r="AC139"/>
  <c r="AC125"/>
  <c r="AB158"/>
  <c r="AD139"/>
  <c r="AD162"/>
  <c r="AC148"/>
  <c r="AC133"/>
  <c r="AD164"/>
  <c r="AD152"/>
  <c r="AD143"/>
  <c r="AC131"/>
  <c r="AB143"/>
  <c r="AC164"/>
  <c r="AC150"/>
  <c r="AB136"/>
  <c r="AB166"/>
  <c r="AB155"/>
  <c r="AB133"/>
  <c r="AD160"/>
  <c r="AC143"/>
  <c r="AB131"/>
  <c r="AC162"/>
  <c r="AD150"/>
  <c r="AC141"/>
  <c r="AD125"/>
  <c r="AC136"/>
  <c r="AB162"/>
  <c r="AC146"/>
  <c r="AD131"/>
  <c r="AB164"/>
  <c r="AB150"/>
  <c r="AB125"/>
  <c r="AC158"/>
  <c r="AB141"/>
  <c r="AB128"/>
  <c r="AD158"/>
  <c r="AD148"/>
  <c r="AB139"/>
  <c r="AB152"/>
  <c r="AC128"/>
  <c r="AB160"/>
  <c r="AD141"/>
  <c r="AD128"/>
  <c r="AC160"/>
  <c r="AB146"/>
  <c r="AC166"/>
  <c r="AC152"/>
  <c r="AD136"/>
  <c r="AD166"/>
  <c r="AD155"/>
  <c r="AD146"/>
  <c r="AD133"/>
  <c r="AB148"/>
  <c r="AF125" l="1"/>
  <c r="AG125"/>
  <c r="AC126"/>
  <c r="AC129"/>
  <c r="AF133"/>
  <c r="AG133"/>
  <c r="AH133" s="1"/>
  <c r="AS133" s="1"/>
  <c r="AC134"/>
  <c r="S139"/>
  <c r="AF139" s="1"/>
  <c r="AB137"/>
  <c r="AE139"/>
  <c r="AE137" s="1"/>
  <c r="AD137"/>
  <c r="S143"/>
  <c r="AF143" s="1"/>
  <c r="AH143" s="1"/>
  <c r="AS143" s="1"/>
  <c r="AF146"/>
  <c r="AB144"/>
  <c r="AD144"/>
  <c r="AF148"/>
  <c r="AH148" s="1"/>
  <c r="AS148" s="1"/>
  <c r="AF150"/>
  <c r="AH150" s="1"/>
  <c r="AS150" s="1"/>
  <c r="AE152"/>
  <c r="AF155"/>
  <c r="AB153"/>
  <c r="AG155"/>
  <c r="AD153"/>
  <c r="S158"/>
  <c r="AG158" s="1"/>
  <c r="AB156"/>
  <c r="AD156"/>
  <c r="AF164"/>
  <c r="AF166"/>
  <c r="AH166" s="1"/>
  <c r="AS166" s="1"/>
  <c r="AB126"/>
  <c r="AF128"/>
  <c r="AG128"/>
  <c r="AD126"/>
  <c r="AF131"/>
  <c r="AB129"/>
  <c r="AG131"/>
  <c r="AD129"/>
  <c r="AF136"/>
  <c r="AB134"/>
  <c r="AD134"/>
  <c r="AE136"/>
  <c r="AC137"/>
  <c r="AF141"/>
  <c r="AH141" s="1"/>
  <c r="AS141" s="1"/>
  <c r="AC144"/>
  <c r="AC153"/>
  <c r="AC156"/>
  <c r="S160"/>
  <c r="AF160" s="1"/>
  <c r="AH160" s="1"/>
  <c r="AS160" s="1"/>
  <c r="AF162"/>
  <c r="AG162"/>
  <c r="AS190"/>
  <c r="AH188"/>
  <c r="AS188" s="1"/>
  <c r="AH168"/>
  <c r="AS168" s="1"/>
  <c r="AH182"/>
  <c r="AF180"/>
  <c r="AF173"/>
  <c r="AH175"/>
  <c r="AC116"/>
  <c r="AD109"/>
  <c r="AD113"/>
  <c r="AD115"/>
  <c r="AD116"/>
  <c r="AC108"/>
  <c r="AD118"/>
  <c r="AB111"/>
  <c r="AB116"/>
  <c r="AC121"/>
  <c r="AC114"/>
  <c r="AB108"/>
  <c r="AC115"/>
  <c r="AC109"/>
  <c r="AC111"/>
  <c r="AD111"/>
  <c r="AB114"/>
  <c r="AD114"/>
  <c r="AD120"/>
  <c r="AC113"/>
  <c r="AB121"/>
  <c r="AD123"/>
  <c r="AB109"/>
  <c r="AC123"/>
  <c r="AB123"/>
  <c r="AB115"/>
  <c r="AD108"/>
  <c r="AB110"/>
  <c r="AB118"/>
  <c r="AC110"/>
  <c r="AC120"/>
  <c r="AB113"/>
  <c r="AC118"/>
  <c r="AB120"/>
  <c r="AD121"/>
  <c r="AD110"/>
  <c r="AH125" l="1"/>
  <c r="AS125" s="1"/>
  <c r="AH162"/>
  <c r="AS162" s="1"/>
  <c r="AF110"/>
  <c r="AE110"/>
  <c r="AF113"/>
  <c r="AE113"/>
  <c r="AG113" s="1"/>
  <c r="AF114"/>
  <c r="AE114"/>
  <c r="AF116"/>
  <c r="AE116"/>
  <c r="AF121"/>
  <c r="AG121"/>
  <c r="AE108"/>
  <c r="AH108" s="1"/>
  <c r="AS108" s="1"/>
  <c r="AF109"/>
  <c r="AE109"/>
  <c r="AF111"/>
  <c r="AE111"/>
  <c r="AF115"/>
  <c r="AE115"/>
  <c r="AF118"/>
  <c r="AG118"/>
  <c r="AF120"/>
  <c r="AG120"/>
  <c r="AF123"/>
  <c r="AG123"/>
  <c r="AH139"/>
  <c r="AS139" s="1"/>
  <c r="AF137"/>
  <c r="AH180"/>
  <c r="AS180" s="1"/>
  <c r="AS182"/>
  <c r="AH131"/>
  <c r="AS131" s="1"/>
  <c r="AG129"/>
  <c r="AF129" s="1"/>
  <c r="AH146"/>
  <c r="AF144"/>
  <c r="AS175"/>
  <c r="AH173"/>
  <c r="AS173" s="1"/>
  <c r="AH136"/>
  <c r="AF134"/>
  <c r="AE134" s="1"/>
  <c r="AG126"/>
  <c r="AF126" s="1"/>
  <c r="AH128"/>
  <c r="AF158"/>
  <c r="AH158" s="1"/>
  <c r="AG156"/>
  <c r="AH155"/>
  <c r="AG153"/>
  <c r="AF153" s="1"/>
  <c r="AE144"/>
  <c r="AH152"/>
  <c r="AS152" s="1"/>
  <c r="U102"/>
  <c r="T101"/>
  <c r="AB106"/>
  <c r="AB96"/>
  <c r="AD84"/>
  <c r="AD100"/>
  <c r="AD94"/>
  <c r="AB86"/>
  <c r="AC100"/>
  <c r="AC92"/>
  <c r="AC106"/>
  <c r="AB98"/>
  <c r="AB92"/>
  <c r="AC102"/>
  <c r="AC94"/>
  <c r="AC82"/>
  <c r="AD98"/>
  <c r="AD92"/>
  <c r="AD82"/>
  <c r="AD97"/>
  <c r="AB91"/>
  <c r="AB104"/>
  <c r="AC96"/>
  <c r="AD89"/>
  <c r="AB82"/>
  <c r="AC98"/>
  <c r="AD91"/>
  <c r="AD104"/>
  <c r="AC97"/>
  <c r="AC91"/>
  <c r="AD106"/>
  <c r="AD96"/>
  <c r="AC86"/>
  <c r="AB102"/>
  <c r="AB95"/>
  <c r="AD86"/>
  <c r="AB97"/>
  <c r="AC89"/>
  <c r="AD102"/>
  <c r="AD95"/>
  <c r="AB89"/>
  <c r="AC104"/>
  <c r="AC95"/>
  <c r="AB84"/>
  <c r="AB100"/>
  <c r="AB94"/>
  <c r="AC84"/>
  <c r="AF156" l="1"/>
  <c r="AE156" s="1"/>
  <c r="AH115"/>
  <c r="AS115" s="1"/>
  <c r="AH111"/>
  <c r="AS111" s="1"/>
  <c r="AH109"/>
  <c r="AS109" s="1"/>
  <c r="AH121"/>
  <c r="AS121" s="1"/>
  <c r="AH113"/>
  <c r="AS113" s="1"/>
  <c r="AH123"/>
  <c r="AS123" s="1"/>
  <c r="AH116"/>
  <c r="AS116" s="1"/>
  <c r="AH114"/>
  <c r="AS114" s="1"/>
  <c r="AF82"/>
  <c r="AH82" s="1"/>
  <c r="AS82" s="1"/>
  <c r="AE86"/>
  <c r="AH86" s="1"/>
  <c r="AS86" s="1"/>
  <c r="AF89"/>
  <c r="AB87"/>
  <c r="AG89"/>
  <c r="AD87"/>
  <c r="AE92"/>
  <c r="AE94"/>
  <c r="AH94" s="1"/>
  <c r="AS94" s="1"/>
  <c r="AE95"/>
  <c r="AG95" s="1"/>
  <c r="AH95" s="1"/>
  <c r="AS95" s="1"/>
  <c r="AF98"/>
  <c r="AH98" s="1"/>
  <c r="AS98" s="1"/>
  <c r="AE100"/>
  <c r="AH100" s="1"/>
  <c r="AS100" s="1"/>
  <c r="AE102"/>
  <c r="AH102" s="1"/>
  <c r="AS102" s="1"/>
  <c r="AF104"/>
  <c r="AG104"/>
  <c r="S84"/>
  <c r="AF84" s="1"/>
  <c r="AE84"/>
  <c r="AC87"/>
  <c r="AF91"/>
  <c r="AG91"/>
  <c r="AE96"/>
  <c r="AH96" s="1"/>
  <c r="AS96" s="1"/>
  <c r="AE97"/>
  <c r="AG97" s="1"/>
  <c r="AH97" s="1"/>
  <c r="AS97" s="1"/>
  <c r="AE106"/>
  <c r="AH106" s="1"/>
  <c r="AS106" s="1"/>
  <c r="AS136"/>
  <c r="AH134"/>
  <c r="AS134" s="1"/>
  <c r="AS146"/>
  <c r="AH144"/>
  <c r="AS144" s="1"/>
  <c r="AH118"/>
  <c r="AS118" s="1"/>
  <c r="AH110"/>
  <c r="AS110" s="1"/>
  <c r="AH153"/>
  <c r="AS153" s="1"/>
  <c r="AS155"/>
  <c r="AS158"/>
  <c r="AS128"/>
  <c r="AH126"/>
  <c r="AS126" s="1"/>
  <c r="AD80"/>
  <c r="AB78"/>
  <c r="AC78"/>
  <c r="AC80"/>
  <c r="AD78"/>
  <c r="AB80"/>
  <c r="AF78" l="1"/>
  <c r="AG78"/>
  <c r="AF80"/>
  <c r="AG80"/>
  <c r="AE87"/>
  <c r="AH92"/>
  <c r="AS92" s="1"/>
  <c r="AH89"/>
  <c r="AS89" s="1"/>
  <c r="AG87"/>
  <c r="AH91"/>
  <c r="AS91" s="1"/>
  <c r="AH104"/>
  <c r="AS104" s="1"/>
  <c r="AF87"/>
  <c r="AH84"/>
  <c r="AS84" s="1"/>
  <c r="AE63"/>
  <c r="AG58"/>
  <c r="AE58"/>
  <c r="AG55"/>
  <c r="AE55"/>
  <c r="AC76"/>
  <c r="AC60"/>
  <c r="AD71"/>
  <c r="AD62"/>
  <c r="AB53"/>
  <c r="AC62"/>
  <c r="AC74"/>
  <c r="AB65"/>
  <c r="AB74"/>
  <c r="AD54"/>
  <c r="AD69"/>
  <c r="AD60"/>
  <c r="AD74"/>
  <c r="AC57"/>
  <c r="AB71"/>
  <c r="AB62"/>
  <c r="AD53"/>
  <c r="AC69"/>
  <c r="AC53"/>
  <c r="AD67"/>
  <c r="AD57"/>
  <c r="AC71"/>
  <c r="AB54"/>
  <c r="AB69"/>
  <c r="AB60"/>
  <c r="AC65"/>
  <c r="AB76"/>
  <c r="AD65"/>
  <c r="AC54"/>
  <c r="AC67"/>
  <c r="AD76"/>
  <c r="AB67"/>
  <c r="AB57"/>
  <c r="AH80" l="1"/>
  <c r="AS80" s="1"/>
  <c r="AH78"/>
  <c r="AS78" s="1"/>
  <c r="AF53"/>
  <c r="AG53"/>
  <c r="S57"/>
  <c r="AF57" s="1"/>
  <c r="AB55"/>
  <c r="AD55"/>
  <c r="AF60"/>
  <c r="AB58"/>
  <c r="AD58"/>
  <c r="AF62"/>
  <c r="AH62" s="1"/>
  <c r="AS62" s="1"/>
  <c r="AF65"/>
  <c r="AB63"/>
  <c r="AG65"/>
  <c r="AD63"/>
  <c r="S67"/>
  <c r="AG67" s="1"/>
  <c r="AF69"/>
  <c r="AH69" s="1"/>
  <c r="AS69" s="1"/>
  <c r="AF71"/>
  <c r="AH71" s="1"/>
  <c r="AS71" s="1"/>
  <c r="AC72"/>
  <c r="AF76"/>
  <c r="AG76"/>
  <c r="AF54"/>
  <c r="AG54"/>
  <c r="AC55"/>
  <c r="AC58"/>
  <c r="AC63"/>
  <c r="AF74"/>
  <c r="AB72"/>
  <c r="AE74"/>
  <c r="AE72" s="1"/>
  <c r="AD72"/>
  <c r="AE51"/>
  <c r="AD51"/>
  <c r="AC51"/>
  <c r="AB51"/>
  <c r="T30"/>
  <c r="U29"/>
  <c r="T28"/>
  <c r="S27"/>
  <c r="AG11"/>
  <c r="AE11"/>
  <c r="AC38"/>
  <c r="AC24"/>
  <c r="AB14"/>
  <c r="AD46"/>
  <c r="AB38"/>
  <c r="AB27"/>
  <c r="AC15"/>
  <c r="AC46"/>
  <c r="AB34"/>
  <c r="AD18"/>
  <c r="AC10"/>
  <c r="AD38"/>
  <c r="AC18"/>
  <c r="AD40"/>
  <c r="AC29"/>
  <c r="AB15"/>
  <c r="AD48"/>
  <c r="AC40"/>
  <c r="AB29"/>
  <c r="AB20"/>
  <c r="AC50"/>
  <c r="AC36"/>
  <c r="AC22"/>
  <c r="AD13"/>
  <c r="AB46"/>
  <c r="AD36"/>
  <c r="AD24"/>
  <c r="AC14"/>
  <c r="AC34"/>
  <c r="AD10"/>
  <c r="AD22"/>
  <c r="AC44"/>
  <c r="AD31"/>
  <c r="AB18"/>
  <c r="AD50"/>
  <c r="AD42"/>
  <c r="AC31"/>
  <c r="AB22"/>
  <c r="AB10"/>
  <c r="AB40"/>
  <c r="AC27"/>
  <c r="AD14"/>
  <c r="AB48"/>
  <c r="AD27"/>
  <c r="AC48"/>
  <c r="AD34"/>
  <c r="AC20"/>
  <c r="AB13"/>
  <c r="AD44"/>
  <c r="AB36"/>
  <c r="AB24"/>
  <c r="AC13"/>
  <c r="AC42"/>
  <c r="AB31"/>
  <c r="AD15"/>
  <c r="AB50"/>
  <c r="AB42"/>
  <c r="AD29"/>
  <c r="AD20"/>
  <c r="AB44"/>
  <c r="AF51" l="1"/>
  <c r="AH54"/>
  <c r="AS54" s="1"/>
  <c r="AH57"/>
  <c r="AS57" s="1"/>
  <c r="AF55"/>
  <c r="S10"/>
  <c r="AF10" s="1"/>
  <c r="AH10" s="1"/>
  <c r="AS10" s="1"/>
  <c r="AC11"/>
  <c r="AC16"/>
  <c r="AE20"/>
  <c r="AH20" s="1"/>
  <c r="AS20" s="1"/>
  <c r="AE22"/>
  <c r="AH22" s="1"/>
  <c r="AS22" s="1"/>
  <c r="AE24"/>
  <c r="AH24" s="1"/>
  <c r="AS24" s="1"/>
  <c r="AB25"/>
  <c r="AE27"/>
  <c r="AD25"/>
  <c r="AE29"/>
  <c r="AH29" s="1"/>
  <c r="AS29" s="1"/>
  <c r="AC32"/>
  <c r="S36"/>
  <c r="AE36"/>
  <c r="AF38"/>
  <c r="AG38"/>
  <c r="AF42"/>
  <c r="AG42"/>
  <c r="AF44"/>
  <c r="AE44"/>
  <c r="S46"/>
  <c r="AG46" s="1"/>
  <c r="AF48"/>
  <c r="AG48"/>
  <c r="AF50"/>
  <c r="AE50"/>
  <c r="S13"/>
  <c r="AF13" s="1"/>
  <c r="AB11"/>
  <c r="AD11"/>
  <c r="AF14"/>
  <c r="AH14" s="1"/>
  <c r="AS14" s="1"/>
  <c r="AF15"/>
  <c r="AH15" s="1"/>
  <c r="AS15" s="1"/>
  <c r="AB16"/>
  <c r="AF18"/>
  <c r="AF16" s="1"/>
  <c r="AG18"/>
  <c r="AD16"/>
  <c r="AC25"/>
  <c r="AF31"/>
  <c r="AG31"/>
  <c r="AB32"/>
  <c r="AF34"/>
  <c r="AG34"/>
  <c r="AD32"/>
  <c r="AF40"/>
  <c r="AG40"/>
  <c r="AF67"/>
  <c r="AH67" s="1"/>
  <c r="AS67" s="1"/>
  <c r="AH60"/>
  <c r="AS60" s="1"/>
  <c r="AF58"/>
  <c r="AH53"/>
  <c r="AS53" s="1"/>
  <c r="AG51"/>
  <c r="AH76"/>
  <c r="AS76" s="1"/>
  <c r="AG72"/>
  <c r="AF72" s="1"/>
  <c r="AH65"/>
  <c r="AS65" s="1"/>
  <c r="AG63"/>
  <c r="AH74"/>
  <c r="AF63"/>
  <c r="AG6"/>
  <c r="AE6"/>
  <c r="AC8"/>
  <c r="AB8"/>
  <c r="AD8"/>
  <c r="AH44" l="1"/>
  <c r="AS44" s="1"/>
  <c r="AH42"/>
  <c r="AS42" s="1"/>
  <c r="AH38"/>
  <c r="AS38" s="1"/>
  <c r="AD6"/>
  <c r="AD5" s="1"/>
  <c r="AC6"/>
  <c r="AF8"/>
  <c r="AH8" s="1"/>
  <c r="AB6"/>
  <c r="AH13"/>
  <c r="AS13" s="1"/>
  <c r="AF11"/>
  <c r="AF46"/>
  <c r="AH46" s="1"/>
  <c r="AS46" s="1"/>
  <c r="AH34"/>
  <c r="AG32"/>
  <c r="AH31"/>
  <c r="AG25"/>
  <c r="AF25" s="1"/>
  <c r="AH18"/>
  <c r="AS18" s="1"/>
  <c r="AG16"/>
  <c r="AS74"/>
  <c r="AH72"/>
  <c r="AS72" s="1"/>
  <c r="AS34"/>
  <c r="AF6"/>
  <c r="AH40"/>
  <c r="AS40" s="1"/>
  <c r="AH50"/>
  <c r="AS50" s="1"/>
  <c r="AH48"/>
  <c r="AS48" s="1"/>
  <c r="AE32"/>
  <c r="AE25"/>
  <c r="AH27"/>
  <c r="AS27" s="1"/>
  <c r="AS31"/>
  <c r="AE16"/>
  <c r="AE5" s="1"/>
  <c r="AB5"/>
  <c r="AC5" l="1"/>
  <c r="AS8"/>
  <c r="AH6"/>
  <c r="AS6" l="1"/>
  <c r="E114" i="105" l="1"/>
  <c r="F113"/>
  <c r="D113"/>
  <c r="C113"/>
  <c r="E112"/>
  <c r="G112" s="1"/>
  <c r="F111"/>
  <c r="D111"/>
  <c r="C111"/>
  <c r="E110"/>
  <c r="G109" s="1"/>
  <c r="E109"/>
  <c r="E108"/>
  <c r="G107" s="1"/>
  <c r="E107"/>
  <c r="E106"/>
  <c r="G105" s="1"/>
  <c r="E105"/>
  <c r="E104"/>
  <c r="G103" s="1"/>
  <c r="E103"/>
  <c r="E102"/>
  <c r="G101" s="1"/>
  <c r="E101"/>
  <c r="E100"/>
  <c r="G99" s="1"/>
  <c r="E99"/>
  <c r="E98"/>
  <c r="G97" s="1"/>
  <c r="E97"/>
  <c r="E96"/>
  <c r="G95" s="1"/>
  <c r="E95"/>
  <c r="E94"/>
  <c r="G93" s="1"/>
  <c r="E93"/>
  <c r="E92"/>
  <c r="G91" s="1"/>
  <c r="E91"/>
  <c r="E90"/>
  <c r="G89" s="1"/>
  <c r="E89"/>
  <c r="E88"/>
  <c r="G87" s="1"/>
  <c r="E87"/>
  <c r="E86"/>
  <c r="G85" s="1"/>
  <c r="E85"/>
  <c r="E84"/>
  <c r="G83" s="1"/>
  <c r="E83"/>
  <c r="F82"/>
  <c r="E82"/>
  <c r="G81"/>
  <c r="E81"/>
  <c r="F80"/>
  <c r="C80"/>
  <c r="E80" s="1"/>
  <c r="E79"/>
  <c r="G79" s="1"/>
  <c r="E78"/>
  <c r="G78" s="1"/>
  <c r="E77"/>
  <c r="G77" s="1"/>
  <c r="F76"/>
  <c r="E76"/>
  <c r="C76"/>
  <c r="G75"/>
  <c r="E75"/>
  <c r="F74"/>
  <c r="C74"/>
  <c r="E74" s="1"/>
  <c r="E73"/>
  <c r="G73" s="1"/>
  <c r="E72"/>
  <c r="G72" s="1"/>
  <c r="E71"/>
  <c r="G71" s="1"/>
  <c r="E70"/>
  <c r="G70" s="1"/>
  <c r="F69"/>
  <c r="E69"/>
  <c r="G68" s="1"/>
  <c r="E68"/>
  <c r="F67"/>
  <c r="E67" s="1"/>
  <c r="C67"/>
  <c r="E66"/>
  <c r="G65" s="1"/>
  <c r="E65"/>
  <c r="E64"/>
  <c r="G63" s="1"/>
  <c r="E63"/>
  <c r="E62"/>
  <c r="G61" s="1"/>
  <c r="E61"/>
  <c r="E60"/>
  <c r="G59" s="1"/>
  <c r="E59"/>
  <c r="E58"/>
  <c r="G57" s="1"/>
  <c r="E57"/>
  <c r="E56"/>
  <c r="G55" s="1"/>
  <c r="E55"/>
  <c r="E54"/>
  <c r="G53" s="1"/>
  <c r="E53"/>
  <c r="E52"/>
  <c r="G51" s="1"/>
  <c r="E51"/>
  <c r="E50"/>
  <c r="G49" s="1"/>
  <c r="E49"/>
  <c r="E48"/>
  <c r="G47" s="1"/>
  <c r="E47"/>
  <c r="E46"/>
  <c r="G45" s="1"/>
  <c r="E45"/>
  <c r="E44"/>
  <c r="G43" s="1"/>
  <c r="E43"/>
  <c r="F42"/>
  <c r="D42"/>
  <c r="C42"/>
  <c r="E41"/>
  <c r="G41" s="1"/>
  <c r="E40"/>
  <c r="G40" s="1"/>
  <c r="E39"/>
  <c r="G39" s="1"/>
  <c r="E38"/>
  <c r="G38" s="1"/>
  <c r="E37"/>
  <c r="G37" s="1"/>
  <c r="E36"/>
  <c r="G36" s="1"/>
  <c r="E35"/>
  <c r="G35" s="1"/>
  <c r="E34"/>
  <c r="G34" s="1"/>
  <c r="E33"/>
  <c r="G33" s="1"/>
  <c r="E32"/>
  <c r="G32" s="1"/>
  <c r="E31"/>
  <c r="G31" s="1"/>
  <c r="E30"/>
  <c r="G30" s="1"/>
  <c r="E29"/>
  <c r="G29" s="1"/>
  <c r="E28"/>
  <c r="G28" s="1"/>
  <c r="E27"/>
  <c r="G27" s="1"/>
  <c r="E26"/>
  <c r="G26" s="1"/>
  <c r="E25"/>
  <c r="G25" s="1"/>
  <c r="F24"/>
  <c r="D24"/>
  <c r="C24"/>
  <c r="E23"/>
  <c r="G22" s="1"/>
  <c r="E22"/>
  <c r="E21"/>
  <c r="G20" s="1"/>
  <c r="E20"/>
  <c r="E19"/>
  <c r="F18"/>
  <c r="D18"/>
  <c r="C18"/>
  <c r="G17"/>
  <c r="E17"/>
  <c r="F16"/>
  <c r="E16" s="1"/>
  <c r="D16"/>
  <c r="C16"/>
  <c r="G15" s="1"/>
  <c r="E15"/>
  <c r="E14"/>
  <c r="G13" s="1"/>
  <c r="E13"/>
  <c r="E12"/>
  <c r="G11" s="1"/>
  <c r="E11"/>
  <c r="F10"/>
  <c r="C10"/>
  <c r="G9" s="1"/>
  <c r="E9"/>
  <c r="F8"/>
  <c r="F5" s="1"/>
  <c r="E8"/>
  <c r="E7"/>
  <c r="F6"/>
  <c r="E6"/>
  <c r="D5"/>
  <c r="G6" l="1"/>
  <c r="C5"/>
  <c r="E5" s="1"/>
  <c r="G5" s="1"/>
  <c r="G7"/>
  <c r="G8"/>
  <c r="E10"/>
  <c r="G10" s="1"/>
  <c r="G12"/>
  <c r="G14"/>
  <c r="G16"/>
  <c r="E18"/>
  <c r="G19"/>
  <c r="G21"/>
  <c r="G23"/>
  <c r="E24"/>
  <c r="G44"/>
  <c r="G46"/>
  <c r="G48"/>
  <c r="G50"/>
  <c r="G52"/>
  <c r="G54"/>
  <c r="G56"/>
  <c r="G58"/>
  <c r="G60"/>
  <c r="G62"/>
  <c r="G64"/>
  <c r="G66"/>
  <c r="G67"/>
  <c r="G74"/>
  <c r="G80"/>
  <c r="G82"/>
  <c r="G84"/>
  <c r="G86"/>
  <c r="G88"/>
  <c r="G90"/>
  <c r="G92"/>
  <c r="G94"/>
  <c r="G96"/>
  <c r="G98"/>
  <c r="G100"/>
  <c r="G102"/>
  <c r="G104"/>
  <c r="G106"/>
  <c r="G108"/>
  <c r="G110"/>
  <c r="E111"/>
  <c r="G18"/>
  <c r="G24"/>
  <c r="E42"/>
  <c r="G42" s="1"/>
  <c r="G69"/>
  <c r="G76"/>
  <c r="G111"/>
  <c r="E113"/>
  <c r="G113" s="1"/>
  <c r="K22" i="21"/>
  <c r="K4" s="1"/>
  <c r="M22"/>
  <c r="M4" s="1"/>
  <c r="L22"/>
  <c r="L4" s="1"/>
  <c r="U274"/>
  <c r="U4" s="1"/>
  <c r="W5"/>
  <c r="W282"/>
  <c r="W274" s="1"/>
  <c r="V5"/>
  <c r="N22"/>
  <c r="N4" s="1"/>
  <c r="O22"/>
  <c r="O4" s="1"/>
  <c r="Q23"/>
  <c r="Q22" s="1"/>
  <c r="P23"/>
  <c r="P22" s="1"/>
  <c r="P4" s="1"/>
  <c r="V274"/>
  <c r="X6"/>
  <c r="X5" s="1"/>
  <c r="X282"/>
  <c r="X274" s="1"/>
  <c r="O126" i="86"/>
  <c r="O177"/>
  <c r="O148" s="1"/>
  <c r="O201"/>
  <c r="O200" s="1"/>
  <c r="O209"/>
  <c r="O208" s="1"/>
  <c r="Q5"/>
  <c r="Q23"/>
  <c r="Q22" s="1"/>
  <c r="Q76"/>
  <c r="Q75" s="1"/>
  <c r="R75" s="1"/>
  <c r="Q104"/>
  <c r="Q103" s="1"/>
  <c r="R103" s="1"/>
  <c r="Q126"/>
  <c r="Q177"/>
  <c r="Q148" s="1"/>
  <c r="Q201"/>
  <c r="Q200" s="1"/>
  <c r="Q209"/>
  <c r="Q208" s="1"/>
  <c r="P5"/>
  <c r="P22"/>
  <c r="P126"/>
  <c r="P177"/>
  <c r="P148" s="1"/>
  <c r="P201"/>
  <c r="P200" s="1"/>
  <c r="P209"/>
  <c r="P208" s="1"/>
  <c r="N126"/>
  <c r="N177"/>
  <c r="N148" s="1"/>
  <c r="N201"/>
  <c r="N200" s="1"/>
  <c r="N209"/>
  <c r="N208" s="1"/>
  <c r="K126"/>
  <c r="K177"/>
  <c r="K148" s="1"/>
  <c r="K201"/>
  <c r="K200" s="1"/>
  <c r="K209"/>
  <c r="K208" s="1"/>
  <c r="M126"/>
  <c r="M177"/>
  <c r="M148" s="1"/>
  <c r="M201"/>
  <c r="M200" s="1"/>
  <c r="M209"/>
  <c r="M208" s="1"/>
  <c r="L126"/>
  <c r="R5"/>
  <c r="X5"/>
  <c r="X4" s="1"/>
  <c r="AA6" s="1"/>
  <c r="AB6" s="1"/>
  <c r="L177"/>
  <c r="L148" s="1"/>
  <c r="L201"/>
  <c r="L200" s="1"/>
  <c r="L209"/>
  <c r="L208" s="1"/>
  <c r="R23"/>
  <c r="R76"/>
  <c r="R104"/>
  <c r="R126"/>
  <c r="R201"/>
  <c r="R209" l="1"/>
  <c r="R177"/>
  <c r="Y282" i="21"/>
  <c r="V4"/>
  <c r="O4" i="86"/>
  <c r="R208"/>
  <c r="R148"/>
  <c r="R23" i="21"/>
  <c r="M4" i="86"/>
  <c r="N4"/>
  <c r="R200"/>
  <c r="L4"/>
  <c r="W4" i="21"/>
  <c r="P4" i="86"/>
  <c r="X4" i="21"/>
  <c r="AA6" s="1"/>
  <c r="AB6" s="1"/>
  <c r="Q4" i="86"/>
  <c r="R22"/>
  <c r="Q4" i="21"/>
  <c r="R4" s="1"/>
  <c r="R22"/>
  <c r="K4" i="86"/>
  <c r="Z4"/>
  <c r="R4" l="1"/>
  <c r="Z4" i="21"/>
  <c r="Z5" s="1"/>
  <c r="Z5" i="86"/>
  <c r="Z7"/>
  <c r="G114" i="105"/>
  <c r="AH11" i="13"/>
  <c r="AS11" s="1"/>
  <c r="AH16"/>
  <c r="AS16" s="1"/>
  <c r="AH25"/>
  <c r="AS25" s="1"/>
  <c r="AF36"/>
  <c r="AH36" s="1"/>
  <c r="AH51"/>
  <c r="AS51" s="1"/>
  <c r="AH55"/>
  <c r="AS55" s="1"/>
  <c r="AH58"/>
  <c r="AS58" s="1"/>
  <c r="AH63"/>
  <c r="AH120"/>
  <c r="AH87" s="1"/>
  <c r="AH129"/>
  <c r="AH137"/>
  <c r="AS137" s="1"/>
  <c r="AH170"/>
  <c r="AH156" s="1"/>
  <c r="AS156" s="1"/>
  <c r="AH187"/>
  <c r="AH185" s="1"/>
  <c r="AS185" s="1"/>
  <c r="AG5"/>
  <c r="AS63"/>
  <c r="AS129"/>
  <c r="AH209"/>
  <c r="AH205" s="1"/>
  <c r="AS205" s="1"/>
  <c r="AH204"/>
  <c r="AH200" s="1"/>
  <c r="AS200" s="1"/>
  <c r="AS170" l="1"/>
  <c r="AF32"/>
  <c r="AF5" s="1"/>
  <c r="Z7" i="21"/>
  <c r="AS209" i="13"/>
  <c r="AS187"/>
  <c r="AS120"/>
  <c r="AS87" s="1"/>
  <c r="AS204"/>
  <c r="AH32"/>
  <c r="AS36"/>
  <c r="AH5" l="1"/>
  <c r="AS5" s="1"/>
  <c r="AS32"/>
</calcChain>
</file>

<file path=xl/sharedStrings.xml><?xml version="1.0" encoding="utf-8"?>
<sst xmlns="http://schemas.openxmlformats.org/spreadsheetml/2006/main" count="5779" uniqueCount="1680">
  <si>
    <t>PP</t>
  </si>
  <si>
    <t>Programa Presupuestario (PP)</t>
  </si>
  <si>
    <t>UR</t>
  </si>
  <si>
    <t>Unidad Responsable (UR)</t>
  </si>
  <si>
    <t>F</t>
  </si>
  <si>
    <t>PPEF 2010</t>
  </si>
  <si>
    <t>PEF 2010</t>
  </si>
  <si>
    <t>PPEF 2011</t>
  </si>
  <si>
    <t>Asuntos Indígenas</t>
  </si>
  <si>
    <t>PEC</t>
  </si>
  <si>
    <t>Actividades de apoyo administrativo</t>
  </si>
  <si>
    <t>Actividades de apoyo a la función pública y buen gobierno</t>
  </si>
  <si>
    <t>I00</t>
  </si>
  <si>
    <t>B00</t>
  </si>
  <si>
    <t>Gobernación</t>
  </si>
  <si>
    <t>C00</t>
  </si>
  <si>
    <t>Servicios migratorios en fronteras, puertos y aeropuertos</t>
  </si>
  <si>
    <t>Instituto Nacional de Migración</t>
  </si>
  <si>
    <t>F00</t>
  </si>
  <si>
    <t>Promover la Protección de los Derechos Humanos y Prevenir la Discriminación.</t>
  </si>
  <si>
    <t>Consejo Nacional para Prevenir la Discriminación</t>
  </si>
  <si>
    <t>D00</t>
  </si>
  <si>
    <t>Promover la atención y prevención de la violencia contra las mujeres</t>
  </si>
  <si>
    <t>Comisión Nacional para Prevenir y Erradicar la Violencia Contra las Mujeres</t>
  </si>
  <si>
    <t>Dirección General de Recursos Humanos</t>
  </si>
  <si>
    <t>Coordinación del Sistema Nacional de Protección Civil</t>
  </si>
  <si>
    <t>Coordinación General de Protección Civil</t>
  </si>
  <si>
    <t>H00</t>
  </si>
  <si>
    <t>Centro Nacional de Prevención de Desastres</t>
  </si>
  <si>
    <t>Conducción de la política interior y las relaciones del Ejecutivo Federal con el Congreso de la Unión, Entidades Federativas y Asociaciones Políticas y Sociales</t>
  </si>
  <si>
    <t>Instituto Nacional para el Federalismo y el Desarrollo Municipal</t>
  </si>
  <si>
    <t>Divulgación de las acciones en materia de derechos humanos.</t>
  </si>
  <si>
    <t>Unidad para la Promoción y Defensa de los Derechos Humanos</t>
  </si>
  <si>
    <t>Conducción de la política de comunicación social de la Administración Pública Federal y la relación con los medios de comunicación</t>
  </si>
  <si>
    <t>Dirección General de Comunicación Social</t>
  </si>
  <si>
    <t>Dirección General de Normatividad de Comunicación</t>
  </si>
  <si>
    <t>Planeación demográfica del país</t>
  </si>
  <si>
    <t>G00</t>
  </si>
  <si>
    <t>Secretaría General del Consejo Nacional de Población</t>
  </si>
  <si>
    <t>U00</t>
  </si>
  <si>
    <t>Fondo de Apoyo Social para Ex Trabajadores Migratorios mexicanos en Estados Unidos</t>
  </si>
  <si>
    <t>Relaciones Exteriores</t>
  </si>
  <si>
    <t>Protección y asistencia consular</t>
  </si>
  <si>
    <t>Dirección General de Protección a Mexicanos en el Exterior</t>
  </si>
  <si>
    <t>Proyectos de inmuebles (oficinas administrativas)</t>
  </si>
  <si>
    <t>Dirección General de Cooperación Técnica y Científica</t>
  </si>
  <si>
    <t>Coordinación de la política exterior de México en materia de derechos humanos y democracia</t>
  </si>
  <si>
    <t>Dirección General de Derechos Humanos y Democracia</t>
  </si>
  <si>
    <t>Promoción y defensa de los intereses de México en el Sistema de Naciones Unidas y demás foros multilaterales que se ocupan de temas globales</t>
  </si>
  <si>
    <t>Foros, publicaciones y actividades en materia de equidad de género</t>
  </si>
  <si>
    <t>Otros</t>
  </si>
  <si>
    <t>E00</t>
  </si>
  <si>
    <t>Programa de Garantías Liquidas</t>
  </si>
  <si>
    <t>HAN</t>
  </si>
  <si>
    <t>Programa integral de formación, capacitación y consultoría para Productores e Intermediarios Financieros Rurales.</t>
  </si>
  <si>
    <t>HJO</t>
  </si>
  <si>
    <t>Programas de Capital de Riesgo y para Servicios de Cobertura</t>
  </si>
  <si>
    <t>HAT</t>
  </si>
  <si>
    <t>Programas que canalizan apoyos para el fomento financiero y tecnológico a los sectores agropecuario, forestal, pesquero y rural</t>
  </si>
  <si>
    <t>HAS</t>
  </si>
  <si>
    <t>Acciones para Igualdad de Género con Población Indígena</t>
  </si>
  <si>
    <t>AYB</t>
  </si>
  <si>
    <t>Comisión Nacional para el Desarrollo de los Pueblos Indígenas</t>
  </si>
  <si>
    <t>Desarrollo Social</t>
  </si>
  <si>
    <t>Constitución y Operación de Unidades de Promoción de Crédito</t>
  </si>
  <si>
    <t>Reducción de Costos de Acceso al Crédito</t>
  </si>
  <si>
    <t>Comunicación Intercultural</t>
  </si>
  <si>
    <t>Fortalecimiento de Capacidades Indígenas</t>
  </si>
  <si>
    <t>Fortalecimiento de la Infraestructura Bancaria</t>
  </si>
  <si>
    <t>Otros proyectos de infraestructura social</t>
  </si>
  <si>
    <t>Mantenimiento de Infraestructura</t>
  </si>
  <si>
    <t>Estudios de preinversión</t>
  </si>
  <si>
    <t>Comisión Nacional de Vivienda</t>
  </si>
  <si>
    <t>Instituto Nacional de las Mujeres</t>
  </si>
  <si>
    <t>Operación del Servicio Profesional de Carrera en la Administración Pública Federal Centralizada</t>
  </si>
  <si>
    <t>Unidad de Política y Control Presupuestario</t>
  </si>
  <si>
    <t>Promoción y coordinación de las acciones para la equidad de género</t>
  </si>
  <si>
    <t>Instrumentación de Políticas Transversales con Población Indígena</t>
  </si>
  <si>
    <t>Planeación y Participación Indígena</t>
  </si>
  <si>
    <t>Acciones de control de las unidades centrales y foráneas</t>
  </si>
  <si>
    <t>Programa de Subsidio a la Prima del Seguro Agropecuario</t>
  </si>
  <si>
    <t>GSA</t>
  </si>
  <si>
    <t>Fortalecimiento a la Transversalidad de la Perspectiva de Género</t>
  </si>
  <si>
    <t>Programa de Apoyo a los Fondos de Aseguramiento Agropecuario</t>
  </si>
  <si>
    <t>Programa de esquema de financiamiento y subsidio federal para vivienda</t>
  </si>
  <si>
    <t>Programas Albergues Escolares Indígenas (PAEI)</t>
  </si>
  <si>
    <t>Programa de Infraestructura Básica para la Atención de los Pueblos Indígenas (PIBAI)</t>
  </si>
  <si>
    <t>Programa Fondos Regionales Indígenas (PFRI)</t>
  </si>
  <si>
    <t>Programa Organización Productiva para Mujeres Indígenas (POPMI)</t>
  </si>
  <si>
    <t>Programa Promoción de Convenios en Materia de Justicia (PPCMJ)</t>
  </si>
  <si>
    <t>Programa de Fomento y Desarrollo de las Culturas Indígenas (PFDCI)</t>
  </si>
  <si>
    <t>Programa Turismo Alternativo en Zonas Indígenas (PTAZI)</t>
  </si>
  <si>
    <t>Programa de Coordinación para el Apoyo a la Producción Indígena (PROCAPI)</t>
  </si>
  <si>
    <t>Programa de Seguro para Contingencias Climatológicas</t>
  </si>
  <si>
    <t>Programa de Asistencia Técnica al Microfinanciamiento Rural</t>
  </si>
  <si>
    <t>Fortalecimiento a las Políticas Municipales de Igualdad y Equidad entre Mujeres y Hombres.</t>
  </si>
  <si>
    <t>Proyecto para la Atención a Indígenas Desplazados (Indígenas urbanos y migrantes desplazados)</t>
  </si>
  <si>
    <t>Apoyo a proyectos de comunicación indígena</t>
  </si>
  <si>
    <t>Atención a Tercer Nivel</t>
  </si>
  <si>
    <t>Manejo y Conservación de Recursos Naturales en Zonas Indígenas</t>
  </si>
  <si>
    <t>Excarcelación de Presos Indígenas</t>
  </si>
  <si>
    <t>Salud</t>
  </si>
  <si>
    <t>Dirección General de Derechos Humanos</t>
  </si>
  <si>
    <t>Capacitación y sensibilización para efectivos en perspectiva de género</t>
  </si>
  <si>
    <t>Dirección General de Administración</t>
  </si>
  <si>
    <t>Desarrollo y aplicación de programas educativos a nivel medio superior</t>
  </si>
  <si>
    <t>A1I</t>
  </si>
  <si>
    <t>Universidad Autónoma Chapingo</t>
  </si>
  <si>
    <t>Desarrollo de los programas educativos a nivel superior</t>
  </si>
  <si>
    <t>Vinculación entre los Servicios Académicos que presta la Universidad Autónoma Chapingo y el Desarrollo de la Investigación Científica y Tecnológica</t>
  </si>
  <si>
    <t>Desarrollo y aplicación de programas educativos en materia agropecuaria</t>
  </si>
  <si>
    <t>IZC</t>
  </si>
  <si>
    <t>Colegio de Postgraduados</t>
  </si>
  <si>
    <t>Apoyo al cambio tecnológico en las actividades agropecuarias, rurales, acuícolas y pesqueras</t>
  </si>
  <si>
    <t>JAG</t>
  </si>
  <si>
    <t>Instituto Nacional de Investigaciones Forestales, Agrícolas y Pecuarias</t>
  </si>
  <si>
    <t>Generación de Proyectos de Investigación</t>
  </si>
  <si>
    <t>Instituto Nacional de la Pesca</t>
  </si>
  <si>
    <t>Promoción de Exportaciones y Ferias</t>
  </si>
  <si>
    <t>Desarrollo de Mercados Agropecuarios y Pesqueros e Información</t>
  </si>
  <si>
    <t>Planeación y Prospectiva</t>
  </si>
  <si>
    <t>Inspección y Vigilancia Pesquera</t>
  </si>
  <si>
    <t>Promoción, fomento y difusión de las políticas sectoriales en materia agropecuaria y pesquera</t>
  </si>
  <si>
    <t>Regulación, supervisión y aplicación de las políticas públicas en materia agropecuaria, acuícola y pesquera</t>
  </si>
  <si>
    <t>Proyectos de infraestructura social de educación</t>
  </si>
  <si>
    <t>Otros proyectos de infraestructura gubernamental</t>
  </si>
  <si>
    <t>Otros proyectos</t>
  </si>
  <si>
    <t>Responsabilidades, Resoluciones Judiciales y Pago de Liquidaciones</t>
  </si>
  <si>
    <t>Dirección General de Desarrollo Humano y Profesionalización</t>
  </si>
  <si>
    <t>AFU</t>
  </si>
  <si>
    <t>I6L</t>
  </si>
  <si>
    <t>I6U</t>
  </si>
  <si>
    <t>I9H</t>
  </si>
  <si>
    <t>IZI</t>
  </si>
  <si>
    <t>Apoyo a la Función Pública y Buen Gobierno</t>
  </si>
  <si>
    <t>Registro, Control y Seguimiento de los Programas Presupuestarios</t>
  </si>
  <si>
    <t>Dirección General de Vinculación y Desarrollo Tecnológico</t>
  </si>
  <si>
    <t>Cuotas y Aportaciones a Organismos Internacionales</t>
  </si>
  <si>
    <t>Programa de Apoyo a la Inversión en Equipamiento e Infraestructura</t>
  </si>
  <si>
    <t>Programa de Apoyo al Ingreso Agropecuario: PROCAMPO para Vivir Mejor</t>
  </si>
  <si>
    <t>Programa de Prevención y Manejo de Riesgos</t>
  </si>
  <si>
    <t>Programa de Desarrollo de Capacidades, Innovación Tecnológica y Extensionismo Rural</t>
  </si>
  <si>
    <t>Programa de Sustentabilidad de los Recursos Naturales</t>
  </si>
  <si>
    <t>Instrumentación de acciones para mejorar las Sanidades a través de Inspecciones Fitozoosanitarias</t>
  </si>
  <si>
    <t>Determinación de los Coeficientes de Agostadero</t>
  </si>
  <si>
    <t>Sistema Nacional de Investigación Agrícola</t>
  </si>
  <si>
    <t>Apoyo al cambio tecnológico en las actividades acuícolas y pesqueras</t>
  </si>
  <si>
    <t>Fomento de la Ganadería y Normalización de la Calidad de los Productos Pecuarios</t>
  </si>
  <si>
    <t>Programa Nacional para el Control de la Abeja Africana</t>
  </si>
  <si>
    <t>Campaña de Diagnóstico, Prevención y Control de la Varroasis</t>
  </si>
  <si>
    <t>Vinculación Productiva</t>
  </si>
  <si>
    <t>Tecnificación del Riego</t>
  </si>
  <si>
    <t>Sistema Nacional de Información para el Desarrollo Sustentable (Coejercicio SNIDRUS)</t>
  </si>
  <si>
    <t>Comunicaciones y Transportes</t>
  </si>
  <si>
    <t>Instituto Mexicano del Transporte</t>
  </si>
  <si>
    <t>Supervisión, inspección y verificación del sistema Nacional e-México</t>
  </si>
  <si>
    <t>Coordinación de la Sociedad de la Información y el Conocimiento</t>
  </si>
  <si>
    <t>Proyectos de infraestructura económica de puertos</t>
  </si>
  <si>
    <t>Proyectos de infraestructura social de ciencia y tecnología</t>
  </si>
  <si>
    <t>Proyectos de infraestructura económica de carreteras alimentadoras y caminos rurales</t>
  </si>
  <si>
    <t>Conservación de infraestructura de caminos rurales y carreteras alimentadoras</t>
  </si>
  <si>
    <t>Estudios y proyectos de construcción de caminos rurales y carreteras alimentadoras</t>
  </si>
  <si>
    <t>Proyectos de Infraestructura Ferroviaria</t>
  </si>
  <si>
    <t>Sistema de Transporte Colectivo</t>
  </si>
  <si>
    <t>Definición y conducción de la política de comunicaciones y transportes</t>
  </si>
  <si>
    <t>Subsecretaría de Transporte</t>
  </si>
  <si>
    <t>Programa de Empleo Temporal (PET)</t>
  </si>
  <si>
    <t>Centro Nacional de Metrología</t>
  </si>
  <si>
    <t>Competitividad</t>
  </si>
  <si>
    <t>Servicio Geológico Mexicano</t>
  </si>
  <si>
    <t>Coordinación General del Programa Nacional de Apoyo para las Empresas de Solidaridad</t>
  </si>
  <si>
    <t>Coordinación General del Programa Nacional de Financiamiento al Microempresario</t>
  </si>
  <si>
    <t>Dirección General de Comercio Interior y Economía Digital</t>
  </si>
  <si>
    <t>Generación de condiciones de competencia leal de comercio y emisión de normatividad eficiente comercial, mercantil y de inversión extranjera</t>
  </si>
  <si>
    <t>Subsecretaría para la Pequeña y Mediana Empresa</t>
  </si>
  <si>
    <t>Dirección General de Desarrollo Empresarial y Oportunidades de Negocio</t>
  </si>
  <si>
    <t>Fondo de Microfinanciamiento a Mujeres Rurales (FOMMUR)</t>
  </si>
  <si>
    <t>Fondo Nacional de Apoyos para Empresas en Solidaridad (FONAES)</t>
  </si>
  <si>
    <t>Fondo de Apoyo para la Micro, Pequeña y Mediana Empresa (Fondo PYME)</t>
  </si>
  <si>
    <t>Programa Nacional de Financiamiento al Microempresario</t>
  </si>
  <si>
    <t>Competitividad en Logística y Centrales de Abasto</t>
  </si>
  <si>
    <t>Diseño y aplicación de la política educativa</t>
  </si>
  <si>
    <t>El Colegio de México, A.C.</t>
  </si>
  <si>
    <t>Universidad Nacional Autónoma de México</t>
  </si>
  <si>
    <t>Comisión de Operación y Fomento de Actividades Académicas del Instituto Politécnico Nacional</t>
  </si>
  <si>
    <t>Prestación de servicios de educación técnica</t>
  </si>
  <si>
    <t>Dirección General de Educación Superior Tecnológica</t>
  </si>
  <si>
    <t>Subsecretaría de Educación Media Superior</t>
  </si>
  <si>
    <t>Dirección General de Educación Tecnológica Industrial</t>
  </si>
  <si>
    <t>Instituto Politécnico Nacional</t>
  </si>
  <si>
    <t>Centro de Enseñanza Técnica Industrial</t>
  </si>
  <si>
    <t>Prestación de servicios de educación superior y posgrado</t>
  </si>
  <si>
    <t>Universidad Pedagógica Nacional</t>
  </si>
  <si>
    <t>Universidad Autónoma Metropolitana</t>
  </si>
  <si>
    <t>Instituto Nacional de Antropología e Historia</t>
  </si>
  <si>
    <t>Centro de Investigación y de Estudios Avanzados del Instituto Politécnico Nacional</t>
  </si>
  <si>
    <t>MGH</t>
  </si>
  <si>
    <t>Universidad Autónoma Agraria Antonio Narro</t>
  </si>
  <si>
    <t>Patronato de Obras e Instalaciones del Instituto Politécnico Nacional</t>
  </si>
  <si>
    <t>Deporte</t>
  </si>
  <si>
    <t>Comisión Nacional de Cultura Física y Deporte</t>
  </si>
  <si>
    <t>Dirección General de Desarrollo de la Gestión e Innovación Educativa</t>
  </si>
  <si>
    <t>Diseño y aplicación de políticas de equidad de género</t>
  </si>
  <si>
    <t>Unidad de Planeación y Evaluación de Políticas Educativas</t>
  </si>
  <si>
    <t>Universidad virtual</t>
  </si>
  <si>
    <t>Subsecretaría de Educación Superior</t>
  </si>
  <si>
    <t>Dirección General de Educación Superior Universitaria</t>
  </si>
  <si>
    <t>Normar los servicios educativos</t>
  </si>
  <si>
    <t>Dirección General de Educación Indígena</t>
  </si>
  <si>
    <t>Dirección General de Formación Continua de Maestros en Servicio</t>
  </si>
  <si>
    <t>L6W</t>
  </si>
  <si>
    <t>Programa de Educación inicial y básica para la población rural e indígena</t>
  </si>
  <si>
    <t>Programa de Desarrollo Humano Oportunidades</t>
  </si>
  <si>
    <t>Programa Becas de apoyo a la Educación Básica de Madres Jóvenes y Jóvenes Embarazadas</t>
  </si>
  <si>
    <t>Programa de Educación Básica para Niños y Niñas de Familias Jornaleras Agricolas Migrantes</t>
  </si>
  <si>
    <t>Programa Educativo Rural</t>
  </si>
  <si>
    <t>Programa del Sistema Nacional de Formación Continua y Superación Profesional de Maestros de Educación Básica en Servicio</t>
  </si>
  <si>
    <t>Programa para el Fortalecimiento del Servicio de la Educación Telesecundaria</t>
  </si>
  <si>
    <t>Programa Integral de Fortalecimiento Institucional</t>
  </si>
  <si>
    <t>Programa de becas</t>
  </si>
  <si>
    <t>Sistema Nacional de Educación a Distancia</t>
  </si>
  <si>
    <t>Formación de recursos humanos especializados para la salud (Hospitales)</t>
  </si>
  <si>
    <t>Comisión Coordinadora de Institutos Nacionales de Salud y Hospitales de Alta Especialidad</t>
  </si>
  <si>
    <t>Dirección General de Calidad y Educación en Salud</t>
  </si>
  <si>
    <t>Centro Regional de Alta Especialidad de Chiapas</t>
  </si>
  <si>
    <t>Instituto Nacional de Psiquiatría Ramón de la Fuente Muñiz</t>
  </si>
  <si>
    <t>Centros de Integración Juvenil, A.C.</t>
  </si>
  <si>
    <t>Servicios de Atención Psiquiátrica</t>
  </si>
  <si>
    <t>Hospital Juárez de México</t>
  </si>
  <si>
    <t>Hospital General "Dr. Manuel Gea González"</t>
  </si>
  <si>
    <t>Hospital General de México</t>
  </si>
  <si>
    <t>Hospital Infantil de México Federico Gómez</t>
  </si>
  <si>
    <t>Instituto Nacional de Cancerología</t>
  </si>
  <si>
    <t>Instituto Nacional de Cardiología Ignacio Chávez</t>
  </si>
  <si>
    <t>Instituto Nacional de Enfermedades Respiratorias Ismael Cosío Villegas</t>
  </si>
  <si>
    <t>Instituto Nacional de Ciencias Médicas y Nutrición Salvador Zubirán</t>
  </si>
  <si>
    <t>Instituto Nacional de Medicina Genómica</t>
  </si>
  <si>
    <t>Instituto Nacional de Neurología y Neurocirugía Manuel Velasco Suárez</t>
  </si>
  <si>
    <t>Instituto Nacional de Pediatría</t>
  </si>
  <si>
    <t>Instituto Nacional de Perinatología Isidro Espinosa de los Reyes</t>
  </si>
  <si>
    <t>Instituto Nacional de Rehabilitación</t>
  </si>
  <si>
    <t>Instituto Nacional de Salud Pública</t>
  </si>
  <si>
    <t>Sistema Nacional para el Desarrollo Integral de la Familia</t>
  </si>
  <si>
    <t>Instituto de Geriatría</t>
  </si>
  <si>
    <t>Centro Nacional para la Prevención y el Control del VIH/SIDA</t>
  </si>
  <si>
    <t>Hospital Regional de Alta Especialidad del Bajío</t>
  </si>
  <si>
    <t>Hospital Regional de Alta Especialidad de Oaxaca</t>
  </si>
  <si>
    <t>Centro Nacional de Programas Preventivos y Control de Enfermedades</t>
  </si>
  <si>
    <t>Centro Nacional para la Salud de la Infancia y la Adolescencia</t>
  </si>
  <si>
    <t>Investigación y desarrollo tecnológico en salud</t>
  </si>
  <si>
    <t>Prestación de servicios en los diferentes niveles de atención a la salud</t>
  </si>
  <si>
    <t>Prevención y atención contra las adicciones</t>
  </si>
  <si>
    <t>Secretariado Técnico del Consejo Nacional Contra las Adicciones</t>
  </si>
  <si>
    <t>Centro Nacional de Equidad de Género y Salud Reproductiva</t>
  </si>
  <si>
    <t>Calidad en Salud e Innovación</t>
  </si>
  <si>
    <t>Promoción de la salud, prevención y control de enfermedades crónico degenerativas y transmisibles y lesiones</t>
  </si>
  <si>
    <t>Prevención y atención de VIH/SIDA y otras ITS</t>
  </si>
  <si>
    <t>Atención de la Salud Reproductiva y la Igualdad de Género en Salud</t>
  </si>
  <si>
    <t>Reducción de la mortalidad materna</t>
  </si>
  <si>
    <t>Prevención contra la obesidad</t>
  </si>
  <si>
    <t>Cooperación internacional en salud</t>
  </si>
  <si>
    <t>Programa Comunidades Saludables</t>
  </si>
  <si>
    <t>Programas de Atención a Familias y Población Vulnerable</t>
  </si>
  <si>
    <t>Programa de estancias infantiles para apoyar a madres trabajadoras</t>
  </si>
  <si>
    <t>Caravanas de la Salud</t>
  </si>
  <si>
    <t>Seguro Popular</t>
  </si>
  <si>
    <t>Dirección General de Investigación y Desarrollo</t>
  </si>
  <si>
    <t>Proyectos de infraestructura social de asistencia y seguridad social</t>
  </si>
  <si>
    <t>Procuración de justicia laboral</t>
  </si>
  <si>
    <t>Procuraduría Federal de la Defensa del Trabajo</t>
  </si>
  <si>
    <t>Fomento de la equidad de género y la no discriminación en el mercado laboral</t>
  </si>
  <si>
    <t>Dirección General para la Igualdad Laboral</t>
  </si>
  <si>
    <t>Coordinación General del Servicio Nacional de Empleo</t>
  </si>
  <si>
    <t>Programa de Apoyo al Empleo (PAE)</t>
  </si>
  <si>
    <t>Programa de Atención a Situaciones de Contingencia Laboral</t>
  </si>
  <si>
    <t>Procuración de justicia agraria</t>
  </si>
  <si>
    <t>QEZ</t>
  </si>
  <si>
    <t>Procuraduría Agraria</t>
  </si>
  <si>
    <t>Atención de conflictos agrarios</t>
  </si>
  <si>
    <t>Ordenamiento y regulación de la propiedad rural</t>
  </si>
  <si>
    <t>Registro Agrario Nacional</t>
  </si>
  <si>
    <t>Registro de actos jurídicos sobre derechos agrarios</t>
  </si>
  <si>
    <t>Fondo de apoyo para los núcleos agrarios sin regularizar (FANAR)</t>
  </si>
  <si>
    <t>Capacidades productivas de núcleos agrarios</t>
  </si>
  <si>
    <t>Fomento a la inversión pública y privada de la propiedad rural</t>
  </si>
  <si>
    <t>Fomento al desarrollo agrario</t>
  </si>
  <si>
    <t>Reglamentación, verificación e inspección de las actividadesde la Ley Agraria</t>
  </si>
  <si>
    <t>Obligaciones jurídicas Ineludibles</t>
  </si>
  <si>
    <t>Implementación de políticas enfocadas al medio agrario</t>
  </si>
  <si>
    <t>Subsecretaría de Ordenamiento de la Propiedad Rural</t>
  </si>
  <si>
    <t>Dirección General de Coordinación</t>
  </si>
  <si>
    <t>Digitalización del archivo general agrario</t>
  </si>
  <si>
    <t>Modernización del Catastro Rural Nacional</t>
  </si>
  <si>
    <t>Programa de la Mujer en el Sector Agrario (PROMUSAG)</t>
  </si>
  <si>
    <t>Fondo de Apoyo para Proyectos Productivos (FAPPA)</t>
  </si>
  <si>
    <t>Joven Emprendedor Rural y Fondo de Tierras</t>
  </si>
  <si>
    <t>Operación y mantenimiento del Sistema Cutzamala</t>
  </si>
  <si>
    <t>Operación y mantenimiento del sistema de pozos de abastecimiento del Valle de México</t>
  </si>
  <si>
    <t>ProÁrbol.- Capacitación Ambiental y Desarrollo Sustentable</t>
  </si>
  <si>
    <t>RHQ</t>
  </si>
  <si>
    <t>Comisión Nacional Forestal</t>
  </si>
  <si>
    <t>Forestal</t>
  </si>
  <si>
    <t>Manejo Integral del Sistema Hidrológico</t>
  </si>
  <si>
    <t>Subdirección General Técnica</t>
  </si>
  <si>
    <t>Servicio Meteorológico Nacional Estaciones Hidrometeorológicas</t>
  </si>
  <si>
    <t>Investigación científica y tecnológica</t>
  </si>
  <si>
    <t>Instituto Nacional de Ecología</t>
  </si>
  <si>
    <t>RJE</t>
  </si>
  <si>
    <t>Instituto Mexicano de Tecnología del Agua</t>
  </si>
  <si>
    <t>ProÁrbol.-Prevención y Combate de Incendios Forestales</t>
  </si>
  <si>
    <t>Administración Sustentable del Agua</t>
  </si>
  <si>
    <t>Regulación Ambiental</t>
  </si>
  <si>
    <t>Dirección General de Política Ambiental e Integración Regional y Sectorial</t>
  </si>
  <si>
    <t>Programa de Inspección y Vigilancia en Materia de Medio Ambiente y Recursos Naturales</t>
  </si>
  <si>
    <t>Programa de gestión hídrica</t>
  </si>
  <si>
    <t>Cuenca Lerma-Chapala</t>
  </si>
  <si>
    <t>Consolidar el Sistema Nacional de Áreas Naturales Protegidas</t>
  </si>
  <si>
    <t>Comisión Nacional de Áreas Naturales Protegidas</t>
  </si>
  <si>
    <t>ProÁrbol.- Programa de Gestión y Planeación Forestal y Conservación de Polígonos Forestales</t>
  </si>
  <si>
    <t>Proyectos de infraestructura económica de agua potable, alcantarillado y saneamiento</t>
  </si>
  <si>
    <t>Conservación y Operación de Presas y Estructuras de Cabeza</t>
  </si>
  <si>
    <t>Infraestructura para la Protección de Centros de Población y Áreas Productivas</t>
  </si>
  <si>
    <t>Infraestructura de temporal.</t>
  </si>
  <si>
    <t>Pago y Expropiaciones para Infraestructura Federal.</t>
  </si>
  <si>
    <t>Programas Hídricos Integrales.</t>
  </si>
  <si>
    <t>Infraestructura de Riego</t>
  </si>
  <si>
    <t>Zona de Mitigación y Rescate Ecológico en el Lago de Texcoco</t>
  </si>
  <si>
    <t>Programa de Inversión en Infraestructura Social y de Protección Abiental</t>
  </si>
  <si>
    <t>Programa para atender desastres naturales</t>
  </si>
  <si>
    <t>Planeación, Evaluación Ambiental y Conservación de Polígonos Forestales</t>
  </si>
  <si>
    <t>Unidad Coordinadora de Participación Social y Transparencia</t>
  </si>
  <si>
    <t>Programa Especial de Cambio Climático</t>
  </si>
  <si>
    <t>ProÁrbol.-Programa de Desarrollo y Producción Forestal</t>
  </si>
  <si>
    <t>Programa de Conservación para el Desarrollo Sostenible (PROCODES)</t>
  </si>
  <si>
    <t>Programa de Agua Limpia</t>
  </si>
  <si>
    <t>Programa de Agua Potable, Alcantarillado y Saneamiento en Zonas Urbanas</t>
  </si>
  <si>
    <t>Programa para la Construcción y Rehabilitación de Sistemas de Agua Potable y Saneamiento en Zonas Rurales</t>
  </si>
  <si>
    <t>Programa de Rehabilitación, Modernizacióny Equipamiento de Distritos de Riego</t>
  </si>
  <si>
    <t>ProÁrbol.- Programa de Pago por Servicios Ambientales</t>
  </si>
  <si>
    <t>ProÁrbol.- Programa de Conservación y Restauración de Ecosistemas Forestales</t>
  </si>
  <si>
    <t>Programa de Modernización y Tecnificación de Unidades de Riego</t>
  </si>
  <si>
    <t>Programa de Tratamiento de Aguas Residuales</t>
  </si>
  <si>
    <t>ProÁrbol.-Producción de Planta y Programas Especiales de Restauración Forestal</t>
  </si>
  <si>
    <t>ProÁrbol.-Programa para el Desarrollo Forestal Comunitario y para el Desarrollo Regional Forestal</t>
  </si>
  <si>
    <t>Programa de Acción para la Conservación de la Vaquita Marina</t>
  </si>
  <si>
    <t>Mejora de Eficiencia Hídrica en Áreas Agrícolas</t>
  </si>
  <si>
    <t>Fomento para la Conservación y Aprovechamiento Sustentable de la Vida Silvestre</t>
  </si>
  <si>
    <t>Programa de Desarrollo Institucional y Ordenamientos Ecológicos Ambientales</t>
  </si>
  <si>
    <t>Programa de Mitigación y Adaptación del Cambio Climáticos</t>
  </si>
  <si>
    <t>Programa de Vigilancia Comunitaria en Áreas Naturales Protegidas y Zonas de Influencia</t>
  </si>
  <si>
    <t>Programa de Recuperación y Repoblación de Especies en Peligro de Extinción.</t>
  </si>
  <si>
    <t>Programa de Adecuación de Derechos de Uso de Agua</t>
  </si>
  <si>
    <t>Programa de Conservación del Maíz Criollo</t>
  </si>
  <si>
    <t>Investigar y perseguir los delitos del orden federal</t>
  </si>
  <si>
    <t>Procuraduría General de la República</t>
  </si>
  <si>
    <t>Investigar y perseguir los delitos relativos a la Delincuencia Organizada</t>
  </si>
  <si>
    <t>Subprocuraduría de Investigación Especializada en Delincuencia Organizada</t>
  </si>
  <si>
    <t>Promoción del respeto a los derechos humanos y atención a víctimas del delito</t>
  </si>
  <si>
    <t>Instituto Nacional de Ciencias Penales</t>
  </si>
  <si>
    <t>Promoción del Desarrollo Humano y Planeación Institucional</t>
  </si>
  <si>
    <t>Instituto de Capacitación y Profesionalización en Procuración de Justicia Federal</t>
  </si>
  <si>
    <t>Instituto Nacional de Investigaciones Nucleares</t>
  </si>
  <si>
    <t>Investigación y desarrollo tecnológico en materia petrolera</t>
  </si>
  <si>
    <t>Instituto Mexicano del Petróleo</t>
  </si>
  <si>
    <t>Investigación y desarrollo tecnológico y de capital humano en energía eléctrica</t>
  </si>
  <si>
    <t>Instituto de Investigaciones Eléctricas</t>
  </si>
  <si>
    <t>Gestión e implementación en aprovechamiento sustentable de la energía</t>
  </si>
  <si>
    <t>Promoción en materia de aprovechamiento sustentable de la energía</t>
  </si>
  <si>
    <t>Supervisar el aprovechamiento sustentable de la energía</t>
  </si>
  <si>
    <t>Conducción de la política energética</t>
  </si>
  <si>
    <t>Seguimiento y evaluación de políticas públicas en aprovechamiento sustentable de la energía</t>
  </si>
  <si>
    <t>Instituto Nacional de Desarrollo Social</t>
  </si>
  <si>
    <t>VZG</t>
  </si>
  <si>
    <t>Dirección General de Equipamiento e Infraestructura en Zonas Urbano-Marginadas</t>
  </si>
  <si>
    <t>Unidad de Programas de Atención de la Pobreza Urbana</t>
  </si>
  <si>
    <t>Delegación SEDESOL en Aguascalientes</t>
  </si>
  <si>
    <t>Delegación SEDESOL en Baja California</t>
  </si>
  <si>
    <t>Delegación SEDESOL en Baja California Sur</t>
  </si>
  <si>
    <t>Delegación SEDESOL en Campeche</t>
  </si>
  <si>
    <t>Delegación SEDESOL en Coahuila</t>
  </si>
  <si>
    <t>Delegación SEDESOL en Colima</t>
  </si>
  <si>
    <t>Delegación SEDESOL en Chiapas</t>
  </si>
  <si>
    <t>Delegación SEDESOL en Chihuahua</t>
  </si>
  <si>
    <t>Delegación SEDESOL en el Distrito Federal</t>
  </si>
  <si>
    <t>Delegación SEDESOL en Durango</t>
  </si>
  <si>
    <t>Delegación SEDESOL en Guanajuato</t>
  </si>
  <si>
    <t>Delegación SEDESOL en Guerrero</t>
  </si>
  <si>
    <t>Delegación SEDESOL en Hidalgo</t>
  </si>
  <si>
    <t>Delegación SEDESOL en Jalisco</t>
  </si>
  <si>
    <t>Delegación SEDESOL en México</t>
  </si>
  <si>
    <t>Delegación SEDESOL en Michoacán</t>
  </si>
  <si>
    <t>Delegación SEDESOL en Morelos</t>
  </si>
  <si>
    <t>Delegación SEDESOL en Nayarit</t>
  </si>
  <si>
    <t>Delegación SEDESOL en Nuevo León</t>
  </si>
  <si>
    <t>Delegación SEDESOL en Oaxaca</t>
  </si>
  <si>
    <t>Delegación SEDESOL en Puebla</t>
  </si>
  <si>
    <t>Delegación SEDESOL en Querétaro</t>
  </si>
  <si>
    <t>Delegación SEDESOL en Quintana Roo</t>
  </si>
  <si>
    <t>Delegación SEDESOL en San Luis Potosí</t>
  </si>
  <si>
    <t>Delegación SEDESOL en Sinaloa</t>
  </si>
  <si>
    <t>Delegación SEDESOL en Sonora</t>
  </si>
  <si>
    <t>Delegación SEDESOL en Tabasco</t>
  </si>
  <si>
    <t>Delegación SEDESOL en Tamaulipas</t>
  </si>
  <si>
    <t>Delegación SEDESOL en Tlaxcala</t>
  </si>
  <si>
    <t>Delegación SEDESOL en Veracruz</t>
  </si>
  <si>
    <t>Delegación SEDESOL en Yucatán</t>
  </si>
  <si>
    <t>Delegación SEDESOL en Zacatecas</t>
  </si>
  <si>
    <t>Dirección General de Políticas Sociales</t>
  </si>
  <si>
    <t>Dirección General de Atención a Grupos Prioritarios</t>
  </si>
  <si>
    <t>Actividades orientadas a la evaluacion y al monitoreo de los programas sociales</t>
  </si>
  <si>
    <t>Programa Habitat</t>
  </si>
  <si>
    <t>Programa de Abasto Rural a cargo de Diconsa, S.A. de C.V. (DICONSA)</t>
  </si>
  <si>
    <t>VSS</t>
  </si>
  <si>
    <t>Programas del Fondo Nacional de Fomento a las Artesanías (FONART)</t>
  </si>
  <si>
    <t>Programa de Ahorro y Subsidio para la Vivienda Tu Casa</t>
  </si>
  <si>
    <t>VYF</t>
  </si>
  <si>
    <t>Fideicomiso Fondo Nacional de Habitaciones Populares</t>
  </si>
  <si>
    <t>Programa de Atención a Jornaleros Agrícolas</t>
  </si>
  <si>
    <t>Programa de Coinversión Social</t>
  </si>
  <si>
    <t>Programa de Vivienda Rural</t>
  </si>
  <si>
    <t>Programa de Apoyo Alimentario</t>
  </si>
  <si>
    <t>Programa de Apoyo a las Instancias de Mujeres en las Entidades Federativas, Para Implementar y Ejecutar Programas de Prevención de la Violencia Contra las Mujeres</t>
  </si>
  <si>
    <t>Rescate de espacios públicos</t>
  </si>
  <si>
    <t>Programa 70 y más</t>
  </si>
  <si>
    <t>Programa para el Desarrollo de Zonas Prioritarias</t>
  </si>
  <si>
    <t>Programa Prevención de Riesgos en los Asentamientos Humanos</t>
  </si>
  <si>
    <t>Turismo</t>
  </si>
  <si>
    <t>Desarrollo y mantenimiento de infraestructura para el fomento y promoción de la inversión en el sector turístico</t>
  </si>
  <si>
    <t>Ecoturismo y Turismo Rural</t>
  </si>
  <si>
    <t>Proyectos de infraestructura de turismo</t>
  </si>
  <si>
    <t>Centro de Estudios Superiores de Turismo</t>
  </si>
  <si>
    <t>Establecer y conducir la política de turismo</t>
  </si>
  <si>
    <t>Dirección General de Planeación Estratégica y Política Sectorial</t>
  </si>
  <si>
    <t>Apoyo a la competitividad de las empresas y prestadores de servicios turísticos</t>
  </si>
  <si>
    <t>Dirección General de Desarrollo de la Cultura Turística</t>
  </si>
  <si>
    <t>Ampliación de la cobertura, impacto y efecto preventivo de la fiscalización a la gestión pública</t>
  </si>
  <si>
    <t>Unidad de Operación Regional y Contraloría Social</t>
  </si>
  <si>
    <t>Resolución de asuntos relativos a conflictos y controversias por la posesión y usufructo de la tierra</t>
  </si>
  <si>
    <t>Resolución de juicios agrarios dotatorios de tierras y los recursos de revisión</t>
  </si>
  <si>
    <t>Dirección General de Prevención del Delito y Participación Ciudadana</t>
  </si>
  <si>
    <t>Fomento de la cultura de la participación ciudadana en la prevención del delito en el marco de la Equidad y Género (Cumplimiento a la LGAMVLV)</t>
  </si>
  <si>
    <t>Centro de Investigación en Geografía y Geomática, "Ing. Jorge L. Tamayo", A.C.</t>
  </si>
  <si>
    <t>Centro de Investigación en Matemáticas, A.C.</t>
  </si>
  <si>
    <t>Centro de Investigación en Materiales Avanzados, S.C.</t>
  </si>
  <si>
    <t>Centro de Investigación y Asistencia en Tecnología y Diseño del Estado de Jalisco, A.C.</t>
  </si>
  <si>
    <t>Centro de Investigación y Docencia Económicas, A.C.</t>
  </si>
  <si>
    <t>Centro de Investigaciones Biológicas del Noroeste, S.C.</t>
  </si>
  <si>
    <t>Centro de Investigación Científica de Yucatán, A.C.</t>
  </si>
  <si>
    <t>Centro de Investigaciones en Optica, A.C.</t>
  </si>
  <si>
    <t>Centro de Investigaciones y Estudios Superiores en Antropología Social</t>
  </si>
  <si>
    <t>El Colegio de la Frontera Norte, A.C.</t>
  </si>
  <si>
    <t>El Colegio de la Frontera Sur</t>
  </si>
  <si>
    <t>El Colegio de Michoacán, A.C.</t>
  </si>
  <si>
    <t>El Colegio de San Luis, A.C.</t>
  </si>
  <si>
    <t>Instituto de Ecología, A.C.</t>
  </si>
  <si>
    <t>Instituto de Investigaciones "Dr. José María Luis Mora"</t>
  </si>
  <si>
    <t>Instituto Nacional de Astrofísica, Optica y Electrónica</t>
  </si>
  <si>
    <t>Instituto Potosino de Investigación Científica y Tecnológica, A.C.</t>
  </si>
  <si>
    <t>Centro de Investigación Científica y de Educación Superior de Ensenada, B.C.</t>
  </si>
  <si>
    <t>Centro de Investigación en Alimentación y Desarrollo, A.C.</t>
  </si>
  <si>
    <t>CIATEC, A.C. "Centro de Innovación Aplicada en Tecnologías Competitivas"</t>
  </si>
  <si>
    <t>Centro de Investigación y Desarrollo Tecnológico en Electroquímica, S.C.</t>
  </si>
  <si>
    <t>Centro de Investigación en Química Aplicada</t>
  </si>
  <si>
    <t>CIATEQ, A.C. Centro de Tecnología Avanzada</t>
  </si>
  <si>
    <t>Centro de Ingeniería y Desarrollo Industrial</t>
  </si>
  <si>
    <t>Consejo Nacional de Ciencia y Tecnología</t>
  </si>
  <si>
    <t>Apoyos institucionales para actividades científicas, tecnológicas y de innovación.</t>
  </si>
  <si>
    <t>Fondo para el Desarrollo de Recursos Humanos</t>
  </si>
  <si>
    <t>Fortalecimiento a nivel sectorial de las capacidades científicas, tecnológicas y de innovación</t>
  </si>
  <si>
    <t>GYN</t>
  </si>
  <si>
    <t>Instituto de Seguridad y Servicios Sociales de los Trabajadores del Estado</t>
  </si>
  <si>
    <t>Control del Estado de Salud de la Embarazada</t>
  </si>
  <si>
    <t>Servicios de guardería</t>
  </si>
  <si>
    <t>Equidad de Género</t>
  </si>
  <si>
    <t>GYR</t>
  </si>
  <si>
    <t>Instituto Mexicano del Seguro Social</t>
  </si>
  <si>
    <t>Actividades de Apoyo Administrativo</t>
  </si>
  <si>
    <t>TOQ</t>
  </si>
  <si>
    <t>Apoyo al desarrollo sustentable de comunidades afectadas por la instalación de la infraestructura eléctrica</t>
  </si>
  <si>
    <t>Promoción de medidas para el ahorro y uso eficiente de la energía eléctrica</t>
  </si>
  <si>
    <t>Programas de adquisiciones</t>
  </si>
  <si>
    <t>Proyectos de infraestructura económica de electricidad (Pidiregas)</t>
  </si>
  <si>
    <t>TZZ</t>
  </si>
  <si>
    <t>Actividades destinadas a la operación y mantenimiento de la infraestructura básica en ecología</t>
  </si>
  <si>
    <t>Proyectos de infraestructura económica de hidrocarburos</t>
  </si>
  <si>
    <t>Otros programas de inversión</t>
  </si>
  <si>
    <t>H. Cámara de Diputados</t>
  </si>
  <si>
    <t>Actividades derivadas del trabajo legislativo</t>
  </si>
  <si>
    <t>Entregar a la Cámara de Diputados del H. Congreso de la Unión, el informe sobre la revisión de la Cuenta de la Hacienda Pública Federal</t>
  </si>
  <si>
    <t>Auditoría Superior de la Federación</t>
  </si>
  <si>
    <t>Otras Actividades</t>
  </si>
  <si>
    <t>Suprema Corte de Justicia de la Nación</t>
  </si>
  <si>
    <t>Consejo de la Judicatura Federal</t>
  </si>
  <si>
    <t>Sala Superior</t>
  </si>
  <si>
    <t>Capacitar y educar para el ejercicio democrático de la ciudadanía</t>
  </si>
  <si>
    <t>Dirección Ejecutiva de Capacitación Electoral y Educación Cívica</t>
  </si>
  <si>
    <t>Fiscalización de los Recursos de los Partidos Políticos</t>
  </si>
  <si>
    <t>Unidad de Fiscalización de los Recursos de los Partidos Políticos</t>
  </si>
  <si>
    <t>Segunda Visitaduría General</t>
  </si>
  <si>
    <t>Promover, divulgar, dar seguimiento, evaluar y monitorear la política nacional en materia de igualdad entre mujeres y hombres; y atender los asuntos de la mujer</t>
  </si>
  <si>
    <t>Censo Agropecuario</t>
  </si>
  <si>
    <t>Instituto Nacional de Estadística y Geografía</t>
  </si>
  <si>
    <t>Censo de Población y Vivienda</t>
  </si>
  <si>
    <t>Censos Económicos</t>
  </si>
  <si>
    <t>Producción y difusión de información estadística y geográfica de interés nacional</t>
  </si>
  <si>
    <t>Apoyo Económico a Viudas de Veteranos de la Revolución Mexicana</t>
  </si>
  <si>
    <t>Programa IMSS-Oportunidades</t>
  </si>
  <si>
    <t>Seguridad Social Cañeros</t>
  </si>
  <si>
    <t>Fondo de Desastres Naturales (FONDEN)</t>
  </si>
  <si>
    <t>Fondo de Prevención de Desastres Naturales (FOPREDEN)</t>
  </si>
  <si>
    <t>Fondo de Apoyo para el Desarrollo Rural Sustentable</t>
  </si>
  <si>
    <t>FAIS Aguascalientes</t>
  </si>
  <si>
    <t>FAIS Baja California</t>
  </si>
  <si>
    <t>FAIS Baja California Sur</t>
  </si>
  <si>
    <t>FAIS Campeche</t>
  </si>
  <si>
    <t>FAIS Coahuila</t>
  </si>
  <si>
    <t>FAIS Colima</t>
  </si>
  <si>
    <t>FAIS Chiapas</t>
  </si>
  <si>
    <t>FAIS Chihuahua</t>
  </si>
  <si>
    <t>FAIS Durango</t>
  </si>
  <si>
    <t>FAIS Guanajuato</t>
  </si>
  <si>
    <t>FAIS Guerrero</t>
  </si>
  <si>
    <t>FAIS Hidalgo</t>
  </si>
  <si>
    <t>FAIS Jalisco</t>
  </si>
  <si>
    <t>FAIS Estado de México</t>
  </si>
  <si>
    <t>FAIS Michoacán</t>
  </si>
  <si>
    <t>FAIS Morelos</t>
  </si>
  <si>
    <t>FAIS Nayarit</t>
  </si>
  <si>
    <t>FAIS Nuevo León</t>
  </si>
  <si>
    <t>FAIS Oaxaca</t>
  </si>
  <si>
    <t>FAIS Puebla</t>
  </si>
  <si>
    <t>FAIS Querétaro</t>
  </si>
  <si>
    <t>FAIS Quintana Roo</t>
  </si>
  <si>
    <t>FAIS San Luis Potosí</t>
  </si>
  <si>
    <t>FAIS Sinaloa</t>
  </si>
  <si>
    <t>FAIS Sonora</t>
  </si>
  <si>
    <t>FAIS Tabasco</t>
  </si>
  <si>
    <t>FAIS Tamaulipas</t>
  </si>
  <si>
    <t>FAIS Tlaxcala</t>
  </si>
  <si>
    <t>FAIS Veracruz</t>
  </si>
  <si>
    <t>FAIS Yucatán</t>
  </si>
  <si>
    <t>FAIS Zacatecas</t>
  </si>
  <si>
    <t>FORTAMUN Aguascalientes</t>
  </si>
  <si>
    <t>FORTAMUN Baja California</t>
  </si>
  <si>
    <t>FORTAMUN Baja California Sur</t>
  </si>
  <si>
    <t>FORTAMUN Campeche</t>
  </si>
  <si>
    <t>FORTAMUN Coahuila</t>
  </si>
  <si>
    <t>FORTAMUN Colima</t>
  </si>
  <si>
    <t>FORTAMUN Chiapas</t>
  </si>
  <si>
    <t>FORTAMUN Chihuahua</t>
  </si>
  <si>
    <t>FORTAMUN Distrito Federal</t>
  </si>
  <si>
    <t>FORTAMUN Durango</t>
  </si>
  <si>
    <t>FORTAMUN Guanajuato</t>
  </si>
  <si>
    <t>FORTAMUN Guerrero</t>
  </si>
  <si>
    <t>FORTAMUN Hidalgo</t>
  </si>
  <si>
    <t>FORTAMUN Jalisco</t>
  </si>
  <si>
    <t>FORTAMUN Estado de México</t>
  </si>
  <si>
    <t>FORTAMUN Michoacán</t>
  </si>
  <si>
    <t>FORTAMUN Morelos</t>
  </si>
  <si>
    <t>FORTAMUN Nayarit</t>
  </si>
  <si>
    <t>FORTAMUN Nuevo León</t>
  </si>
  <si>
    <t>FORTAMUN Oaxaca</t>
  </si>
  <si>
    <t>FORTAMUN Puebla</t>
  </si>
  <si>
    <t>FORTAMUN Querétaro</t>
  </si>
  <si>
    <t>FORTAMUN Quintana Roo</t>
  </si>
  <si>
    <t>FORTAMUN San Luis Potosí</t>
  </si>
  <si>
    <t>FORTAMUN Sinaloa</t>
  </si>
  <si>
    <t>FORTAMUN Sonora</t>
  </si>
  <si>
    <t>FORTAMUN Tabasco</t>
  </si>
  <si>
    <t>FORTAMUN Tamaulipas</t>
  </si>
  <si>
    <t>FORTAMUN Tlaxcala</t>
  </si>
  <si>
    <t>FORTAMUN Veracruz</t>
  </si>
  <si>
    <t>FORTAMUN Yucatán</t>
  </si>
  <si>
    <t>FORTAMUN Zacatecas</t>
  </si>
  <si>
    <t>FAM Aguascalientes</t>
  </si>
  <si>
    <t>FAM Baja California</t>
  </si>
  <si>
    <t>FAM Baja California Sur</t>
  </si>
  <si>
    <t>FAM Campeche</t>
  </si>
  <si>
    <t>FAM Coahuila</t>
  </si>
  <si>
    <t>FAM Colima</t>
  </si>
  <si>
    <t>FAM Chiapas</t>
  </si>
  <si>
    <t>FAM Chihuahua</t>
  </si>
  <si>
    <t>FAM Distrito Federal</t>
  </si>
  <si>
    <t>FAM Durango</t>
  </si>
  <si>
    <t>FAM Guanajuato</t>
  </si>
  <si>
    <t>FAM Guerrero</t>
  </si>
  <si>
    <t>FAM Hidalgo</t>
  </si>
  <si>
    <t>FAM Jalisco</t>
  </si>
  <si>
    <t>FAM Estado de México</t>
  </si>
  <si>
    <t>FAM Michoacán</t>
  </si>
  <si>
    <t>FAM Morelos</t>
  </si>
  <si>
    <t>FAM Nayarit</t>
  </si>
  <si>
    <t>FAM Nuevo León</t>
  </si>
  <si>
    <t>FAM Oaxaca</t>
  </si>
  <si>
    <t>FAM Puebla</t>
  </si>
  <si>
    <t>FAM Querétaro</t>
  </si>
  <si>
    <t>FAM Quintana Roo</t>
  </si>
  <si>
    <t>FAM San Luis Potosí</t>
  </si>
  <si>
    <t>FAM Sinaloa</t>
  </si>
  <si>
    <t>FAM Sonora</t>
  </si>
  <si>
    <t>FAM Tabasco</t>
  </si>
  <si>
    <t>FAM Tamaulipas</t>
  </si>
  <si>
    <t>FAM Tlaxcala</t>
  </si>
  <si>
    <t>FAM Veracruz</t>
  </si>
  <si>
    <t>FAM Yucatán</t>
  </si>
  <si>
    <t>FAM Zacatecas</t>
  </si>
  <si>
    <t>No. Ramo</t>
  </si>
  <si>
    <t>Ramo</t>
  </si>
  <si>
    <t>IPP</t>
  </si>
  <si>
    <t>M</t>
  </si>
  <si>
    <t>O</t>
  </si>
  <si>
    <t>P</t>
  </si>
  <si>
    <t>R</t>
  </si>
  <si>
    <t>E</t>
  </si>
  <si>
    <t>K</t>
  </si>
  <si>
    <t>N</t>
  </si>
  <si>
    <t>U</t>
  </si>
  <si>
    <t>Hacienda y Crédito Público</t>
  </si>
  <si>
    <t>G</t>
  </si>
  <si>
    <t>S</t>
  </si>
  <si>
    <t>A</t>
  </si>
  <si>
    <t>Agricultura, Ganadería, Desarrollo Rural, Pesca y Alimentación</t>
  </si>
  <si>
    <t>L</t>
  </si>
  <si>
    <t>Economía</t>
  </si>
  <si>
    <t>Educación Pública</t>
  </si>
  <si>
    <t>Trabajo y Previsión Social</t>
  </si>
  <si>
    <t>Reforma Agraria</t>
  </si>
  <si>
    <t>Medio Ambiente y Recursos Naturales</t>
  </si>
  <si>
    <t>I</t>
  </si>
  <si>
    <t>Tribunales Agrarios</t>
  </si>
  <si>
    <t>J</t>
  </si>
  <si>
    <t>Información Nacional Estadística y Geográfica</t>
  </si>
  <si>
    <t>Aportaciones a Seguridad Social</t>
  </si>
  <si>
    <t>Provisiones Salariales y Económicas</t>
  </si>
  <si>
    <t>Aportaciones Federales para Entidades Federativas y Municipios</t>
  </si>
  <si>
    <t>Total general</t>
  </si>
  <si>
    <t>Valores</t>
  </si>
  <si>
    <t>Reducción</t>
  </si>
  <si>
    <t>Ampliación</t>
  </si>
  <si>
    <t>PEF 2011</t>
  </si>
  <si>
    <t xml:space="preserve">Reducción </t>
  </si>
  <si>
    <t xml:space="preserve">Ampliación </t>
  </si>
  <si>
    <t xml:space="preserve">PEF 2011 </t>
  </si>
  <si>
    <t xml:space="preserve">PEF 2010 </t>
  </si>
  <si>
    <t xml:space="preserve">PPEF 2011 </t>
  </si>
  <si>
    <t>Anexo 8. Programa Especial Concurrente para el Desarrollo Rural Sustentable (millones de pesos)</t>
  </si>
  <si>
    <t>Vertiente</t>
  </si>
  <si>
    <t>Descripción</t>
  </si>
  <si>
    <t>% 2010</t>
  </si>
  <si>
    <t>% 2011</t>
  </si>
  <si>
    <t>TOTAL</t>
  </si>
  <si>
    <t>1. Programa de financiamiento y aseguramiento al medio rural</t>
  </si>
  <si>
    <t>Financiera</t>
  </si>
  <si>
    <t>Ramo 06 Hacienda y Crédito Público</t>
  </si>
  <si>
    <t>AGROASEMEX</t>
  </si>
  <si>
    <t>FINANCIERA RURAL</t>
  </si>
  <si>
    <t xml:space="preserve">BANSEFI </t>
  </si>
  <si>
    <t>Fondo de Capitalización e Inversión del Sector Rural (FOCIR)</t>
  </si>
  <si>
    <t>FIRA (Fideicomisos Instituidos en Relación con la Agricultura)</t>
  </si>
  <si>
    <t>2. Programa de Apoyo a la Inversión en Equipamiento e Infraestructura</t>
  </si>
  <si>
    <t>Ramo 08 Agricultura, Ganadería, Desarrollo Rural, Pesca y Alimentación</t>
  </si>
  <si>
    <t>Activos productivos tradicional</t>
  </si>
  <si>
    <r>
      <t>Agrícola</t>
    </r>
    <r>
      <rPr>
        <sz val="9"/>
        <color rgb="FFFF0000"/>
        <rFont val="Arial Narrow"/>
        <family val="2"/>
      </rPr>
      <t/>
    </r>
  </si>
  <si>
    <t>Modernización Sustentable de la Agricultura Tradicional</t>
  </si>
  <si>
    <t>Ganadero</t>
  </si>
  <si>
    <t>Pesca</t>
  </si>
  <si>
    <t>Desarrollo Rural Referente al PESA</t>
  </si>
  <si>
    <t>Programas Estratégicos</t>
  </si>
  <si>
    <t>Desarrollo de Zonas Áridas</t>
  </si>
  <si>
    <t>Agricultura Protegida</t>
  </si>
  <si>
    <t>Recursos Genéticos</t>
  </si>
  <si>
    <t>Agrícola</t>
  </si>
  <si>
    <t>Pecuario</t>
  </si>
  <si>
    <t>Acuícola</t>
  </si>
  <si>
    <t>Trópico Húmedo</t>
  </si>
  <si>
    <t>Modernización de la Maquinaria Agropecuaria</t>
  </si>
  <si>
    <t>Infraestructura Pesquera y Acuícola</t>
  </si>
  <si>
    <t>Modernización de la Flota Pesquera y Racionalización del Esfuerzo Pesquero</t>
  </si>
  <si>
    <t>Electrificación para Parques Acuícolas</t>
  </si>
  <si>
    <t>Manejo Postproducción</t>
  </si>
  <si>
    <t>Ramo 10 Economía</t>
  </si>
  <si>
    <t>Programa Nacional de Financiamiento al Microempresario (PRONAFIM)</t>
  </si>
  <si>
    <t>Ramo 15 Reforma Agraria</t>
  </si>
  <si>
    <t>Ramo 21 Turismo</t>
  </si>
  <si>
    <t>3. Programa de Apoyo al Ingreso Agropecuario PROCAMPO para Vivir Mejor</t>
  </si>
  <si>
    <t>PROCAMPO para Vivir Mejor</t>
  </si>
  <si>
    <r>
      <t>4.</t>
    </r>
    <r>
      <rPr>
        <b/>
        <strike/>
        <sz val="10"/>
        <rFont val="Arial"/>
        <family val="2"/>
      </rPr>
      <t xml:space="preserve"> </t>
    </r>
    <r>
      <rPr>
        <b/>
        <sz val="10"/>
        <rFont val="Arial"/>
        <family val="2"/>
      </rPr>
      <t>Programa de Prevención y Manejo de Riesgos</t>
    </r>
  </si>
  <si>
    <t>Garantías</t>
  </si>
  <si>
    <t>Apoyo al Ingreso Obejtivo  y a la Comercialización</t>
  </si>
  <si>
    <t>Atención a Desastres Naturales en el Sector Agropecuario y Pesquero</t>
  </si>
  <si>
    <t>Ramo 20 Desarrollo Social</t>
  </si>
  <si>
    <t>Fondo Nacional de Fomento a las Artesanías (FONART)</t>
  </si>
  <si>
    <t>5. Programa de Desarrollo de Capacidades, Innovación Tecnológica y Extensionismo</t>
  </si>
  <si>
    <t>Desarrollo de Capacidades y Extensionismo Rural</t>
  </si>
  <si>
    <t>PESA</t>
  </si>
  <si>
    <t>PROMAF</t>
  </si>
  <si>
    <t>Innovación, transferencia de tecnología</t>
  </si>
  <si>
    <t>Apoyos para la integración de proyectos</t>
  </si>
  <si>
    <t>Ramo 15. Reforma Agraria</t>
  </si>
  <si>
    <t>Apoyo a Organizaciones Sociales</t>
  </si>
  <si>
    <t>Ramo 20. Desarrollo Social</t>
  </si>
  <si>
    <t>Coinversión Social Ramo 20</t>
  </si>
  <si>
    <t>Ramo 40. INEG</t>
  </si>
  <si>
    <t>Censo General de Población y Vivienda 2010</t>
  </si>
  <si>
    <t>6. Programa de Desarrollo de mercados Agropecuarios y Pesqueros e Información</t>
  </si>
  <si>
    <t>Sistema Nacional de Información para el Desarrollo Rural Sustentable (SNIDRUS)</t>
  </si>
  <si>
    <t>Promoción de exportaciones y ferias</t>
  </si>
  <si>
    <t>Desarrollo de Mercados</t>
  </si>
  <si>
    <t>Planeación y prospectiva</t>
  </si>
  <si>
    <t>7. Programa de Sustentabilidad de los Recursos Naturales</t>
  </si>
  <si>
    <t>Medio Ambiente</t>
  </si>
  <si>
    <t>Conservación y uso sustentable de suelo y agua</t>
  </si>
  <si>
    <t>Pequeñas Obras Hidráulicas</t>
  </si>
  <si>
    <t>Programa Ganadero (PROGAN)</t>
  </si>
  <si>
    <t>Bioenergía y fuentes alternativas</t>
  </si>
  <si>
    <t>Reconversión productiva</t>
  </si>
  <si>
    <t>Ordenamiento Pesquero y Acuícola</t>
  </si>
  <si>
    <t>Disminución del Esfuerzo Pesquero</t>
  </si>
  <si>
    <t>Ramo 16 Medio Ambiente y Recursos Naturales</t>
  </si>
  <si>
    <t>Protección al medio ambiente en el medio rural</t>
  </si>
  <si>
    <t>Áreas Naturales Protegidas</t>
  </si>
  <si>
    <t>PROFEPA</t>
  </si>
  <si>
    <t>Vida Silvestre</t>
  </si>
  <si>
    <t>Desarrollo Regional Sustentable</t>
  </si>
  <si>
    <t>PET (Incendios Forestales)</t>
  </si>
  <si>
    <t>Otros de Medio Ambiente</t>
  </si>
  <si>
    <t>8. Programas de Educación e Investigación</t>
  </si>
  <si>
    <t>Educativa</t>
  </si>
  <si>
    <t>CSAEGRO</t>
  </si>
  <si>
    <t>Instituto Nacional de Pesca (INIPESCA)</t>
  </si>
  <si>
    <t>Ramo 11 Educación Pública</t>
  </si>
  <si>
    <t>Educación Agropecuaria</t>
  </si>
  <si>
    <t>Universidad Antonio Narro</t>
  </si>
  <si>
    <t>Oportunidades</t>
  </si>
  <si>
    <t>Desarrollo de Capacidades</t>
  </si>
  <si>
    <r>
      <t>9</t>
    </r>
    <r>
      <rPr>
        <b/>
        <strike/>
        <sz val="10"/>
        <rFont val="Arial"/>
        <family val="2"/>
      </rPr>
      <t xml:space="preserve">. </t>
    </r>
    <r>
      <rPr>
        <b/>
        <sz val="10"/>
        <rFont val="Arial"/>
        <family val="2"/>
      </rPr>
      <t>Programa de mejoramiento de condiciones laborales en el medio rural</t>
    </r>
  </si>
  <si>
    <t>Laboral</t>
  </si>
  <si>
    <t>Ramo 04 Gobernación</t>
  </si>
  <si>
    <t>Fondo para Pago de Adeudos a Braceros Rurales del 42 al 64</t>
  </si>
  <si>
    <t>Ramo 09 Comunicaciones y Transportes</t>
  </si>
  <si>
    <t>PET</t>
  </si>
  <si>
    <t xml:space="preserve">Ramo 14 Trabajo y Previsión Social </t>
  </si>
  <si>
    <t>Trabajadores Agrícolas Temporales</t>
  </si>
  <si>
    <t>10. Programa de atención a la pobreza en el medio rural</t>
  </si>
  <si>
    <t>Social</t>
  </si>
  <si>
    <t>Ramo 05 Relaciones Exteriores</t>
  </si>
  <si>
    <t>Atención a migrantes</t>
  </si>
  <si>
    <t>Atención a Indígenas (CDI)</t>
  </si>
  <si>
    <t>Atención a la población</t>
  </si>
  <si>
    <t>Jornaleros Agrícolas</t>
  </si>
  <si>
    <t>Vivienda Rural (Incluye "tu casa" -rural-)</t>
  </si>
  <si>
    <t>Programa Alimentario</t>
  </si>
  <si>
    <t xml:space="preserve">Programa de Abasto Rural a cargo de Diconsa S.A. de C.V </t>
  </si>
  <si>
    <t>11. Programa de infraestructura en el medio rural</t>
  </si>
  <si>
    <t>Infraestructura</t>
  </si>
  <si>
    <t>Caminos Rurales</t>
  </si>
  <si>
    <t>Infraestructura Hidroagrícola</t>
  </si>
  <si>
    <t>IMTA</t>
  </si>
  <si>
    <t>Programas Hidráulicos</t>
  </si>
  <si>
    <t>Ramo 23 Provisiones Salariales y Económicas</t>
  </si>
  <si>
    <t>Fondo de apoyo para el desarrollo rural sustentable</t>
  </si>
  <si>
    <t>Ramo 33 Aportaciones Federales para Entidades Federativas y Municipios</t>
  </si>
  <si>
    <t>12.Programa de atención a las condiciones de salud en el medio rural</t>
  </si>
  <si>
    <t>Ramo 12 Salud</t>
  </si>
  <si>
    <t>Salud en población rural</t>
  </si>
  <si>
    <t xml:space="preserve">       </t>
  </si>
  <si>
    <t>Sistema de Protección Social en Salud (SPSS)</t>
  </si>
  <si>
    <t>Ramo 19 Aportaciones a Seguridad Social</t>
  </si>
  <si>
    <t>IMSS-Oportunidades</t>
  </si>
  <si>
    <t>13. Programa para la atención de aspectos agrarios</t>
  </si>
  <si>
    <t>Agraria</t>
  </si>
  <si>
    <t>Atención de aspectos agrarios</t>
  </si>
  <si>
    <t>Conflictos Agrarios y Obligaciones Jurídicas</t>
  </si>
  <si>
    <t>Fondo de Apoyo para los Núcleos Agrarios sin Regularizar (FANAR)</t>
  </si>
  <si>
    <t>Archivo General Agrario</t>
  </si>
  <si>
    <t>14. Gasto administrativo</t>
  </si>
  <si>
    <t>Administrativa</t>
  </si>
  <si>
    <t>Dependencia</t>
  </si>
  <si>
    <t>CONAZA</t>
  </si>
  <si>
    <t>FEESA</t>
  </si>
  <si>
    <t>FIRCO</t>
  </si>
  <si>
    <t>INCA RURAL</t>
  </si>
  <si>
    <t>SENASICA</t>
  </si>
  <si>
    <t>SIAP</t>
  </si>
  <si>
    <t>SNICS</t>
  </si>
  <si>
    <t>ASERCA</t>
  </si>
  <si>
    <t xml:space="preserve">CONAPESCA  </t>
  </si>
  <si>
    <r>
      <t>Comité Nal.</t>
    </r>
    <r>
      <rPr>
        <strike/>
        <sz val="10"/>
        <rFont val="Arial"/>
        <family val="2"/>
      </rPr>
      <t xml:space="preserve"> </t>
    </r>
    <r>
      <rPr>
        <sz val="10"/>
        <rFont val="Arial"/>
        <family val="2"/>
      </rPr>
      <t>para el Desarrollo Sustentable de la Caña de Azúcar</t>
    </r>
  </si>
  <si>
    <t>Ramo 31 Tribunales Agrarios</t>
  </si>
  <si>
    <t>Las sumas parciales pueden no coincidir con los subtotales debido a que estos incluyen ampliaciones.</t>
  </si>
  <si>
    <t>Atención a la salud reproductiva</t>
  </si>
  <si>
    <t>%</t>
  </si>
  <si>
    <t xml:space="preserve">PPEF 2010 </t>
  </si>
  <si>
    <t xml:space="preserve">Ampliación Neta DIP </t>
  </si>
  <si>
    <t xml:space="preserve">Recorte SHCP </t>
  </si>
  <si>
    <t>TABLA DINAMICA</t>
  </si>
  <si>
    <t>% PEC</t>
  </si>
  <si>
    <t>F010</t>
  </si>
  <si>
    <t>F017</t>
  </si>
  <si>
    <t>S230</t>
  </si>
  <si>
    <t>K026</t>
  </si>
  <si>
    <t>S016</t>
  </si>
  <si>
    <t>S017</t>
  </si>
  <si>
    <t>S021</t>
  </si>
  <si>
    <t>S089</t>
  </si>
  <si>
    <t>S088</t>
  </si>
  <si>
    <t>I003</t>
  </si>
  <si>
    <t>S231</t>
  </si>
  <si>
    <t>S232</t>
  </si>
  <si>
    <t>Varios</t>
  </si>
  <si>
    <t>S203</t>
  </si>
  <si>
    <t>S057</t>
  </si>
  <si>
    <t>S233</t>
  </si>
  <si>
    <t>F002</t>
  </si>
  <si>
    <t>S070</t>
  </si>
  <si>
    <t>E002-E003</t>
  </si>
  <si>
    <t>E001</t>
  </si>
  <si>
    <t>U017</t>
  </si>
  <si>
    <t>E008-S232</t>
  </si>
  <si>
    <t>E009</t>
  </si>
  <si>
    <t>E010</t>
  </si>
  <si>
    <t>S234</t>
  </si>
  <si>
    <t>G005-K138-M001</t>
  </si>
  <si>
    <t>G003-U020</t>
  </si>
  <si>
    <t>S046</t>
  </si>
  <si>
    <t>S071</t>
  </si>
  <si>
    <t>413-B00</t>
  </si>
  <si>
    <t>Delegaciones</t>
  </si>
  <si>
    <t>Instituto Nacional de Investigaciones Forestales, Agrícolas y Pecuarias (INIFAP)</t>
  </si>
  <si>
    <t>E008</t>
  </si>
  <si>
    <t>S126</t>
  </si>
  <si>
    <t>S072</t>
  </si>
  <si>
    <t>S111-G001-K009-S022</t>
  </si>
  <si>
    <t>313-L6W</t>
  </si>
  <si>
    <t>R002</t>
  </si>
  <si>
    <t>S043</t>
  </si>
  <si>
    <t>E002</t>
  </si>
  <si>
    <t>S176</t>
  </si>
  <si>
    <t>S216</t>
  </si>
  <si>
    <t>S065</t>
  </si>
  <si>
    <t>S058-S117</t>
  </si>
  <si>
    <t>S118</t>
  </si>
  <si>
    <t>S053</t>
  </si>
  <si>
    <t>K031-K037-K039</t>
  </si>
  <si>
    <t>Centros SCT</t>
  </si>
  <si>
    <t>U023</t>
  </si>
  <si>
    <t>Fondo de Aportaciones Múltiples (Asistencia Pública)</t>
  </si>
  <si>
    <t>Fondo de Aportaciones para el Fortalecimiento de los Municipios y Demarcaciones Territoriales del Distrito Federal, FORTAMUN</t>
  </si>
  <si>
    <t>Fondo para Infraestructura Social Municipal, FISM</t>
  </si>
  <si>
    <t>U005</t>
  </si>
  <si>
    <t>S038</t>
  </si>
  <si>
    <t>L001-E002</t>
  </si>
  <si>
    <t>110-211</t>
  </si>
  <si>
    <t>E005</t>
  </si>
  <si>
    <t>G001-E004-P002-P003</t>
  </si>
  <si>
    <t>110-B00</t>
  </si>
  <si>
    <t>M001-O001-P001</t>
  </si>
  <si>
    <t>M001-P001</t>
  </si>
  <si>
    <t>M001-O001-O099-P001</t>
  </si>
  <si>
    <t>K027-M001-O099-P001-R003</t>
  </si>
  <si>
    <t>E001-G001-M001-O001-O099-R003-U013</t>
  </si>
  <si>
    <t>E003-G001-M001-O001-O099-P001</t>
  </si>
  <si>
    <t>Sector Central</t>
  </si>
  <si>
    <t>E001-E003-E007-F001-F002-M001-O001</t>
  </si>
  <si>
    <t>E003-E004-M001-O001-O099-P001</t>
  </si>
  <si>
    <t>E001-E002-M001-O001</t>
  </si>
  <si>
    <t>100-200-300</t>
  </si>
  <si>
    <t>Programa Integral de Formación, Capacitación y Consultoría para Productores e Intermediarios Financieros</t>
  </si>
  <si>
    <t>Programa para Constitución y Operación de Unidades de Promoción de Crédito</t>
  </si>
  <si>
    <t>Programa para Garantías Líquidas</t>
  </si>
  <si>
    <t>Programa para Reducción de Costos de Acceso al Crédito</t>
  </si>
  <si>
    <t>Desarrollo Rural Comunitario</t>
  </si>
  <si>
    <t>Capital de Riesgo</t>
  </si>
  <si>
    <t>Servicios de Cobertura</t>
  </si>
  <si>
    <t>Agrícola Tradicional</t>
  </si>
  <si>
    <t xml:space="preserve">Competitividad de Ramas no Estratégicas </t>
  </si>
  <si>
    <t xml:space="preserve">Cultivos y Plantaciones Industriales </t>
  </si>
  <si>
    <t xml:space="preserve">Cebada </t>
  </si>
  <si>
    <t xml:space="preserve">Henequén </t>
  </si>
  <si>
    <t xml:space="preserve">Hule </t>
  </si>
  <si>
    <t xml:space="preserve">Tabaco </t>
  </si>
  <si>
    <t xml:space="preserve">Vainilla </t>
  </si>
  <si>
    <t>Cacao</t>
  </si>
  <si>
    <t xml:space="preserve">Frutas Templadas </t>
  </si>
  <si>
    <t xml:space="preserve">Aguacate </t>
  </si>
  <si>
    <t xml:space="preserve">Durazno </t>
  </si>
  <si>
    <t xml:space="preserve">Fresa </t>
  </si>
  <si>
    <t xml:space="preserve">Manzana </t>
  </si>
  <si>
    <t xml:space="preserve">Otros </t>
  </si>
  <si>
    <t xml:space="preserve">Frutas Tropicales </t>
  </si>
  <si>
    <t xml:space="preserve">Cítricos </t>
  </si>
  <si>
    <t xml:space="preserve">Coco </t>
  </si>
  <si>
    <t xml:space="preserve">Guayaba </t>
  </si>
  <si>
    <t xml:space="preserve">Mango </t>
  </si>
  <si>
    <t xml:space="preserve">Melón </t>
  </si>
  <si>
    <t xml:space="preserve">Papaya </t>
  </si>
  <si>
    <t xml:space="preserve">Piña </t>
  </si>
  <si>
    <t xml:space="preserve">Plátano </t>
  </si>
  <si>
    <t xml:space="preserve">Oleaginosas </t>
  </si>
  <si>
    <t xml:space="preserve">Cártamo </t>
  </si>
  <si>
    <t xml:space="preserve">Nuez </t>
  </si>
  <si>
    <t xml:space="preserve">Palma de Aceite </t>
  </si>
  <si>
    <t xml:space="preserve">Soya </t>
  </si>
  <si>
    <t xml:space="preserve">Normal </t>
  </si>
  <si>
    <t xml:space="preserve">Ornamentales </t>
  </si>
  <si>
    <t xml:space="preserve">Productos de Semidesierto </t>
  </si>
  <si>
    <t xml:space="preserve">Agaves </t>
  </si>
  <si>
    <t xml:space="preserve">  Tequilana</t>
  </si>
  <si>
    <t xml:space="preserve">  Mezcalero</t>
  </si>
  <si>
    <t xml:space="preserve">Nopal y Maguey </t>
  </si>
  <si>
    <t xml:space="preserve">Competitividad ramas estratégicas agrícolas </t>
  </si>
  <si>
    <t xml:space="preserve">Arroz </t>
  </si>
  <si>
    <t>Café (Renovación…)</t>
  </si>
  <si>
    <t xml:space="preserve">Caña de Azúcar </t>
  </si>
  <si>
    <t xml:space="preserve">Frijol </t>
  </si>
  <si>
    <t xml:space="preserve">Maíz </t>
  </si>
  <si>
    <t xml:space="preserve">Sorgo </t>
  </si>
  <si>
    <t xml:space="preserve">Trigo </t>
  </si>
  <si>
    <t>Ganadero Tradicional</t>
  </si>
  <si>
    <t>Apicultura</t>
  </si>
  <si>
    <t>Carne de Ovinos y Caprinos</t>
  </si>
  <si>
    <t xml:space="preserve">Competitividad ramas estratégicas pecuarias </t>
  </si>
  <si>
    <t>Huevo</t>
  </si>
  <si>
    <t>Leche</t>
  </si>
  <si>
    <t>Cárnicos</t>
  </si>
  <si>
    <t>Aves</t>
  </si>
  <si>
    <t>Bovinos</t>
  </si>
  <si>
    <t>Porcinos</t>
  </si>
  <si>
    <t>Pesca Tradicional</t>
  </si>
  <si>
    <t>Acuacultura y Otros</t>
  </si>
  <si>
    <t>Competitividad de ramas estratégicas</t>
  </si>
  <si>
    <t>Pescado</t>
  </si>
  <si>
    <t>Desarrollo Rural</t>
  </si>
  <si>
    <t>Acuacultura, Sustitución de Motores y Otros</t>
  </si>
  <si>
    <t>Recría Pecuaria</t>
  </si>
  <si>
    <t xml:space="preserve">Semen y Embriones normales y sexados </t>
  </si>
  <si>
    <t>Modernización Industria Cañera</t>
  </si>
  <si>
    <t xml:space="preserve">  Ingenio Emiliano Zapata </t>
  </si>
  <si>
    <t xml:space="preserve">  Independencia y Concepción</t>
  </si>
  <si>
    <t xml:space="preserve">  Otros</t>
  </si>
  <si>
    <t>FIMAGO (esquema de activos productivos)</t>
  </si>
  <si>
    <t>Normal</t>
  </si>
  <si>
    <t xml:space="preserve">PROVAR </t>
  </si>
  <si>
    <t>Café</t>
  </si>
  <si>
    <t>Infraestructura de Rastros TIF</t>
  </si>
  <si>
    <t>K024-G001-M001-P001-R003-S232-U002</t>
  </si>
  <si>
    <t>Diesel Agropecuario</t>
  </si>
  <si>
    <t>Programa de Atención a Contingencias Climatológicas</t>
  </si>
  <si>
    <t>Programa de Inducción y Desarrollo del Financiamiento al Medio Rural</t>
  </si>
  <si>
    <t>Programa de Atención a Problemas estructurales</t>
  </si>
  <si>
    <t>Apoyo a la adquisición de fertilizantes</t>
  </si>
  <si>
    <t>Fondo para la Administración de Riesgos de Precios Agropecuarios</t>
  </si>
  <si>
    <t>Fomento Productivo del Café</t>
  </si>
  <si>
    <t>Diesel Marino</t>
  </si>
  <si>
    <t>Gasolina Ribereña</t>
  </si>
  <si>
    <t>Fondo para desarrollo pesquero (reconversión Golfo de México, Pacífico, SITPULPO, Camarón…)</t>
  </si>
  <si>
    <t>Fondo de Garantías de Apoyo a Productores de menos de 5 hectáreas</t>
  </si>
  <si>
    <t xml:space="preserve">    Normal</t>
  </si>
  <si>
    <t xml:space="preserve">    Sorgo </t>
  </si>
  <si>
    <t xml:space="preserve">    Arroz </t>
  </si>
  <si>
    <t xml:space="preserve">   Caña de Azúcar </t>
  </si>
  <si>
    <t>S214</t>
  </si>
  <si>
    <t>Fondo PYME</t>
  </si>
  <si>
    <t>S020</t>
  </si>
  <si>
    <t>Pymes Rurales</t>
  </si>
  <si>
    <t>Transporte Rural</t>
  </si>
  <si>
    <t>Incubadoras Rurales</t>
  </si>
  <si>
    <t xml:space="preserve">   Normal</t>
  </si>
  <si>
    <t xml:space="preserve">   Frijol </t>
  </si>
  <si>
    <t xml:space="preserve">   Café </t>
  </si>
  <si>
    <t xml:space="preserve">   Porcicultores</t>
  </si>
  <si>
    <t>Caña de Azúcar</t>
  </si>
  <si>
    <t>Agricultura de Autoconsumo, Apoyo a Pequeños Productores de 1 a 3 Ha.</t>
  </si>
  <si>
    <t>Apoyo al Ingreso Objetivo</t>
  </si>
  <si>
    <t>Ordenamiento de mercado de granos y oleaginosas</t>
  </si>
  <si>
    <t xml:space="preserve">     Acceso a Granos Forrajeros Nacionales</t>
  </si>
  <si>
    <t xml:space="preserve">     Exportación</t>
  </si>
  <si>
    <t xml:space="preserve">     Esquema de Comercialización Específico</t>
  </si>
  <si>
    <t>Cobertura de precios y especies elegibles</t>
  </si>
  <si>
    <t xml:space="preserve">Comercialización </t>
  </si>
  <si>
    <t>Forestería por contrato</t>
  </si>
  <si>
    <t xml:space="preserve">Ganadería por contrato </t>
  </si>
  <si>
    <t>Ingreso Objetivo</t>
  </si>
  <si>
    <t>Sanidades e Inocuidad</t>
  </si>
  <si>
    <t>Centralizado</t>
  </si>
  <si>
    <t>Coejercicio</t>
  </si>
  <si>
    <t>Frijol</t>
  </si>
  <si>
    <t>Apoyo a organizaciones sociales</t>
  </si>
  <si>
    <t>Sistemas Producto</t>
  </si>
  <si>
    <t xml:space="preserve">Coejercicio </t>
  </si>
  <si>
    <t>Miel</t>
  </si>
  <si>
    <t xml:space="preserve">Ganadería </t>
  </si>
  <si>
    <t>Fondo para Investigación e Innovación Tecnológica</t>
  </si>
  <si>
    <t>INECOL</t>
  </si>
  <si>
    <t>Universidad Tecnológica del Mar</t>
  </si>
  <si>
    <t xml:space="preserve">   Acuícola y Pesquero</t>
  </si>
  <si>
    <t xml:space="preserve">     Agricultura por contrato (Compensación de  Bases)</t>
  </si>
  <si>
    <t xml:space="preserve">Apoyo a Leche </t>
  </si>
  <si>
    <t>SINIIGA</t>
  </si>
  <si>
    <t xml:space="preserve">Aretes productores sin PROGAN </t>
  </si>
  <si>
    <t>Ganadería</t>
  </si>
  <si>
    <t xml:space="preserve">Recursos biogenéticos y biodiversidad </t>
  </si>
  <si>
    <t xml:space="preserve">Centro de Estudios Genéticos </t>
  </si>
  <si>
    <t xml:space="preserve">Redes </t>
  </si>
  <si>
    <t>Transferencia a la Universidad Hermanos Escobar</t>
  </si>
  <si>
    <t>Otros proyectos de infraestructura social 2</t>
  </si>
  <si>
    <t>Mantenimiento de infraestructura 1</t>
  </si>
  <si>
    <t>Actividades de Apoyo a la Función Pública y Buen Gobierno</t>
  </si>
  <si>
    <t>Programa Promoción de Convenios en Materia de Justicia (PCMJ)</t>
  </si>
  <si>
    <t>Proyectos para la Atención a Indígenas Desplazados (indígena urbanos y migrantes desplazados)</t>
  </si>
  <si>
    <t>F019</t>
  </si>
  <si>
    <t>F031</t>
  </si>
  <si>
    <t>F032</t>
  </si>
  <si>
    <t>K014</t>
  </si>
  <si>
    <t>K027</t>
  </si>
  <si>
    <t>K028</t>
  </si>
  <si>
    <t>M001</t>
  </si>
  <si>
    <t>O001</t>
  </si>
  <si>
    <t>P012</t>
  </si>
  <si>
    <t>P013</t>
  </si>
  <si>
    <t>P014</t>
  </si>
  <si>
    <t>S178</t>
  </si>
  <si>
    <t>S179</t>
  </si>
  <si>
    <t>S180</t>
  </si>
  <si>
    <t>S181</t>
  </si>
  <si>
    <t>S182</t>
  </si>
  <si>
    <t>S183</t>
  </si>
  <si>
    <t>S184</t>
  </si>
  <si>
    <t>S185</t>
  </si>
  <si>
    <t>U002</t>
  </si>
  <si>
    <t>U004</t>
  </si>
  <si>
    <t>U007</t>
  </si>
  <si>
    <t>U008</t>
  </si>
  <si>
    <t>U009</t>
  </si>
  <si>
    <t>Junta de Pobladores</t>
  </si>
  <si>
    <t>Catastro Rural</t>
  </si>
  <si>
    <t>U016</t>
  </si>
  <si>
    <t>4R2</t>
  </si>
  <si>
    <t>5E2</t>
  </si>
  <si>
    <t>6F1</t>
  </si>
  <si>
    <t>6F2</t>
  </si>
  <si>
    <t>6F10</t>
  </si>
  <si>
    <t>6F17</t>
  </si>
  <si>
    <t>6F19</t>
  </si>
  <si>
    <t>6F29</t>
  </si>
  <si>
    <t>6F30</t>
  </si>
  <si>
    <t>6F31</t>
  </si>
  <si>
    <t>6F32</t>
  </si>
  <si>
    <t>6F33</t>
  </si>
  <si>
    <t>6K14</t>
  </si>
  <si>
    <t>6K25</t>
  </si>
  <si>
    <t>6K27</t>
  </si>
  <si>
    <t>6K28</t>
  </si>
  <si>
    <t>6M1</t>
  </si>
  <si>
    <t>6O1</t>
  </si>
  <si>
    <t>6P12</t>
  </si>
  <si>
    <t>6P13</t>
  </si>
  <si>
    <t>6P14</t>
  </si>
  <si>
    <t>6S1</t>
  </si>
  <si>
    <t>6S172</t>
  </si>
  <si>
    <t>6S178</t>
  </si>
  <si>
    <t>6S179</t>
  </si>
  <si>
    <t>6S180</t>
  </si>
  <si>
    <t>6S181</t>
  </si>
  <si>
    <t>6S182</t>
  </si>
  <si>
    <t>6S183</t>
  </si>
  <si>
    <t>6S184</t>
  </si>
  <si>
    <t>6S185</t>
  </si>
  <si>
    <t>6S199</t>
  </si>
  <si>
    <t>6S210</t>
  </si>
  <si>
    <t>6U2</t>
  </si>
  <si>
    <t>6U4</t>
  </si>
  <si>
    <t>6U7</t>
  </si>
  <si>
    <t>6U8</t>
  </si>
  <si>
    <t>6U9</t>
  </si>
  <si>
    <t>8E1</t>
  </si>
  <si>
    <t>8E2</t>
  </si>
  <si>
    <t>8E3</t>
  </si>
  <si>
    <t>8E4</t>
  </si>
  <si>
    <t>8E5</t>
  </si>
  <si>
    <t>8E6</t>
  </si>
  <si>
    <t>8E8</t>
  </si>
  <si>
    <t>8E9</t>
  </si>
  <si>
    <t>8E10</t>
  </si>
  <si>
    <t>8E11</t>
  </si>
  <si>
    <t>8F1</t>
  </si>
  <si>
    <t>8G1</t>
  </si>
  <si>
    <t>8K9</t>
  </si>
  <si>
    <t>8K14</t>
  </si>
  <si>
    <t>8K24</t>
  </si>
  <si>
    <t>8K26</t>
  </si>
  <si>
    <t>8K27</t>
  </si>
  <si>
    <t>8K28</t>
  </si>
  <si>
    <t>8L1</t>
  </si>
  <si>
    <t>8M1</t>
  </si>
  <si>
    <t>8O1</t>
  </si>
  <si>
    <t>8O99</t>
  </si>
  <si>
    <t>8P1</t>
  </si>
  <si>
    <t>8R3</t>
  </si>
  <si>
    <t>8S230</t>
  </si>
  <si>
    <t>8S231</t>
  </si>
  <si>
    <t>8S232</t>
  </si>
  <si>
    <t>8S233</t>
  </si>
  <si>
    <t>8S234</t>
  </si>
  <si>
    <t>8U2</t>
  </si>
  <si>
    <t>8U3</t>
  </si>
  <si>
    <t>8U4</t>
  </si>
  <si>
    <t>8U7</t>
  </si>
  <si>
    <t>8U9</t>
  </si>
  <si>
    <t>8U10</t>
  </si>
  <si>
    <t>8U11</t>
  </si>
  <si>
    <t>8U13</t>
  </si>
  <si>
    <t>8U16</t>
  </si>
  <si>
    <t>8U17</t>
  </si>
  <si>
    <t>9K31</t>
  </si>
  <si>
    <t>9K37</t>
  </si>
  <si>
    <t>9K39</t>
  </si>
  <si>
    <t>9S71</t>
  </si>
  <si>
    <t>10S16</t>
  </si>
  <si>
    <t>10S17</t>
  </si>
  <si>
    <t>10S21</t>
  </si>
  <si>
    <t>11E8</t>
  </si>
  <si>
    <t>11E10</t>
  </si>
  <si>
    <t>11G1</t>
  </si>
  <si>
    <t>11K9</t>
  </si>
  <si>
    <t>11S22</t>
  </si>
  <si>
    <t>11S72</t>
  </si>
  <si>
    <t>11S111</t>
  </si>
  <si>
    <t>11S126</t>
  </si>
  <si>
    <t>12P17</t>
  </si>
  <si>
    <t>12R1</t>
  </si>
  <si>
    <t>12S37</t>
  </si>
  <si>
    <t>12S72</t>
  </si>
  <si>
    <t>12S200</t>
  </si>
  <si>
    <t>12U5</t>
  </si>
  <si>
    <t>14S43</t>
  </si>
  <si>
    <t>15E1</t>
  </si>
  <si>
    <t>15E2</t>
  </si>
  <si>
    <t>15E3</t>
  </si>
  <si>
    <t>15E4</t>
  </si>
  <si>
    <t>15E5</t>
  </si>
  <si>
    <t>15E7</t>
  </si>
  <si>
    <t>15F1</t>
  </si>
  <si>
    <t>15F2</t>
  </si>
  <si>
    <t>15G1</t>
  </si>
  <si>
    <t>15L1</t>
  </si>
  <si>
    <t>15M1</t>
  </si>
  <si>
    <t>15O1</t>
  </si>
  <si>
    <t>15O99</t>
  </si>
  <si>
    <t>15P1</t>
  </si>
  <si>
    <t>15P2</t>
  </si>
  <si>
    <t>15P3</t>
  </si>
  <si>
    <t>15S88</t>
  </si>
  <si>
    <t>15S89</t>
  </si>
  <si>
    <t>15S203</t>
  </si>
  <si>
    <t>16E5</t>
  </si>
  <si>
    <t>16E9</t>
  </si>
  <si>
    <t>16E13</t>
  </si>
  <si>
    <t>16G3</t>
  </si>
  <si>
    <t>16G5</t>
  </si>
  <si>
    <t>16G10</t>
  </si>
  <si>
    <t>16G12</t>
  </si>
  <si>
    <t>16G13</t>
  </si>
  <si>
    <t>16G17</t>
  </si>
  <si>
    <t>16K25</t>
  </si>
  <si>
    <t>16K28</t>
  </si>
  <si>
    <t>16K111</t>
  </si>
  <si>
    <t>16K129</t>
  </si>
  <si>
    <t>16K132</t>
  </si>
  <si>
    <t>16K133</t>
  </si>
  <si>
    <t>16K134</t>
  </si>
  <si>
    <t>16K135</t>
  </si>
  <si>
    <t>16K137</t>
  </si>
  <si>
    <t>16K138</t>
  </si>
  <si>
    <t>16M1</t>
  </si>
  <si>
    <t>16O1</t>
  </si>
  <si>
    <t>16P2</t>
  </si>
  <si>
    <t>16R14</t>
  </si>
  <si>
    <t>16S44</t>
  </si>
  <si>
    <t>16S46</t>
  </si>
  <si>
    <t>16S71</t>
  </si>
  <si>
    <t>16S74</t>
  </si>
  <si>
    <t>16S75</t>
  </si>
  <si>
    <t>16S79</t>
  </si>
  <si>
    <t>16S110</t>
  </si>
  <si>
    <t>16S122</t>
  </si>
  <si>
    <t>16S217</t>
  </si>
  <si>
    <t>16U3</t>
  </si>
  <si>
    <t>16U5</t>
  </si>
  <si>
    <t>16U9</t>
  </si>
  <si>
    <t>16U19</t>
  </si>
  <si>
    <t>16U20</t>
  </si>
  <si>
    <t>16U21</t>
  </si>
  <si>
    <t>16U22</t>
  </si>
  <si>
    <t>16U24</t>
  </si>
  <si>
    <t>16U25</t>
  </si>
  <si>
    <t>16U28</t>
  </si>
  <si>
    <t>16U29</t>
  </si>
  <si>
    <t>19S38</t>
  </si>
  <si>
    <t>19U1</t>
  </si>
  <si>
    <t>20S53</t>
  </si>
  <si>
    <t>20S57</t>
  </si>
  <si>
    <t>20S58</t>
  </si>
  <si>
    <t>20S65</t>
  </si>
  <si>
    <t>20S70</t>
  </si>
  <si>
    <t>20S71</t>
  </si>
  <si>
    <t>20S72</t>
  </si>
  <si>
    <t>20S117</t>
  </si>
  <si>
    <t>20S118</t>
  </si>
  <si>
    <t>20S176</t>
  </si>
  <si>
    <t>20S216</t>
  </si>
  <si>
    <t>21I3</t>
  </si>
  <si>
    <t>23U23</t>
  </si>
  <si>
    <t>31E1</t>
  </si>
  <si>
    <t>31E2</t>
  </si>
  <si>
    <t>31M1</t>
  </si>
  <si>
    <t>31O1</t>
  </si>
  <si>
    <t>33I301</t>
  </si>
  <si>
    <t>33I302</t>
  </si>
  <si>
    <t>33I303</t>
  </si>
  <si>
    <t>33I304</t>
  </si>
  <si>
    <t>33I305</t>
  </si>
  <si>
    <t>33I306</t>
  </si>
  <si>
    <t>33I307</t>
  </si>
  <si>
    <t>33I308</t>
  </si>
  <si>
    <t>33I310</t>
  </si>
  <si>
    <t>33I311</t>
  </si>
  <si>
    <t>33I312</t>
  </si>
  <si>
    <t>33I313</t>
  </si>
  <si>
    <t>33I314</t>
  </si>
  <si>
    <t>33I315</t>
  </si>
  <si>
    <t>33I316</t>
  </si>
  <si>
    <t>33I317</t>
  </si>
  <si>
    <t>33I318</t>
  </si>
  <si>
    <t>33I319</t>
  </si>
  <si>
    <t>33I320</t>
  </si>
  <si>
    <t>33I321</t>
  </si>
  <si>
    <t>33I322</t>
  </si>
  <si>
    <t>33I323</t>
  </si>
  <si>
    <t>33I324</t>
  </si>
  <si>
    <t>33I325</t>
  </si>
  <si>
    <t>33I326</t>
  </si>
  <si>
    <t>33I327</t>
  </si>
  <si>
    <t>33I328</t>
  </si>
  <si>
    <t>33I329</t>
  </si>
  <si>
    <t>33I330</t>
  </si>
  <si>
    <t>33I331</t>
  </si>
  <si>
    <t>33I332</t>
  </si>
  <si>
    <t>33I401</t>
  </si>
  <si>
    <t>33I402</t>
  </si>
  <si>
    <t>33I403</t>
  </si>
  <si>
    <t>33I404</t>
  </si>
  <si>
    <t>33I405</t>
  </si>
  <si>
    <t>33I406</t>
  </si>
  <si>
    <t>33I407</t>
  </si>
  <si>
    <t>33I408</t>
  </si>
  <si>
    <t>33I409</t>
  </si>
  <si>
    <t>33I410</t>
  </si>
  <si>
    <t>33I411</t>
  </si>
  <si>
    <t>33I412</t>
  </si>
  <si>
    <t>33I413</t>
  </si>
  <si>
    <t>33I414</t>
  </si>
  <si>
    <t>33I415</t>
  </si>
  <si>
    <t>33I416</t>
  </si>
  <si>
    <t>33I417</t>
  </si>
  <si>
    <t>33I418</t>
  </si>
  <si>
    <t>33I419</t>
  </si>
  <si>
    <t>33I420</t>
  </si>
  <si>
    <t>33I421</t>
  </si>
  <si>
    <t>33I422</t>
  </si>
  <si>
    <t>33I423</t>
  </si>
  <si>
    <t>33I424</t>
  </si>
  <si>
    <t>33I425</t>
  </si>
  <si>
    <t>33I426</t>
  </si>
  <si>
    <t>33I427</t>
  </si>
  <si>
    <t>33I428</t>
  </si>
  <si>
    <t>33I429</t>
  </si>
  <si>
    <t>33I430</t>
  </si>
  <si>
    <t>33I431</t>
  </si>
  <si>
    <t>33I432</t>
  </si>
  <si>
    <t>33I501</t>
  </si>
  <si>
    <t>33I502</t>
  </si>
  <si>
    <t>33I503</t>
  </si>
  <si>
    <t>33I504</t>
  </si>
  <si>
    <t>33I505</t>
  </si>
  <si>
    <t>33I506</t>
  </si>
  <si>
    <t>33I507</t>
  </si>
  <si>
    <t>33I508</t>
  </si>
  <si>
    <t>33I509</t>
  </si>
  <si>
    <t>33I510</t>
  </si>
  <si>
    <t>33I511</t>
  </si>
  <si>
    <t>33I512</t>
  </si>
  <si>
    <t>33I513</t>
  </si>
  <si>
    <t>33I514</t>
  </si>
  <si>
    <t>33I515</t>
  </si>
  <si>
    <t>33I516</t>
  </si>
  <si>
    <t>33I517</t>
  </si>
  <si>
    <t>33I518</t>
  </si>
  <si>
    <t>33I519</t>
  </si>
  <si>
    <t>33I520</t>
  </si>
  <si>
    <t>33I521</t>
  </si>
  <si>
    <t>33I522</t>
  </si>
  <si>
    <t>33I523</t>
  </si>
  <si>
    <t>33I524</t>
  </si>
  <si>
    <t>33I525</t>
  </si>
  <si>
    <t>33I526</t>
  </si>
  <si>
    <t>33I527</t>
  </si>
  <si>
    <t>33I528</t>
  </si>
  <si>
    <t>33I529</t>
  </si>
  <si>
    <t>33I530</t>
  </si>
  <si>
    <t>33I531</t>
  </si>
  <si>
    <t>33I532</t>
  </si>
  <si>
    <t>40E1</t>
  </si>
  <si>
    <t>40E2</t>
  </si>
  <si>
    <t>40E3</t>
  </si>
  <si>
    <t>Cambio Climático</t>
  </si>
  <si>
    <t>(Varios elementos)</t>
  </si>
  <si>
    <t>ANEXO 1. GASTO NETO TOTAL (pesos)</t>
  </si>
  <si>
    <t>Reducciones</t>
  </si>
  <si>
    <t>Unidad Responsable</t>
  </si>
  <si>
    <t>ANEXO 3. EROGACIONES PLURIANUALES PARA PROYECTOS DE INFRAESTRUCTURA (millones de pesos)</t>
  </si>
  <si>
    <t>Proyecto</t>
  </si>
  <si>
    <t>ANEXO 4. COMPROMISOS PLURIANUALES (millones de pesos)</t>
  </si>
  <si>
    <t>ANEXO 5. PROYECTOS DE INFRAESTRUCTURA PRODUCTIVA DE LARGO PLAZO (pesos)</t>
  </si>
  <si>
    <t>09 Comunicaciones y Transportes</t>
  </si>
  <si>
    <t>10 Economía</t>
  </si>
  <si>
    <t>11 Educación Pública</t>
  </si>
  <si>
    <t>12 Salud</t>
  </si>
  <si>
    <t>15 Reforma Agraria</t>
  </si>
  <si>
    <t>16 Medio Ambiente y Recursos Naturales</t>
  </si>
  <si>
    <t>19 Aportaciones a Seguridad Social</t>
  </si>
  <si>
    <t>20 Desarrollo Social</t>
  </si>
  <si>
    <t>33 Aportaciones Federales para Entidades Federativas y Municipios</t>
  </si>
  <si>
    <t>35 Comisión Nacional de Derechos Humanos</t>
  </si>
  <si>
    <t>ANEXO 10.  EROGACIONES PARA LA IGUALDAD ENTRE MUJERES Y HOMBRES (millones de pesos)</t>
  </si>
  <si>
    <t>Programa Presupuestario</t>
  </si>
  <si>
    <t>03 Poder Judicial</t>
  </si>
  <si>
    <t>04 Gobernación</t>
  </si>
  <si>
    <t>05 Relaciones Exteriores</t>
  </si>
  <si>
    <t xml:space="preserve">06 Hacienda y Crédito Público </t>
  </si>
  <si>
    <t>07 Defensa Nacional</t>
  </si>
  <si>
    <t>08 Agricultura, Ganadería, Desarrollo Rural, Pesca y Alimentación</t>
  </si>
  <si>
    <t>11 Educación</t>
  </si>
  <si>
    <t>14 Trabajo y Previsión Social</t>
  </si>
  <si>
    <t>17 Procuraduría General de la República</t>
  </si>
  <si>
    <t>21 Turismo</t>
  </si>
  <si>
    <t>22 Instituto Federal Electoral</t>
  </si>
  <si>
    <t>36 Seguridad Pública</t>
  </si>
  <si>
    <t>Recursos Fiscales</t>
  </si>
  <si>
    <t>Recursos Propios</t>
  </si>
  <si>
    <t xml:space="preserve"> 04 Gobernación</t>
  </si>
  <si>
    <t>13 Marina</t>
  </si>
  <si>
    <t>18 Energía</t>
  </si>
  <si>
    <t>38 Consejo Nacional de Ciencia y Tecnología</t>
  </si>
  <si>
    <t>ANEXO 17. PROGRAMA DE CIENCIA, TECNOLOGÍA E INNOVACIÓN (pesos)</t>
  </si>
  <si>
    <t>Programa Especial para la Seguridad Alimentaria (PESA)</t>
  </si>
  <si>
    <t>Modernización de Maquinaria Agropecuaria</t>
  </si>
  <si>
    <t xml:space="preserve">Ingenio Emiliano Zapata </t>
  </si>
  <si>
    <t>Independencia y Concepción</t>
  </si>
  <si>
    <t xml:space="preserve">Café </t>
  </si>
  <si>
    <t>Porcicultores</t>
  </si>
  <si>
    <t>Acceso a Granos Forrajeros Nacionales</t>
  </si>
  <si>
    <t>Exportación</t>
  </si>
  <si>
    <t>Agricultura por contrato (Compensación de  Bases)</t>
  </si>
  <si>
    <t>Esquema de Comercialización Específico</t>
  </si>
  <si>
    <r>
      <t>4.</t>
    </r>
    <r>
      <rPr>
        <b/>
        <strike/>
        <sz val="9"/>
        <rFont val="Arial Narrow"/>
        <family val="2"/>
      </rPr>
      <t xml:space="preserve"> </t>
    </r>
    <r>
      <rPr>
        <b/>
        <sz val="9"/>
        <rFont val="Arial Narrow"/>
        <family val="2"/>
      </rPr>
      <t>Programa de Prevención y Manejo de Riesgos</t>
    </r>
  </si>
  <si>
    <r>
      <t>9</t>
    </r>
    <r>
      <rPr>
        <b/>
        <strike/>
        <sz val="9"/>
        <rFont val="Arial Narrow"/>
        <family val="2"/>
      </rPr>
      <t xml:space="preserve">. </t>
    </r>
    <r>
      <rPr>
        <b/>
        <sz val="9"/>
        <rFont val="Arial Narrow"/>
        <family val="2"/>
      </rPr>
      <t>Programa de mejoramiento de condiciones laborales en el medio rural</t>
    </r>
  </si>
  <si>
    <r>
      <t>Comité Nal.</t>
    </r>
    <r>
      <rPr>
        <strike/>
        <sz val="9"/>
        <rFont val="Arial Narrow"/>
        <family val="2"/>
      </rPr>
      <t xml:space="preserve"> </t>
    </r>
    <r>
      <rPr>
        <sz val="9"/>
        <rFont val="Arial Narrow"/>
        <family val="2"/>
      </rPr>
      <t>para el Desarrollo Sustentable de la Caña de Azúcar</t>
    </r>
  </si>
  <si>
    <t>Tequilana</t>
  </si>
  <si>
    <t>Mezcalero</t>
  </si>
  <si>
    <t>01 Poder Legislativo</t>
  </si>
  <si>
    <t>27 Función Pública</t>
  </si>
  <si>
    <t>40 Instituto Nacional de Estadística y Geografía</t>
  </si>
  <si>
    <t>GYN ISSSTE</t>
  </si>
  <si>
    <t>GYR IMSS</t>
  </si>
  <si>
    <t>.</t>
  </si>
  <si>
    <t>G003</t>
  </si>
  <si>
    <t>P003</t>
  </si>
  <si>
    <t>S152</t>
  </si>
  <si>
    <t>E007</t>
  </si>
  <si>
    <t>U038</t>
  </si>
  <si>
    <t>G001</t>
  </si>
  <si>
    <t>% PEF 2011</t>
  </si>
  <si>
    <t>% PPEF 2011</t>
  </si>
  <si>
    <t>TABLA DINÁMICA</t>
  </si>
  <si>
    <t>Total Actividades derivadas del trabajo legislativo</t>
  </si>
  <si>
    <t>Total Entregar a la Cámara de Diputados del H. Congreso de la Unión, el informe sobre la revisión de la Cuenta de la Hacienda Pública Federal</t>
  </si>
  <si>
    <t>Total Otras Actividades</t>
  </si>
  <si>
    <t>Total Servicios migratorios en fronteras, puertos y aeropuertos</t>
  </si>
  <si>
    <t>Total Promover la Protección de los Derechos Humanos y Prevenir la Discriminación.</t>
  </si>
  <si>
    <t>Total Promover la atención y prevención de la violencia contra las mujeres</t>
  </si>
  <si>
    <t>Total Coordinación del Sistema Nacional de Protección Civil</t>
  </si>
  <si>
    <t>Total Conducción de la política interior y las relaciones del Ejecutivo Federal con el Congreso de la Unión, Entidades Federativas y Asociaciones Políticas y Sociales</t>
  </si>
  <si>
    <t>Total Divulgación de las acciones en materia de derechos humanos.</t>
  </si>
  <si>
    <t>Total Conducción de la política de comunicación social de la Administración Pública Federal y la relación con los medios de comunicación</t>
  </si>
  <si>
    <t>Total Planeación demográfica del país</t>
  </si>
  <si>
    <t>Total Protección y asistencia consular</t>
  </si>
  <si>
    <t>Total Foros, publicaciones y actividades en materia de equidad de género</t>
  </si>
  <si>
    <t>Total Acciones para Igualdad de Género con Población Indígena</t>
  </si>
  <si>
    <t>Total Fortalecimiento de Capacidades Indígenas</t>
  </si>
  <si>
    <t>Total Actividades de apoyo administrativo</t>
  </si>
  <si>
    <t>Total Actividades de apoyo a la función pública y buen gobierno</t>
  </si>
  <si>
    <t>Total Promoción y coordinación de las acciones para la equidad de género</t>
  </si>
  <si>
    <t>Total Fortalecimiento a la Transversalidad de la Perspectiva de Género</t>
  </si>
  <si>
    <t>Total Programa de esquema de financiamiento y subsidio federal para vivienda</t>
  </si>
  <si>
    <t>Total Programa Organización Productiva para Mujeres Indígenas (POPMI)</t>
  </si>
  <si>
    <t>Total Fortalecimiento a las Políticas Municipales de Igualdad y Equidad entre Mujeres y Hombres.</t>
  </si>
  <si>
    <t>Total Capacitación y sensibilización para efectivos en perspectiva de género</t>
  </si>
  <si>
    <t>Total Registro, Control y Seguimiento de los Programas Presupuestarios</t>
  </si>
  <si>
    <t>Total Supervisión, inspección y verificación del sistema Nacional e-México</t>
  </si>
  <si>
    <t>Total Definición y conducción de la política de comunicaciones y transportes</t>
  </si>
  <si>
    <t>Total Fondo de Microfinanciamiento a Mujeres Rurales (FOMMUR)</t>
  </si>
  <si>
    <t>Total Fondo Nacional de Apoyos para Empresas en Solidaridad (FONAES)</t>
  </si>
  <si>
    <t>Total Fondo de Apoyo para la Micro, Pequeña y Mediana Empresa (Fondo PYME)</t>
  </si>
  <si>
    <t>Total Programa Nacional de Financiamiento al Microempresario</t>
  </si>
  <si>
    <t>Total Diseño y aplicación de políticas de equidad de género</t>
  </si>
  <si>
    <t>Total Diseño y aplicación de la política educativa</t>
  </si>
  <si>
    <t>Total Programa Becas de apoyo a la Educación Básica de Madres Jóvenes y Jóvenes Embarazadas</t>
  </si>
  <si>
    <t>Total Programa de Educación Básica para Niños y Niñas de Familias Jornaleras Agricolas Migrantes</t>
  </si>
  <si>
    <t>Total Programa del Sistema Nacional de Formación Continua y Superación Profesional de Maestros de Educación Básica en Servicio</t>
  </si>
  <si>
    <t>Total Deporte</t>
  </si>
  <si>
    <t>Total Programa Integral de Fortalecimiento Institucional</t>
  </si>
  <si>
    <t>Total Programa de becas</t>
  </si>
  <si>
    <t>Total Formación de recursos humanos especializados para la salud (Hospitales)</t>
  </si>
  <si>
    <t>Total Investigación y desarrollo tecnológico en salud</t>
  </si>
  <si>
    <t>Total Prestación de servicios en los diferentes niveles de atención a la salud</t>
  </si>
  <si>
    <t>Total Prevención y atención contra las adicciones</t>
  </si>
  <si>
    <t>Total Calidad en Salud e Innovación</t>
  </si>
  <si>
    <t>Total Promoción de la salud, prevención y control de enfermedades crónico degenerativas y transmisibles y lesiones</t>
  </si>
  <si>
    <t>Total Prevención y atención de VIH/SIDA y otras ITS</t>
  </si>
  <si>
    <t>Total Atención de la Salud Reproductiva y la Igualdad de Género en Salud</t>
  </si>
  <si>
    <t>Total Reducción de la mortalidad materna</t>
  </si>
  <si>
    <t>Total Prevención contra la obesidad</t>
  </si>
  <si>
    <t>Total Programas de Atención a Familias y Población Vulnerable</t>
  </si>
  <si>
    <t>Total Programa de estancias infantiles para apoyar a madres trabajadoras</t>
  </si>
  <si>
    <t>Total Proyectos de infraestructura social de asistencia y seguridad social</t>
  </si>
  <si>
    <t>Total Procuración de justicia laboral</t>
  </si>
  <si>
    <t>Total Fomento de la equidad de género y la no discriminación en el mercado laboral</t>
  </si>
  <si>
    <t>Total Programa de Atención a Situaciones de Contingencia Laboral</t>
  </si>
  <si>
    <t>Total Implementación de políticas enfocadas al medio agrario</t>
  </si>
  <si>
    <t>Total Programa de la Mujer en el Sector Agrario (PROMUSAG)</t>
  </si>
  <si>
    <t>Total Planeación, Evaluación Ambiental y Conservación de Polígonos Forestales</t>
  </si>
  <si>
    <t>Total Programa de Conservación para el Desarrollo Sostenible (PROCODES)</t>
  </si>
  <si>
    <t>Total Programa de Empleo Temporal (PET)</t>
  </si>
  <si>
    <t>Total Investigar y perseguir los delitos del orden federal</t>
  </si>
  <si>
    <t>Total Investigar y perseguir los delitos relativos a la Delincuencia Organizada</t>
  </si>
  <si>
    <t>Total Promoción del respeto a los derechos humanos y atención a víctimas del delito</t>
  </si>
  <si>
    <t>Total Promoción del Desarrollo Humano y Planeación Institucional</t>
  </si>
  <si>
    <t>Total Apoyo Económico a Viudas de Veteranos de la Revolución Mexicana</t>
  </si>
  <si>
    <t>Total Programa Habitat</t>
  </si>
  <si>
    <t>Total Programa de Ahorro y Subsidio para la Vivienda Tu Casa</t>
  </si>
  <si>
    <t>Total Programa de Coinversión Social</t>
  </si>
  <si>
    <t>Total Programa de Vivienda Rural</t>
  </si>
  <si>
    <t>Total Programa de Apoyo a las Instancias de Mujeres en las Entidades Federativas, Para Implementar y Ejecutar Programas de Prevención de la Violencia Contra las Mujeres</t>
  </si>
  <si>
    <t>Total Rescate de espacios públicos</t>
  </si>
  <si>
    <t>Total Establecer y conducir la política de turismo</t>
  </si>
  <si>
    <t>Total Apoyo a la competitividad de las empresas y prestadores de servicios turísticos</t>
  </si>
  <si>
    <t>Total Capacitar y educar para el ejercicio democrático de la ciudadanía</t>
  </si>
  <si>
    <t>Total Fiscalización de los Recursos de los Partidos Políticos</t>
  </si>
  <si>
    <t>Total Ampliación de la cobertura, impacto y efecto preventivo de la fiscalización a la gestión pública</t>
  </si>
  <si>
    <t>Total Promover, divulgar, dar seguimiento, evaluar y monitorear la política nacional en materia de igualdad entre mujeres y hombres; y atender los asuntos de la mujer</t>
  </si>
  <si>
    <t>Total Fomento de la cultura de la participación ciudadana en la prevención del delito en el marco de la Equidad y Género (Cumplimiento a la LGAMVLV)</t>
  </si>
  <si>
    <t>Total Apoyos institucionales para actividades científicas, tecnológicas y de innovación.</t>
  </si>
  <si>
    <t>Total Producción y difusión de información estadística y geográfica de interés nacional</t>
  </si>
  <si>
    <t>Total Control del Estado de Salud de la Embarazada</t>
  </si>
  <si>
    <t>Total Equidad de Género</t>
  </si>
  <si>
    <t>Total Servicios de guardería</t>
  </si>
  <si>
    <t>Total Atención a la salud reproductiva</t>
  </si>
  <si>
    <t>1/ El presupuesto no se suma en el total por ser recursos propios</t>
  </si>
  <si>
    <t>Original</t>
  </si>
  <si>
    <t>Con etiqueta</t>
  </si>
  <si>
    <t>U022</t>
  </si>
  <si>
    <t>E013</t>
  </si>
  <si>
    <t>ANEXO . CAMBIO CLIMÁTICO (pesos)</t>
  </si>
  <si>
    <t>N001</t>
  </si>
  <si>
    <t>05 Relaciones exteriores</t>
  </si>
  <si>
    <t>P005</t>
  </si>
  <si>
    <t>06 Hacienda y Crédito Público</t>
  </si>
  <si>
    <t>S199</t>
  </si>
  <si>
    <t>K004</t>
  </si>
  <si>
    <t>K010</t>
  </si>
  <si>
    <t>K040</t>
  </si>
  <si>
    <t>K041</t>
  </si>
  <si>
    <t>P007</t>
  </si>
  <si>
    <t>E045</t>
  </si>
  <si>
    <t>E006</t>
  </si>
  <si>
    <t>G013</t>
  </si>
  <si>
    <t>G017</t>
  </si>
  <si>
    <t>K007</t>
  </si>
  <si>
    <t>K137</t>
  </si>
  <si>
    <t>K138</t>
  </si>
  <si>
    <t>P002</t>
  </si>
  <si>
    <t>S044</t>
  </si>
  <si>
    <t>S047</t>
  </si>
  <si>
    <t>S110</t>
  </si>
  <si>
    <t>S122</t>
  </si>
  <si>
    <t>S218</t>
  </si>
  <si>
    <t>U003</t>
  </si>
  <si>
    <t>E004</t>
  </si>
  <si>
    <t>F012</t>
  </si>
  <si>
    <t>G007</t>
  </si>
  <si>
    <t>P001</t>
  </si>
  <si>
    <t>P008</t>
  </si>
  <si>
    <t>S237</t>
  </si>
  <si>
    <t>K021</t>
  </si>
  <si>
    <t>23 Provisiones Salariales y Económicas</t>
  </si>
  <si>
    <t>N002</t>
  </si>
  <si>
    <t>S192</t>
  </si>
  <si>
    <t xml:space="preserve">Fondo Sectorial de Investigación Ambiental SEMARNAT-CONACYT </t>
  </si>
  <si>
    <t>Fondo Sectorial de Sustentabilidad Energética SENER-CONACYT</t>
  </si>
  <si>
    <t>Fondo Sectorial de Investigación y Desarrollo Tecnológico en Energía CFE-CONACYT</t>
  </si>
  <si>
    <t>TOQ Comisión Federal de Electricidad</t>
  </si>
  <si>
    <t>E578</t>
  </si>
  <si>
    <t>F571</t>
  </si>
  <si>
    <t>K044</t>
  </si>
  <si>
    <t>TZZ Petróleos Mexicanos</t>
  </si>
  <si>
    <t>E012</t>
  </si>
  <si>
    <t>K002</t>
  </si>
  <si>
    <t>K029</t>
  </si>
  <si>
    <t>K043</t>
  </si>
  <si>
    <t>ANEXO 6. PREVISIONES SALARIALES Y ECONÓMICAS (pesos)</t>
  </si>
  <si>
    <t>Ampliaciones</t>
  </si>
  <si>
    <t>Anexo 8. Programa Especial Concurrente para el Desarrollo Rural Sustentable</t>
  </si>
  <si>
    <t>Modelo</t>
  </si>
  <si>
    <t>Desglose</t>
  </si>
  <si>
    <t>Suma de PPEF 2011</t>
  </si>
  <si>
    <t>Monto</t>
  </si>
  <si>
    <t>ANEXO 32.1. RECURSOS DESTINADOS AL PROGRAMA HIDRÁULICO (pesos)</t>
  </si>
  <si>
    <t>ANEXO 34. AMPLIACIONES AL RAMO 20 DESARROLLO SOCIAL (pesos)</t>
  </si>
  <si>
    <t>ANEXO 35. AMPLIACIONES AL RAMO 21 TURISMO (pesos)</t>
  </si>
  <si>
    <t>Total Coordinación de la política exterior de México en materia de derechos humanos y democracia</t>
  </si>
  <si>
    <t>Total Mantenimiento de Infraestructura</t>
  </si>
  <si>
    <t>ANEXO 35.1 AMPLIACIÓN POR ENTIDAD FEDERATIVA</t>
  </si>
  <si>
    <t>ETIQUETA</t>
  </si>
  <si>
    <t>AMPL. DIRECTA</t>
  </si>
  <si>
    <t>AMPL. TRANSV.</t>
  </si>
  <si>
    <t>p</t>
  </si>
  <si>
    <t>Suma de PEF 2011</t>
  </si>
  <si>
    <t>Monto Total</t>
  </si>
  <si>
    <t>Aprobado</t>
  </si>
  <si>
    <t>50 Instituto Mexicano del Seguro Social</t>
  </si>
  <si>
    <t>51 Instituto de Seguridad Social para los Trabajadores del Estado</t>
  </si>
  <si>
    <t>Instituto de Seguridad Social para los Trabajadores del Estado</t>
  </si>
  <si>
    <t>Instituto Mexicano de la Propiedad Industrial</t>
  </si>
  <si>
    <t xml:space="preserve">Corporación Mexicana de Investigación en Materiales, S.A. de C.V. </t>
  </si>
  <si>
    <t xml:space="preserve">Fondo de Información y Documentación para la Industria </t>
  </si>
  <si>
    <t>ANEXO 6.1 RAMO: 40 INFORMACIÓN NACIONAL ESTADÍSTICA Y GEOGRÁFICA (pesos)</t>
  </si>
  <si>
    <t>ANEXO 7. EROGACIONES PARA EL DESARROLLO INTEGRAL DE LOS PUEBLOS Y COMUNIDADES INDÍGENAS</t>
  </si>
  <si>
    <t>ANEXO 9. PROGRAMA DE CIENCIA, TECNOLOGÍA E INNOVACIÓN (pesos)</t>
  </si>
  <si>
    <t>ANEXO 11. COSTO FINANCIERO DE LA DEUDA Y OTRAS EROGACIONES (pesos)</t>
  </si>
  <si>
    <t>ANEXO 12. PROGRAMAS DEL RAMO 23 PROVISIONES SALARIALES Y ECONÓMICAS (pesos)</t>
  </si>
  <si>
    <t>ANEXO 14. RAMO 33 APORTACIONES FEDERALES PARA ENTIDADES FEDERATIVAS Y MUNICIPIOS (pesos)</t>
  </si>
  <si>
    <t>ANEXO 17. MONTOS MÁXIMOS DE ADJUDICACIONES MEDIANTE PROCEDIMIENTO DE ADJUDICACIÓN DIRECTA Y DE INVITACIÓN A CUANDO MENOS TRES PERSONAS, ESTABLECIDOS EN MILES DE PESOS, SIN CONSIDERAR EL IMPUESTO AL VALOR AGREGADO:</t>
  </si>
  <si>
    <t xml:space="preserve">ANEXO 18. PROGRAMAS SUJETOS A REGLAS DE OPERACIÓN </t>
  </si>
  <si>
    <t>ANEXO 19. PROGRAMA DE DESARROLLO HUMANO OPORTUNIDADES (pesos)</t>
  </si>
  <si>
    <t>ANEXO 20. ESTRATEGIA NACIONAL PARA LA TRANSICIÓN ENERGÉTICA Y EL APROVECHAMIENTO SUSTENTABLE DE LA ENERGÍA (pesos)</t>
  </si>
  <si>
    <t>ANEXO 21. PRINCIPALES PROGRAMAS</t>
  </si>
  <si>
    <t>ANEXO 10.  EROGACIONES PARA LA IGUALDAD ENTRE MUJERES Y HOMBRES</t>
  </si>
  <si>
    <t>ANEXO 23. ADECUACIONES APROBADAS POR LA H. CÁMARA DE DIPUTADOS (pesos)</t>
  </si>
  <si>
    <t>ANEXO 24. RECURSOS PARA ATENCIÓN A GRUPOS VULNERABLES (pesos)</t>
  </si>
  <si>
    <t>ANEXO 25. CAMBIO CLIMÁTICO (pesos)</t>
  </si>
  <si>
    <t>ANEXO 26. AMPLIACIONES AL RAMO 04 GOBERNACIÓN (pesos)</t>
  </si>
  <si>
    <t>ANEXO 27. AMPLIACIONES AL RAMO 06 HACIENDA Y CRÉDITO PÚBLICO (pesos)</t>
  </si>
  <si>
    <t>ANEXO 28. AMPLIACIONES AL RAMO 09 COMUNICACIONES Y TRANSPORTES (pesos)</t>
  </si>
  <si>
    <t>ANEXO 29. AMPLIACIONES AL RAMO 10 ECONOMÍA (pesos)</t>
  </si>
  <si>
    <t>ANEXO 31. AMPLIACIONES AL RAMO 12 SALUD (pesos)</t>
  </si>
  <si>
    <t>ANEXO 31.1 EQUIPAMIENTO, MODERNIZACIÓN Y OBRA PÚBLICA PARA LA CONCLUSIÓN DE UNIDADES MÉDICAS EN ENTIDADES FEDERATIVAS  (pesos)</t>
  </si>
  <si>
    <t>ANEXO 31.2 GASTO DE OPERACIÓN PARA UNIDADES MÉDICAS EN ENTIDADES FEDERATIVAS (pesos)</t>
  </si>
  <si>
    <t>ANEXO 31.3 HOMOLOGACIÓN DE PERSONAL  (pesos)</t>
  </si>
  <si>
    <t>ANEXO 31.4 FONDO DE APORTACIONES A LOS SERVICIOS DE SALUD A LA COMUNIDAD  (pesos)</t>
  </si>
  <si>
    <t>ANEXO 31.5 EQUIPAMIENTO Y OBRA PÚBLICA PARA INFRAESTRUCTURA FEDERAL (pesos)</t>
  </si>
  <si>
    <t>ANEXO 31.6 GASTO DE OPERACIÓN PARA INSTITUTOS NACIONALES DE SALUD Y HOSPITALES FEDERALES  (pesos)</t>
  </si>
  <si>
    <t>ANEXO 32. AMPLIACONES AL RAMO 16 MEDIO AMBIENTE Y RECURSOS NATURALES (pesos)</t>
  </si>
  <si>
    <t>ANEXO 36. AMPLIACIONES AL RAMO 38 CIENCIA Y TECNOLOGIA (pesos)</t>
  </si>
  <si>
    <t>ÍNDICE DE ANEXOS</t>
  </si>
  <si>
    <t>ANEXO 2. GASTOS OBLIGATORIOS (millones de pesos)</t>
  </si>
  <si>
    <t>ANEXO 8. PROGRAMA ESPECIAL CONCURRENTE PARA EL DESARROLLO RURAL SUSTENTABLE (pesos)</t>
  </si>
  <si>
    <t>ANEXO 13. RAMO 25 PREVISIONES Y APORTACIONES PARA LOS SISTEMAS DE EDUCACIÓN BÁSICA, NORMAL, TECNOLÓGICA Y DE ADULTOS</t>
  </si>
  <si>
    <t>ANEXO 16. REMUNERACIONES DE LOS SERVIDORES PÚBLICOS DE LA FEDERACIÓN (pesos)</t>
  </si>
  <si>
    <t>ANEXO 16.1. ADMINISTRACIÓN PÚBLICA FEDERAL</t>
  </si>
  <si>
    <t>ANEXO 16.1.2.  LÍMITES DE PERCEPCIÓN EXTRAORDINARIA TOTAL EN LA ADMINISTRACIÓN PÚBLICA FEDERAL (NETOS MENSUALES, pesos)</t>
  </si>
  <si>
    <t>ANEXO 16.1.3. REMUNERACIÓN TOTAL ANUAL DEL PRESIDENTE DE LA REPÚBLICA (pesos)</t>
  </si>
  <si>
    <t>ANEXO 16.2. CÁMARA DE SENADORES</t>
  </si>
  <si>
    <t>ANEXO 16.2.1.  LÍMITES DE LA PERCEPCION ORDINARIA TOTAL EN LA CÁMARA DE SENADORES (NETOS MENSUALES, pesos)</t>
  </si>
  <si>
    <t>ANEXO 16.2.3. REMUNERACIÓN TOTAL ANUAL DEL PUESTO DE ELECCION SENADOR DE LA REPÚBLICA (pesos)</t>
  </si>
  <si>
    <t>ANEXO 16.2.4 REMUNERACIÓN TOTAL ANUAL DEL PUESTO DE ESTRUCTURA ÓRGANICA DE SECRETARIO GENERAL (pesos)</t>
  </si>
  <si>
    <t>ANEXO 16.3. CÁMARA DE DIPUTADOS</t>
  </si>
  <si>
    <t>ANEXO 16.3.1.A.  LÍMITES DE LA PERCEPCION ORDINARIA TOTAL EN LA CÁMARA DE DIPUTADOS (NETOS MENSUALES, pesos)</t>
  </si>
  <si>
    <t>ANEXO 16.3.1.B.  LÍMITES DE LA PERCEPCION ORDINARIA TOTAL EN LA CÁMARA DE DIPUTADOS (NETOS MENSUALES, pesos)</t>
  </si>
  <si>
    <t>ANEXO 16.3.2.A.  LÍMITES DE LA PERCEPCION ORDINARIA TOTAL  EN LA UNIDAD DE EVALUACIÓN Y CONTROL DE LA COMISIÓN DE VIGILANCIA DE LA AUDITORÍA SUPERIOR DE LA FEDERACIÓN (NETOS MENSUALES, pesos)</t>
  </si>
  <si>
    <t>ANEXO 16.3.2.B.  LÍMITES DE LA PERCEPCION ORDINARIA TOTAL EN LA UNIDAD DE EVALUACIÓN Y CONTROL DE LA COMISIÓN DE VIGILANCIA DE LA AUDITORÍA SUPERIOR DE LA FEDERACIÓN (NETOS MENSUALES, pesos)</t>
  </si>
  <si>
    <t>ANEXO 16.3.3. REMUNERACIÓN TOTAL ANUAL DEL PUESTO DE ELECCIÓN DIPUTADO FEDERAL (pesos)</t>
  </si>
  <si>
    <t>ANEXO 16.3.4. REMUNERACIÓN TOTAL ANUAL DEL SECRETARIO GENERAL (pesos)</t>
  </si>
  <si>
    <t>ANEXO 16.4.  AUDITORÍA SUPERIOR DE LA FEDERACIÓN</t>
  </si>
  <si>
    <t>ANEXO 16.4.1.  LÍMITES DE PERCEPCION ORDINARIA TOTAL EN LA AUDITORÍA SUPERIOR DE LA FEDERACIÓN (NETOS MENSUALES, pesos)</t>
  </si>
  <si>
    <t>ANEXO 16.4.2.  LÍMITES DE PERCEPCIÓN EXTRAORDINARIA TOTAL (PESOS)</t>
  </si>
  <si>
    <t>ANEXO 16.4.3 REMUNERACIÓN TOTAL ANUAL DE LA MÁXIMA REPRESENTACIÓN DE LA AUDITORÍA SUPERIOR DE LA FEDERACIÓN (pesos)</t>
  </si>
  <si>
    <t>ANEXO 16.5. SUPREMA CORTE DE JUSTICIA DE LA NACIÓN</t>
  </si>
  <si>
    <t>ANEXO 16.5.1.  REMUNERACIÓN NOMINAL ANUAL DEL MINISTRO PRESIDENTE EN ACTIVO, DE CONFORMIDAD CON EL ARTÍCULO TERCERO TRANSITORIO DEL DECRETO POR EL QUE SE REFORMAN Y ADICIONAN LOS ARTÍCULOS 75, 115, 116, 122, 123 Y 127 DE LA CONSTITUCIÓN POLÍTICA DE LOS ESTADOS UNIDOS MEXICANOS (pesos)</t>
  </si>
  <si>
    <t>ANEXO 16.5.2.  REMUNERACIÓN NOMINAL ANUAL DE MINISTROS EN ACTIVO, DE CONFORMIDAD CON EL ARTÍCULO TERCERO TRANSITORIO DEL DECRETO POR EL QUE SE REFORMAN Y ADICIONAN LOS ARTÍCULOS 75, 115, 116, 122, 123 Y 127 DE LA CONSTITUCIÓN POLÍTICA DE LOS ESTADOS UNIDOS MEXICANOS (pesos)</t>
  </si>
  <si>
    <t>ANEXO 16.5.3.  REMUNERACIÓN TOTAL ANUAL DEL MINISTRO DE LA SUPREMA CORTE DE JUSTICIA DE LA NACIÓN (pesos)</t>
  </si>
  <si>
    <t>ANEXO 16.6. CONSEJO DE LA JUDICATURA FEDERAL</t>
  </si>
  <si>
    <t>ANEXO 16.6.1.  REMUNERACIÓN NOMINAL ANUAL DE CONSEJEROS DE LA JUDICATURA FEDERAL DE CONFORMIDAD CON EL ARTÍCULO 3o TRANSITORIO DEL DECRETO POR EL QUE SE REFORMAN Y ADICIONAN LOS ARTÍCULOS 75, 115, 116, 122, 123 Y 127 DE LA CONSTITUCIÓN POLÍTICA DE LOS ESTADOS UNIDOS MEXICANOS (pesos)</t>
  </si>
  <si>
    <t>ANEXO 16.6.2.  REMUNERACIÓN TOTAL ANUAL DE LOS NUEVOS CONSEJEROS DE LA JUDICATURA FEDERAL QUE SE DESIGNEN A LA ENTRADA EN VIGOR DEL DECRETO POR EL QUE SE REFORMAN Y ADICIONAN LOS ARTÍCULOS 75, 115, 116, 122, 123 Y 127 DE LA CONSTITUCIÓN POLÍTICA DE LOS ESTADOS UNIDOS MEXICANOS, ES LA ESTABLECIDA EN EL PROYECTO DE PRESUPUESTO DE EGRESOS PARA EL EJERCICIO FISCAL 2011, ENVIADO A LA H. CÁMARA DE DIPUTADOS A TRAVÉS DE LA SECRETARÍA DE HACIENDA Y CRÉDITO PÚBLICO. (pesos)</t>
  </si>
  <si>
    <t>ANEXO 16.7. TRIBUNAL ELECTORAL DEL PODER JUDICIAL DE LA FEDERACIÓN</t>
  </si>
  <si>
    <t>ANEXO 16.7.1.  REMUNERACIÓN NOMINAL ANUAL DE MAGISTRADOS ELECTORALES DE CONFORMIDAD CON EL ARTÍCULO 3ero. TRANSITORIO DEL DECRETO POR EL QUE SE REFORMAN Y ADICIONAN  LOS ARTÍCULOS 75, 115, 116, 122, 123 Y 127 DE LA CONSTITUCIÓN POLÍTICA DE LOS ESTADOS UNIDOS MEXICANOS (pesos)</t>
  </si>
  <si>
    <t>ANEXO 16.7.2.  REMUNERACIÓN TOTAL ANUAL DE LOS NUEVOS MAGISTRADOS DE SALA SUPERIOR QUE SE DESIGNEN A LA ENTRADA EN VIGOR DEL DECRETO POR EL QUE SE REFORMAN Y ADICIONAN LOS ARTÍCULOS 75, 115, 116, 122, 123 Y 127 DE LA CONSTITUCIÓN POLÍTICA DE LOS ESTADOS UNIDOS MEXICANOS, ES LA ESTABLECIDA EN EL PROYECTO DE PRESUPUESTO DE EGRESOS PARA EL EJERCICIO 2011, ENVIADO A LA H. CÁMARA DE DIPUTADOS A TRAVÉS DE LA SECRETARÍA DE HACIENDA Y CRÉDITO PÚBLICO (pesos)</t>
  </si>
  <si>
    <t>ANEXO 16.7.3. ANALÍTICO DE PLAZAS Y REMUNERACIONES DEL TRIBUNAL ELECTORAL DEL PODER JUDICIAL DE LA FEDERACIÓN (pesos)</t>
  </si>
  <si>
    <t>ANEXO 16.8. INSTITUTO FEDERAL ELECTORAL</t>
  </si>
  <si>
    <t>ANEXO 16.8.1.A.  LÍMITES DE LA PERCEPCIÓN ORDINARIA TOTAL EN EL INSTITUTO FEDERAL ELECTORAL (NETOS MENSUALES, pesos)</t>
  </si>
  <si>
    <t>ANEXO 16.8.1.B  LÍMITES DE LA PERCEPCIÓN ORDINARIA TOTAL EN EL INSTITUTO FEDERAL ELECTORAL (NETOS MENSUALES, pesos)</t>
  </si>
  <si>
    <t>ANEXO 16.8.2.  LÍMITES DE PAGOS EXTRAORDINARIOS ANUALES NETOS (pesos)</t>
  </si>
  <si>
    <t xml:space="preserve">ANEXO 16.8.3.A. REMUNERACIÓN TOTAL ANUAL DE LA MÁXIMA REPRESENTACIÓN DEL INSTITUTO FEDERAL ELECTORAL CONSEJERO PRESIDENTE / CONSEJEROS ELECTORALES (pesos) </t>
  </si>
  <si>
    <t xml:space="preserve">ANEXO 16.8.3.B. REMUNERACIÓN TOTAL ANUAL DE LA MÁXIMA REPRESENTACIÓN DEL INSTITUTO FEDERAL ELECTORAL SECRETARIO EJECUTIVO (pesos) </t>
  </si>
  <si>
    <t>ANEXO 16.9. COMISIÓN NACIONAL DE LOS DERECHOS HUMANOS</t>
  </si>
  <si>
    <t>ANEXO 16.9.1. LÍMITES DE PERCEPCIÓN ORDINARIA TOTAL  (NETOS MENSUALES, pesos)</t>
  </si>
  <si>
    <t>ANEXO 16.9.2.  LÍMITES DE PAGOS EXTRAORDINARIOS ANUALES NETOS (pesos)</t>
  </si>
  <si>
    <t>ANEXO 16.9.3. REMUNERACIÓN TOTAL ANUAL DE LA MÁXIMA REPRESENTACIÓN DE LA COMISIÓN NACIONAL DE LOS DERECHOS HUMANOS (pesos)</t>
  </si>
  <si>
    <t>ANEXO 16.10. INSTITUTO NACIONAL DE ESTADÍSTICA Y GEOGRAFÍA</t>
  </si>
  <si>
    <t>ANEXO 16.10.1. LÍMITES DE PERCEPCIÓN ORDINARIA TOTAL EN  EL INSTITUTO NACIONAL DE ESTADÍSTICA Y GEOGRAFÍA (NETOS MENSUALES, pesos)</t>
  </si>
  <si>
    <t>ANEXO 16.10.2.  REMUNERACIÓN TOTAL ANUAL DEL PRESIDENTE DEL INSTITUTO NACIONAL DE ESTADÍSTICA Y GEOGRAFÍA (pesos)</t>
  </si>
  <si>
    <t>ANEXO 16.10.3.  REMUNERACIÓN TOTAL ANUAL DEL VICEPRESIDENTE DEL INSTITUTO NACIONAL DE ESTADÍSTICA Y GEOGRAFÍA (pesos)</t>
  </si>
  <si>
    <t>ANEXO 24.1 DISTRIBUCIÓN DEL FONDO DE ACCESIBILIDAD EN EL TRANSPORTE PÚBLICO PARA LAS PERSONAS CON DISCAPACIDAD (PESOS)</t>
  </si>
  <si>
    <t>ANEXO 28.1. AMPLIACIONES EN INFRAESTRUCTURA CARRETERA, FERROVIARIA Y OTROS - CONSTRUCCIÓN Y MODERNIZACIÓN (pesos)</t>
  </si>
  <si>
    <t>ANEXO 28.2. AMPLIACIONES EN INFRAESTRUCTURA CARRETERA, FERROVIARIA Y OTROS - CAMINOS RURALES Y CARRETERAS ALIMENTADORAS (pesos)</t>
  </si>
  <si>
    <t>ANEXO 28.3. AMPLIACIONES EN INFRAESTRUCTURA CARRETERA, FERROVIARIA Y OTROS - CONSERVACIÓN Y MANTENIMIENTO (pesos)</t>
  </si>
  <si>
    <t>ANEXO 28.4. AMPLIACIONES EN INFRAESTRUCTURA CARRETERA, FERROVIARIA Y OTROS - PROGRAMA DE EMPLEO TEMPORAL (pesos)</t>
  </si>
  <si>
    <t>ANEXO 28.5. AMPLIACIONES EN INFRAESTRUCTURA CARRETERA, FERROVIARIA Y OTROS - INFRAESTRUCTURA FERROVIARIA, AEROPORTUARIA  Y OTROS (pesos)</t>
  </si>
  <si>
    <t>ANEXO 30.1 SUBSIDIO ORDINARIO PARA ORGANISMOS DESCENTRALIZADOS ESTATALES QUE LA FEDERACIÓN OTORGA EN 2011, EN TÉRMINOS DE LA LEY DE COORDINACIÓN PARA LA EDUCACIÓN SUPERIOR. (pesos)</t>
  </si>
  <si>
    <t>ANEXO 30.2 PROGRAMA PRESUPUESTAL U008 FONDO DE APOYO PARA SANEAMIENTO FINANCIERO DE LAS UPES POR ABAJO DE LA MEDIA NACIONAL EN SUBSIDIO POR ALUMNO (FONDO SUJETO A LINEAMIENTOS EMITIDOS POR LA SEP) DE LA UNIDAD RESPONSABLE 511. (pesos)</t>
  </si>
  <si>
    <t>ANEXO 30.7. AMPLIACIONES A CULTURA (pesos)</t>
  </si>
  <si>
    <t>ANEXO 30.8. PROYECTOS DE CULTURA (pesos)</t>
  </si>
  <si>
    <t>ANEXO 30.9. AMPLIACIONES A DEPORTE (pesos)</t>
  </si>
  <si>
    <t>ANEXO 10.  EROGACIONES PARA LA IGUALDAD ENTRE MUJERES Y HOMBRES (pesos)</t>
  </si>
  <si>
    <t>ANEXO 5.A. MONTO AUTORIZADO PARA NUEVOS PROYECTOS (pesos)</t>
  </si>
  <si>
    <t>ANEXO 5.B. MONTO AUTORIZADO PARA PROYECTOS APROBADOS EN EJERCICIOS FISCALES ANTERIORES DE INVERSIÓN DIRECTA E INVERSIÓN CONDICIONADA (pesos)</t>
  </si>
  <si>
    <t xml:space="preserve">ANEXO 5.C. MONTO AUTORIZADO PARA PROYECTOS APROBADOS PARA EJERCICIOS FISCALES ANTERIORES Y PARA NUEVOS PROYECTOS (pesos) </t>
  </si>
  <si>
    <t>ANEXO 5.D. MONTO COMPROMETIDO DE PROYECTOS DE INVERSIÓN DIRECTA AUTORIZADOS EN EJERCICIOS FISCALES ANTERIORES (pesos)</t>
  </si>
  <si>
    <t>ANEXO 5.E. MONTO MÁXIMO DE COMPROMISO DE PROYECTOS DE INVERSIÓN CONDICIONADA AUTORIZADOS EN EJERCICIOS FISCALES ANTERIORES (pesos)</t>
  </si>
  <si>
    <t>ANEXO 5.F. PREVISIONES PARA PAGO DE AMORTIZACIONES Y COSTO FINANCIERO DE PROYECTOS DE INVERSIÓN DIRECTA (pesos)</t>
  </si>
  <si>
    <t>ANEXO 15. PREVISIONES SALARIALES Y ECONÓMICAS DE LOS RAMOS 25 Y 33 (pesos)</t>
  </si>
  <si>
    <t>ANEXO 30. AMPLIACIONES A EDUCACIÓN  (pesos)</t>
  </si>
  <si>
    <t>ANEXO 30.3 DISTRIBUCIÓN DE LOS RECURSOS CORRESPONDIENTES AL FONDO PARA LA CONSOLIDACIÓN DE LAS UNIVERSIDADES INTERCULTURALES (pesos)</t>
  </si>
  <si>
    <t>ANEXO 30.10. AMPLIACIONES PARA LA INFRAESTRUCTURA DEPORTIVA MUNICIPAL (pesos)</t>
  </si>
  <si>
    <t>ANEXO 33. AMPLIACIONES AL RAMO 19 APORTACIONES A LA SEGURIDAD SOCIAL (pesos)</t>
  </si>
  <si>
    <t>ANEXO 22. EROGACIONES PARA EL DESARROLLO INTEGRAL DE LOS JÓVENES (pesos)</t>
  </si>
  <si>
    <t>ANEXO 30.4 DISTRIBUCIÓN DE LOS RECURSOS CORRESPONDIENTES AL PROGRAMA DE MEJORAMIENTO DEL PROFESORADO (PROMEP; pesos)</t>
  </si>
  <si>
    <t>ANEXO 30.5 DISTRIBUCIÓN DE LOS RECURSOS CORRESPONDIENTES AL FONDO PARA AMPLIAR Y DIVERSIFICAR LA OFERTA EDUCATIVA EN EDUCACIÓN SUPERIOR (pesos)</t>
  </si>
  <si>
    <t>ANEXO 16.1.1. LÍMITES DE PERCEPCIÓN ORDINARIA TOTAL EN LA ADMINISTRACIÓN PÚBLICA FEDERAL (NETOS MENSUALES) (pesos)</t>
  </si>
  <si>
    <t>ANEXO 16.2.2.  LÍMITES DE PAGOS EXTRAORDINARIOS ANUALES NETOS (pesos)</t>
  </si>
  <si>
    <t>ANEXO 30.6  DISTRIBUCIÓN DE LOS RECURSOS CORRESPONDIENTES AL PROGRAMA INTEGRAL DE FORTALECIMIENTO INSTITUCIONAL (PIFI; pesos)</t>
  </si>
  <si>
    <t>Aprobado 
anual</t>
  </si>
  <si>
    <t>Pagado</t>
  </si>
  <si>
    <t>Porcentaje de avance</t>
  </si>
  <si>
    <t>(a)</t>
  </si>
  <si>
    <t>(b)</t>
  </si>
  <si>
    <t>(c)</t>
  </si>
  <si>
    <t>(d)</t>
  </si>
  <si>
    <t>(e)</t>
  </si>
  <si>
    <t>(f)</t>
  </si>
  <si>
    <t>(f) / (c) * 100</t>
  </si>
  <si>
    <t>Autorizado anual</t>
  </si>
  <si>
    <t>Autorizado al periodo</t>
  </si>
  <si>
    <t>Autorizado  al periodo</t>
  </si>
  <si>
    <t>Programa de Creación de Empleo en Zonas Marginadas</t>
  </si>
  <si>
    <t>Programa de Atención a Personas con Discapacidad</t>
  </si>
  <si>
    <t>Programa para la Protección y el Desarrollo Integral de la Infancia</t>
  </si>
  <si>
    <t>Programa de Atención a Familias y Población Vulnerable</t>
  </si>
  <si>
    <t>Fondo de Aportaciones para la Educación Básica y Normal</t>
  </si>
  <si>
    <t>Becas de posgrado y otras modalidades de apoyo a la calidad</t>
  </si>
  <si>
    <t>(f) / (b) * 100</t>
  </si>
  <si>
    <t>Avance del presupuesto</t>
  </si>
  <si>
    <t>Fuente: Dependencias y entidades de la Administración Pública Federal.</t>
  </si>
  <si>
    <t>Nota: Las sumas parciales pueden no coincidir con el total, así como los cálculos porcentuales, debido al redondeo de las cifras.</t>
  </si>
  <si>
    <t>ARTÍCULO DÉCIMO NOVENO TRANSITORIO DEL PEF 2012</t>
  </si>
  <si>
    <t>Enero-diciembre</t>
  </si>
  <si>
    <t>Ene - Octubre</t>
  </si>
  <si>
    <t>Ene - Noviembre</t>
  </si>
  <si>
    <t>Ene - Diciembre</t>
  </si>
  <si>
    <t>(Pesos)</t>
  </si>
</sst>
</file>

<file path=xl/styles.xml><?xml version="1.0" encoding="utf-8"?>
<styleSheet xmlns="http://schemas.openxmlformats.org/spreadsheetml/2006/main">
  <numFmts count="15">
    <numFmt numFmtId="43" formatCode="_-* #,##0.00_-;\-* #,##0.00_-;_-* &quot;-&quot;??_-;_-@_-"/>
    <numFmt numFmtId="164" formatCode="_-* #,##0_-;\-* #,##0_-;_-* &quot;-&quot;??_-;_-@_-"/>
    <numFmt numFmtId="165" formatCode="General_)"/>
    <numFmt numFmtId="166" formatCode="_-[$€-2]* #,##0.00_-;\-[$€-2]* #,##0.00_-;_-[$€-2]* &quot;-&quot;??_-"/>
    <numFmt numFmtId="167" formatCode="*-;*-;*-;*-"/>
    <numFmt numFmtId="168" formatCode="* @"/>
    <numFmt numFmtId="169" formatCode="0.0%"/>
    <numFmt numFmtId="170" formatCode="#,##0.0"/>
    <numFmt numFmtId="171" formatCode="#,##0;[Red]#,##0"/>
    <numFmt numFmtId="172" formatCode="00"/>
    <numFmt numFmtId="173" formatCode="000"/>
    <numFmt numFmtId="174" formatCode="_-* #,##0.00\ _€_-;\-* #,##0.00\ _€_-;_-* &quot;-&quot;??\ _€_-;_-@_-"/>
    <numFmt numFmtId="175" formatCode="0.0"/>
    <numFmt numFmtId="176" formatCode="#,##0_ ;\-#,##0\ "/>
    <numFmt numFmtId="177" formatCode="#,##0.0_ ;\-#,##0.0\ 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color rgb="FFFF0000"/>
      <name val="Arial Narrow"/>
      <family val="2"/>
    </font>
    <font>
      <b/>
      <strike/>
      <sz val="10"/>
      <name val="Arial"/>
      <family val="2"/>
    </font>
    <font>
      <sz val="10"/>
      <name val="Arial Narrow"/>
      <family val="2"/>
    </font>
    <font>
      <strike/>
      <sz val="10"/>
      <name val="Arial"/>
      <family val="2"/>
    </font>
    <font>
      <sz val="10"/>
      <name val="Courier"/>
      <family val="3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name val="Tms Rmn"/>
    </font>
    <font>
      <sz val="10"/>
      <color indexed="8"/>
      <name val="MS Sans Serif"/>
      <family val="2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theme="0"/>
      <name val="Arial Narrow"/>
      <family val="2"/>
    </font>
    <font>
      <b/>
      <sz val="9"/>
      <color indexed="8"/>
      <name val="Arial Narrow"/>
      <family val="2"/>
    </font>
    <font>
      <b/>
      <sz val="9"/>
      <color theme="0"/>
      <name val="Arial Narrow"/>
      <family val="2"/>
    </font>
    <font>
      <sz val="9"/>
      <color indexed="22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trike/>
      <sz val="9"/>
      <name val="Arial Narrow"/>
      <family val="2"/>
    </font>
    <font>
      <strike/>
      <sz val="9"/>
      <name val="Arial Narrow"/>
      <family val="2"/>
    </font>
    <font>
      <b/>
      <sz val="11"/>
      <color indexed="8"/>
      <name val="Calibri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0"/>
      <name val="Arial"/>
      <family val="2"/>
    </font>
    <font>
      <sz val="10"/>
      <name val="Arial Narrow"/>
      <family val="2"/>
    </font>
    <font>
      <u/>
      <sz val="11"/>
      <color indexed="12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b/>
      <sz val="10"/>
      <color theme="1"/>
      <name val="Adobe Caslon Pro"/>
      <family val="1"/>
    </font>
    <font>
      <sz val="10"/>
      <color theme="1"/>
      <name val="Adobe Caslon Pro"/>
      <family val="1"/>
    </font>
    <font>
      <sz val="10"/>
      <color theme="0"/>
      <name val="Adobe Caslon Pro"/>
      <family val="1"/>
    </font>
    <font>
      <sz val="9"/>
      <color theme="1"/>
      <name val="Adobe Caslon Pro"/>
      <family val="1"/>
    </font>
    <font>
      <sz val="9"/>
      <name val="Adobe Caslon Pro"/>
      <family val="1"/>
    </font>
    <font>
      <b/>
      <sz val="9"/>
      <name val="Adobe Caslon Pro"/>
      <family val="1"/>
    </font>
  </fonts>
  <fills count="4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rgb="FF7030A0"/>
        <bgColor theme="6" tint="-0.249977111117893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6" tint="0.79998168889431442"/>
      </top>
      <bottom style="thin">
        <color theme="6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/>
      <bottom style="thin">
        <color theme="6" tint="0.79998168889431442"/>
      </bottom>
      <diagonal/>
    </border>
    <border>
      <left/>
      <right/>
      <top/>
      <bottom style="thin">
        <color theme="6"/>
      </bottom>
      <diagonal/>
    </border>
    <border>
      <left/>
      <right/>
      <top style="thin">
        <color theme="6" tint="0.79998168889431442"/>
      </top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-0.249977111117893"/>
      </top>
      <bottom style="thin">
        <color theme="6" tint="0.599993896298104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theme="6" tint="-0.249977111117893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10" fillId="0" borderId="0"/>
    <xf numFmtId="165" fontId="12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167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5" fillId="0" borderId="0"/>
    <xf numFmtId="0" fontId="17" fillId="0" borderId="0"/>
    <xf numFmtId="9" fontId="6" fillId="0" borderId="0" applyFont="0" applyFill="0" applyBorder="0" applyAlignment="0" applyProtection="0"/>
    <xf numFmtId="168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10" fillId="0" borderId="0"/>
    <xf numFmtId="0" fontId="6" fillId="0" borderId="0"/>
    <xf numFmtId="0" fontId="10" fillId="0" borderId="0"/>
    <xf numFmtId="0" fontId="14" fillId="0" borderId="0"/>
    <xf numFmtId="0" fontId="6" fillId="0" borderId="0"/>
    <xf numFmtId="0" fontId="10" fillId="0" borderId="0"/>
    <xf numFmtId="0" fontId="14" fillId="0" borderId="0"/>
    <xf numFmtId="43" fontId="30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33" fillId="0" borderId="0"/>
    <xf numFmtId="0" fontId="3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4" fillId="0" borderId="0"/>
    <xf numFmtId="0" fontId="1" fillId="0" borderId="0"/>
    <xf numFmtId="0" fontId="36" fillId="0" borderId="0" applyNumberFormat="0" applyFill="0" applyBorder="0" applyAlignment="0" applyProtection="0"/>
    <xf numFmtId="0" fontId="37" fillId="0" borderId="37" applyNumberFormat="0" applyFill="0" applyAlignment="0" applyProtection="0"/>
    <xf numFmtId="0" fontId="38" fillId="0" borderId="38" applyNumberFormat="0" applyFill="0" applyAlignment="0" applyProtection="0"/>
    <xf numFmtId="0" fontId="39" fillId="0" borderId="39" applyNumberFormat="0" applyFill="0" applyAlignment="0" applyProtection="0"/>
    <xf numFmtId="0" fontId="39" fillId="0" borderId="0" applyNumberFormat="0" applyFill="0" applyBorder="0" applyAlignment="0" applyProtection="0"/>
    <xf numFmtId="0" fontId="40" fillId="17" borderId="0" applyNumberFormat="0" applyBorder="0" applyAlignment="0" applyProtection="0"/>
    <xf numFmtId="0" fontId="41" fillId="18" borderId="0" applyNumberFormat="0" applyBorder="0" applyAlignment="0" applyProtection="0"/>
    <xf numFmtId="0" fontId="42" fillId="19" borderId="0" applyNumberFormat="0" applyBorder="0" applyAlignment="0" applyProtection="0"/>
    <xf numFmtId="0" fontId="43" fillId="20" borderId="40" applyNumberFormat="0" applyAlignment="0" applyProtection="0"/>
    <xf numFmtId="0" fontId="44" fillId="21" borderId="41" applyNumberFormat="0" applyAlignment="0" applyProtection="0"/>
    <xf numFmtId="0" fontId="45" fillId="21" borderId="40" applyNumberFormat="0" applyAlignment="0" applyProtection="0"/>
    <xf numFmtId="0" fontId="46" fillId="0" borderId="42" applyNumberFormat="0" applyFill="0" applyAlignment="0" applyProtection="0"/>
    <xf numFmtId="0" fontId="2" fillId="22" borderId="43" applyNumberFormat="0" applyAlignment="0" applyProtection="0"/>
    <xf numFmtId="0" fontId="47" fillId="0" borderId="0" applyNumberFormat="0" applyFill="0" applyBorder="0" applyAlignment="0" applyProtection="0"/>
    <xf numFmtId="0" fontId="1" fillId="23" borderId="44" applyNumberFormat="0" applyFont="0" applyAlignment="0" applyProtection="0"/>
    <xf numFmtId="0" fontId="48" fillId="0" borderId="0" applyNumberFormat="0" applyFill="0" applyBorder="0" applyAlignment="0" applyProtection="0"/>
    <xf numFmtId="0" fontId="3" fillId="0" borderId="45" applyNumberFormat="0" applyFill="0" applyAlignment="0" applyProtection="0"/>
    <xf numFmtId="0" fontId="1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8" fillId="47" borderId="0" applyNumberFormat="0" applyBorder="0" applyAlignment="0" applyProtection="0"/>
    <xf numFmtId="0" fontId="49" fillId="0" borderId="0"/>
  </cellStyleXfs>
  <cellXfs count="436">
    <xf numFmtId="0" fontId="0" fillId="0" borderId="0" xfId="0"/>
    <xf numFmtId="3" fontId="0" fillId="0" borderId="0" xfId="0" applyNumberFormat="1"/>
    <xf numFmtId="16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pivotButton="1" applyNumberFormat="1"/>
    <xf numFmtId="164" fontId="0" fillId="0" borderId="0" xfId="0" applyNumberFormat="1" applyFill="1"/>
    <xf numFmtId="0" fontId="5" fillId="0" borderId="0" xfId="0" applyFont="1"/>
    <xf numFmtId="0" fontId="4" fillId="0" borderId="0" xfId="0" applyFont="1"/>
    <xf numFmtId="0" fontId="2" fillId="0" borderId="0" xfId="0" pivotButton="1" applyFont="1" applyAlignment="1">
      <alignment horizontal="center" vertical="center"/>
    </xf>
    <xf numFmtId="0" fontId="2" fillId="0" borderId="0" xfId="0" pivotButton="1" applyFont="1"/>
    <xf numFmtId="0" fontId="2" fillId="0" borderId="0" xfId="0" applyFont="1" applyAlignment="1">
      <alignment horizontal="center" vertical="center"/>
    </xf>
    <xf numFmtId="0" fontId="0" fillId="0" borderId="0" xfId="0" pivotButton="1" applyAlignment="1">
      <alignment wrapText="1"/>
    </xf>
    <xf numFmtId="164" fontId="0" fillId="0" borderId="0" xfId="1" applyNumberFormat="1" applyFont="1" applyAlignment="1">
      <alignment wrapText="1"/>
    </xf>
    <xf numFmtId="0" fontId="0" fillId="0" borderId="0" xfId="0" applyAlignment="1">
      <alignment wrapText="1"/>
    </xf>
    <xf numFmtId="0" fontId="0" fillId="0" borderId="0" xfId="0" pivotButton="1" applyAlignment="1">
      <alignment vertical="center" wrapText="1"/>
    </xf>
    <xf numFmtId="164" fontId="0" fillId="0" borderId="0" xfId="1" applyNumberFormat="1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Fill="1"/>
    <xf numFmtId="0" fontId="2" fillId="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7" fillId="7" borderId="0" xfId="2" applyFont="1" applyFill="1" applyBorder="1" applyAlignment="1" applyProtection="1">
      <alignment horizontal="left" vertical="center"/>
      <protection locked="0"/>
    </xf>
    <xf numFmtId="49" fontId="7" fillId="7" borderId="2" xfId="2" applyNumberFormat="1" applyFont="1" applyFill="1" applyBorder="1" applyAlignment="1" applyProtection="1">
      <alignment horizontal="center" vertical="center"/>
      <protection locked="0"/>
    </xf>
    <xf numFmtId="0" fontId="7" fillId="7" borderId="2" xfId="2" applyFont="1" applyFill="1" applyBorder="1" applyAlignment="1" applyProtection="1">
      <alignment vertical="center"/>
      <protection locked="0"/>
    </xf>
    <xf numFmtId="0" fontId="7" fillId="8" borderId="4" xfId="2" applyFont="1" applyFill="1" applyBorder="1" applyAlignment="1" applyProtection="1">
      <alignment horizontal="left" vertical="center"/>
      <protection locked="0"/>
    </xf>
    <xf numFmtId="0" fontId="7" fillId="8" borderId="4" xfId="2" applyFont="1" applyFill="1" applyBorder="1" applyAlignment="1" applyProtection="1">
      <alignment vertical="center"/>
      <protection locked="0"/>
    </xf>
    <xf numFmtId="0" fontId="7" fillId="5" borderId="4" xfId="2" applyFont="1" applyFill="1" applyBorder="1" applyAlignment="1" applyProtection="1">
      <alignment horizontal="center" vertical="center"/>
      <protection locked="0"/>
    </xf>
    <xf numFmtId="0" fontId="7" fillId="5" borderId="4" xfId="2" applyFont="1" applyFill="1" applyBorder="1" applyAlignment="1" applyProtection="1">
      <alignment vertical="center"/>
      <protection locked="0"/>
    </xf>
    <xf numFmtId="0" fontId="6" fillId="5" borderId="4" xfId="2" applyFont="1" applyFill="1" applyBorder="1" applyAlignment="1" applyProtection="1">
      <alignment vertical="center"/>
      <protection locked="0"/>
    </xf>
    <xf numFmtId="0" fontId="6" fillId="5" borderId="4" xfId="2" applyFont="1" applyFill="1" applyBorder="1" applyAlignment="1" applyProtection="1">
      <alignment horizontal="left" vertical="center"/>
      <protection locked="0"/>
    </xf>
    <xf numFmtId="0" fontId="6" fillId="5" borderId="4" xfId="2" applyFont="1" applyFill="1" applyBorder="1" applyAlignment="1" applyProtection="1">
      <alignment vertical="center" wrapText="1"/>
      <protection locked="0"/>
    </xf>
    <xf numFmtId="0" fontId="6" fillId="5" borderId="4" xfId="2" applyFont="1" applyFill="1" applyBorder="1" applyAlignment="1" applyProtection="1">
      <alignment horizontal="center" vertical="center"/>
      <protection locked="0"/>
    </xf>
    <xf numFmtId="0" fontId="9" fillId="8" borderId="4" xfId="2" applyFont="1" applyFill="1" applyBorder="1" applyAlignment="1" applyProtection="1">
      <alignment vertical="center"/>
      <protection locked="0"/>
    </xf>
    <xf numFmtId="0" fontId="6" fillId="5" borderId="4" xfId="3" applyFont="1" applyFill="1" applyBorder="1" applyAlignment="1" applyProtection="1">
      <alignment vertical="center"/>
      <protection locked="0"/>
    </xf>
    <xf numFmtId="0" fontId="7" fillId="5" borderId="5" xfId="2" applyFont="1" applyFill="1" applyBorder="1" applyAlignment="1" applyProtection="1">
      <alignment horizontal="center" vertical="center"/>
      <protection locked="0"/>
    </xf>
    <xf numFmtId="0" fontId="7" fillId="5" borderId="6" xfId="2" applyFont="1" applyFill="1" applyBorder="1" applyAlignment="1" applyProtection="1">
      <alignment vertical="center"/>
      <protection locked="0"/>
    </xf>
    <xf numFmtId="164" fontId="0" fillId="0" borderId="0" xfId="0" pivotButton="1" applyNumberFormat="1" applyAlignment="1">
      <alignment vertical="center"/>
    </xf>
    <xf numFmtId="164" fontId="0" fillId="0" borderId="0" xfId="0" applyNumberFormat="1" applyFill="1" applyAlignment="1">
      <alignment vertical="center"/>
    </xf>
    <xf numFmtId="164" fontId="0" fillId="0" borderId="0" xfId="0" applyNumberFormat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64" fontId="0" fillId="0" borderId="0" xfId="1" applyNumberFormat="1" applyFont="1" applyAlignment="1">
      <alignment vertical="center"/>
    </xf>
    <xf numFmtId="49" fontId="7" fillId="6" borderId="1" xfId="2" applyNumberFormat="1" applyFont="1" applyFill="1" applyBorder="1" applyAlignment="1" applyProtection="1">
      <alignment horizontal="center" vertical="center"/>
      <protection locked="0"/>
    </xf>
    <xf numFmtId="0" fontId="6" fillId="0" borderId="7" xfId="2" applyFont="1" applyFill="1" applyBorder="1" applyAlignment="1" applyProtection="1">
      <alignment horizontal="center" vertical="center"/>
      <protection locked="0"/>
    </xf>
    <xf numFmtId="0" fontId="6" fillId="5" borderId="4" xfId="2" applyFont="1" applyFill="1" applyBorder="1" applyAlignment="1" applyProtection="1">
      <alignment horizontal="left" vertical="center" wrapText="1"/>
      <protection locked="0"/>
    </xf>
    <xf numFmtId="0" fontId="7" fillId="5" borderId="8" xfId="2" applyFont="1" applyFill="1" applyBorder="1" applyAlignment="1" applyProtection="1">
      <alignment horizontal="center" vertical="center" wrapText="1"/>
      <protection locked="0"/>
    </xf>
    <xf numFmtId="169" fontId="7" fillId="5" borderId="8" xfId="23" applyNumberFormat="1" applyFont="1" applyFill="1" applyBorder="1" applyAlignment="1" applyProtection="1">
      <alignment horizontal="center" vertical="center" wrapText="1"/>
      <protection locked="0"/>
    </xf>
    <xf numFmtId="3" fontId="6" fillId="5" borderId="0" xfId="2" applyNumberFormat="1" applyFont="1" applyFill="1" applyAlignment="1" applyProtection="1">
      <alignment vertical="center"/>
      <protection locked="0"/>
    </xf>
    <xf numFmtId="169" fontId="7" fillId="6" borderId="1" xfId="23" applyNumberFormat="1" applyFont="1" applyFill="1" applyBorder="1" applyAlignment="1" applyProtection="1">
      <alignment horizontal="center" vertical="center"/>
      <protection locked="0"/>
    </xf>
    <xf numFmtId="0" fontId="2" fillId="11" borderId="15" xfId="0" applyFont="1" applyFill="1" applyBorder="1" applyAlignment="1">
      <alignment horizontal="center" vertical="center"/>
    </xf>
    <xf numFmtId="3" fontId="19" fillId="12" borderId="1" xfId="2" applyNumberFormat="1" applyFont="1" applyFill="1" applyBorder="1" applyAlignment="1" applyProtection="1">
      <alignment horizontal="center" vertical="center"/>
      <protection locked="0"/>
    </xf>
    <xf numFmtId="3" fontId="7" fillId="6" borderId="1" xfId="2" applyNumberFormat="1" applyFont="1" applyFill="1" applyBorder="1" applyAlignment="1" applyProtection="1">
      <alignment horizontal="center" vertical="center"/>
      <protection locked="0"/>
    </xf>
    <xf numFmtId="3" fontId="7" fillId="6" borderId="1" xfId="0" applyNumberFormat="1" applyFont="1" applyFill="1" applyBorder="1" applyAlignment="1" applyProtection="1">
      <alignment horizontal="center" vertical="center" wrapText="1"/>
      <protection locked="0"/>
    </xf>
    <xf numFmtId="3" fontId="19" fillId="4" borderId="1" xfId="0" applyNumberFormat="1" applyFont="1" applyFill="1" applyBorder="1" applyAlignment="1" applyProtection="1">
      <alignment horizontal="center" vertical="center" wrapText="1"/>
      <protection locked="0"/>
    </xf>
    <xf numFmtId="3" fontId="19" fillId="4" borderId="1" xfId="2" applyNumberFormat="1" applyFont="1" applyFill="1" applyBorder="1" applyAlignment="1" applyProtection="1">
      <alignment horizontal="center" vertical="center"/>
      <protection locked="0"/>
    </xf>
    <xf numFmtId="0" fontId="7" fillId="7" borderId="2" xfId="2" applyFont="1" applyFill="1" applyBorder="1" applyAlignment="1" applyProtection="1">
      <alignment horizontal="center" vertical="center"/>
      <protection locked="0"/>
    </xf>
    <xf numFmtId="169" fontId="7" fillId="7" borderId="2" xfId="23" applyNumberFormat="1" applyFont="1" applyFill="1" applyBorder="1" applyAlignment="1" applyProtection="1">
      <alignment horizontal="center" vertical="center"/>
      <protection locked="0"/>
    </xf>
    <xf numFmtId="3" fontId="7" fillId="7" borderId="3" xfId="2" applyNumberFormat="1" applyFont="1" applyFill="1" applyBorder="1" applyAlignment="1" applyProtection="1">
      <alignment vertical="center"/>
      <protection locked="0"/>
    </xf>
    <xf numFmtId="3" fontId="7" fillId="7" borderId="0" xfId="2" applyNumberFormat="1" applyFont="1" applyFill="1" applyBorder="1" applyAlignment="1" applyProtection="1">
      <alignment vertical="center"/>
      <protection locked="0"/>
    </xf>
    <xf numFmtId="0" fontId="7" fillId="8" borderId="4" xfId="2" applyFont="1" applyFill="1" applyBorder="1" applyAlignment="1" applyProtection="1">
      <alignment horizontal="center" vertical="center"/>
      <protection locked="0"/>
    </xf>
    <xf numFmtId="169" fontId="7" fillId="8" borderId="4" xfId="23" applyNumberFormat="1" applyFont="1" applyFill="1" applyBorder="1" applyAlignment="1" applyProtection="1">
      <alignment horizontal="center" vertical="center"/>
      <protection locked="0"/>
    </xf>
    <xf numFmtId="3" fontId="7" fillId="8" borderId="4" xfId="2" applyNumberFormat="1" applyFont="1" applyFill="1" applyBorder="1" applyAlignment="1" applyProtection="1">
      <alignment vertical="center"/>
      <protection locked="0"/>
    </xf>
    <xf numFmtId="3" fontId="7" fillId="0" borderId="4" xfId="2" applyNumberFormat="1" applyFont="1" applyFill="1" applyBorder="1" applyAlignment="1" applyProtection="1">
      <alignment vertical="center"/>
      <protection locked="0"/>
    </xf>
    <xf numFmtId="169" fontId="7" fillId="5" borderId="4" xfId="23" applyNumberFormat="1" applyFont="1" applyFill="1" applyBorder="1" applyAlignment="1" applyProtection="1">
      <alignment horizontal="center" vertical="center"/>
      <protection locked="0"/>
    </xf>
    <xf numFmtId="3" fontId="7" fillId="5" borderId="4" xfId="2" applyNumberFormat="1" applyFont="1" applyFill="1" applyBorder="1" applyAlignment="1" applyProtection="1">
      <alignment vertical="center"/>
      <protection locked="0"/>
    </xf>
    <xf numFmtId="169" fontId="6" fillId="5" borderId="4" xfId="23" applyNumberFormat="1" applyFont="1" applyFill="1" applyBorder="1" applyAlignment="1" applyProtection="1">
      <alignment horizontal="center" vertical="center"/>
      <protection locked="0"/>
    </xf>
    <xf numFmtId="3" fontId="6" fillId="5" borderId="4" xfId="2" applyNumberFormat="1" applyFont="1" applyFill="1" applyBorder="1" applyAlignment="1" applyProtection="1">
      <alignment horizontal="right" vertical="center"/>
      <protection locked="0"/>
    </xf>
    <xf numFmtId="3" fontId="6" fillId="5" borderId="4" xfId="2" applyNumberFormat="1" applyFont="1" applyFill="1" applyBorder="1" applyAlignment="1" applyProtection="1">
      <alignment vertical="center"/>
      <protection locked="0"/>
    </xf>
    <xf numFmtId="3" fontId="6" fillId="0" borderId="4" xfId="2" applyNumberFormat="1" applyFont="1" applyFill="1" applyBorder="1" applyAlignment="1" applyProtection="1">
      <alignment vertical="center"/>
      <protection locked="0"/>
    </xf>
    <xf numFmtId="3" fontId="7" fillId="4" borderId="4" xfId="2" applyNumberFormat="1" applyFont="1" applyFill="1" applyBorder="1" applyAlignment="1" applyProtection="1">
      <alignment vertical="center"/>
      <protection locked="0"/>
    </xf>
    <xf numFmtId="170" fontId="7" fillId="8" borderId="0" xfId="2" applyNumberFormat="1" applyFont="1" applyFill="1" applyBorder="1" applyAlignment="1" applyProtection="1">
      <alignment vertical="center"/>
      <protection locked="0"/>
    </xf>
    <xf numFmtId="170" fontId="0" fillId="0" borderId="0" xfId="0" applyNumberFormat="1"/>
    <xf numFmtId="10" fontId="6" fillId="5" borderId="4" xfId="23" applyNumberFormat="1" applyFont="1" applyFill="1" applyBorder="1" applyAlignment="1" applyProtection="1">
      <alignment horizontal="center" vertical="center"/>
      <protection locked="0"/>
    </xf>
    <xf numFmtId="3" fontId="6" fillId="0" borderId="4" xfId="2" applyNumberFormat="1" applyFont="1" applyFill="1" applyBorder="1" applyAlignment="1" applyProtection="1">
      <alignment horizontal="right" vertical="center"/>
      <protection locked="0"/>
    </xf>
    <xf numFmtId="0" fontId="6" fillId="5" borderId="4" xfId="2" applyFont="1" applyFill="1" applyBorder="1" applyAlignment="1" applyProtection="1">
      <alignment horizontal="center" vertical="center" wrapText="1"/>
      <protection locked="0"/>
    </xf>
    <xf numFmtId="10" fontId="6" fillId="5" borderId="4" xfId="2" applyNumberFormat="1" applyFont="1" applyFill="1" applyBorder="1" applyAlignment="1" applyProtection="1">
      <alignment horizontal="center" vertical="center" wrapText="1"/>
      <protection locked="0"/>
    </xf>
    <xf numFmtId="3" fontId="6" fillId="3" borderId="4" xfId="2" applyNumberFormat="1" applyFont="1" applyFill="1" applyBorder="1" applyAlignment="1" applyProtection="1">
      <alignment horizontal="right" vertical="center"/>
      <protection locked="0"/>
    </xf>
    <xf numFmtId="3" fontId="6" fillId="3" borderId="4" xfId="2" applyNumberFormat="1" applyFont="1" applyFill="1" applyBorder="1" applyAlignment="1" applyProtection="1">
      <alignment vertical="center"/>
      <protection locked="0"/>
    </xf>
    <xf numFmtId="0" fontId="6" fillId="3" borderId="4" xfId="2" applyFont="1" applyFill="1" applyBorder="1" applyAlignment="1" applyProtection="1">
      <alignment horizontal="center" vertical="center"/>
      <protection locked="0"/>
    </xf>
    <xf numFmtId="169" fontId="6" fillId="5" borderId="4" xfId="23" applyNumberFormat="1" applyFont="1" applyFill="1" applyBorder="1" applyAlignment="1" applyProtection="1">
      <alignment horizontal="center" vertical="center" wrapText="1"/>
      <protection locked="0"/>
    </xf>
    <xf numFmtId="3" fontId="7" fillId="8" borderId="0" xfId="2" applyNumberFormat="1" applyFont="1" applyFill="1" applyBorder="1" applyAlignment="1" applyProtection="1">
      <alignment vertical="center"/>
      <protection locked="0"/>
    </xf>
    <xf numFmtId="2" fontId="0" fillId="0" borderId="0" xfId="0" applyNumberFormat="1"/>
    <xf numFmtId="2" fontId="7" fillId="5" borderId="0" xfId="2" applyNumberFormat="1" applyFont="1" applyFill="1" applyBorder="1" applyAlignment="1" applyProtection="1">
      <alignment vertical="center"/>
      <protection locked="0"/>
    </xf>
    <xf numFmtId="0" fontId="9" fillId="8" borderId="4" xfId="2" applyFont="1" applyFill="1" applyBorder="1" applyAlignment="1" applyProtection="1">
      <alignment horizontal="center" vertical="center"/>
      <protection locked="0"/>
    </xf>
    <xf numFmtId="169" fontId="9" fillId="8" borderId="4" xfId="23" applyNumberFormat="1" applyFont="1" applyFill="1" applyBorder="1" applyAlignment="1" applyProtection="1">
      <alignment horizontal="center" vertical="center"/>
      <protection locked="0"/>
    </xf>
    <xf numFmtId="169" fontId="6" fillId="5" borderId="4" xfId="2" applyNumberFormat="1" applyFont="1" applyFill="1" applyBorder="1" applyAlignment="1" applyProtection="1">
      <alignment horizontal="center" vertical="center"/>
      <protection locked="0"/>
    </xf>
    <xf numFmtId="0" fontId="6" fillId="0" borderId="4" xfId="2" applyFont="1" applyFill="1" applyBorder="1" applyAlignment="1" applyProtection="1">
      <alignment horizontal="center" vertical="center"/>
      <protection locked="0"/>
    </xf>
    <xf numFmtId="169" fontId="0" fillId="0" borderId="0" xfId="23" applyNumberFormat="1" applyFont="1" applyAlignment="1">
      <alignment horizontal="center"/>
    </xf>
    <xf numFmtId="0" fontId="6" fillId="5" borderId="4" xfId="3" applyFont="1" applyFill="1" applyBorder="1" applyAlignment="1" applyProtection="1">
      <alignment horizontal="center" vertical="center"/>
      <protection locked="0"/>
    </xf>
    <xf numFmtId="0" fontId="6" fillId="5" borderId="6" xfId="2" applyFont="1" applyFill="1" applyBorder="1" applyAlignment="1" applyProtection="1">
      <alignment horizontal="center" vertical="center"/>
      <protection locked="0"/>
    </xf>
    <xf numFmtId="0" fontId="7" fillId="5" borderId="6" xfId="2" applyFont="1" applyFill="1" applyBorder="1" applyAlignment="1" applyProtection="1">
      <alignment horizontal="center" vertical="center"/>
      <protection locked="0"/>
    </xf>
    <xf numFmtId="3" fontId="7" fillId="5" borderId="5" xfId="2" applyNumberFormat="1" applyFont="1" applyFill="1" applyBorder="1" applyAlignment="1" applyProtection="1">
      <alignment vertical="center"/>
      <protection locked="0"/>
    </xf>
    <xf numFmtId="0" fontId="6" fillId="0" borderId="7" xfId="2" applyFont="1" applyFill="1" applyBorder="1" applyAlignment="1" applyProtection="1">
      <alignment vertical="center"/>
      <protection locked="0"/>
    </xf>
    <xf numFmtId="169" fontId="6" fillId="0" borderId="7" xfId="23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3" fontId="0" fillId="0" borderId="0" xfId="0" applyNumberFormat="1" applyAlignment="1">
      <alignment horizontal="center"/>
    </xf>
    <xf numFmtId="3" fontId="0" fillId="0" borderId="0" xfId="0" applyNumberFormat="1" applyFill="1"/>
    <xf numFmtId="0" fontId="6" fillId="5" borderId="4" xfId="2" applyFont="1" applyFill="1" applyBorder="1" applyAlignment="1" applyProtection="1">
      <alignment horizontal="left" vertical="center" indent="1"/>
      <protection locked="0"/>
    </xf>
    <xf numFmtId="0" fontId="6" fillId="5" borderId="4" xfId="2" applyFont="1" applyFill="1" applyBorder="1" applyAlignment="1" applyProtection="1">
      <alignment horizontal="left" vertical="center" indent="2"/>
      <protection locked="0"/>
    </xf>
    <xf numFmtId="0" fontId="6" fillId="5" borderId="4" xfId="2" applyFont="1" applyFill="1" applyBorder="1" applyAlignment="1" applyProtection="1">
      <alignment horizontal="left" vertical="center" indent="3"/>
      <protection locked="0"/>
    </xf>
    <xf numFmtId="0" fontId="6" fillId="5" borderId="4" xfId="2" applyFont="1" applyFill="1" applyBorder="1" applyAlignment="1" applyProtection="1">
      <alignment horizontal="left" vertical="center" indent="4"/>
      <protection locked="0"/>
    </xf>
    <xf numFmtId="0" fontId="6" fillId="5" borderId="4" xfId="2" applyFont="1" applyFill="1" applyBorder="1" applyAlignment="1" applyProtection="1">
      <alignment horizontal="left" vertical="center" indent="5"/>
      <protection locked="0"/>
    </xf>
    <xf numFmtId="0" fontId="6" fillId="3" borderId="4" xfId="2" applyFont="1" applyFill="1" applyBorder="1" applyAlignment="1" applyProtection="1">
      <alignment horizontal="left" vertical="center" indent="2"/>
      <protection locked="0"/>
    </xf>
    <xf numFmtId="169" fontId="6" fillId="5" borderId="4" xfId="23" applyNumberFormat="1" applyFont="1" applyFill="1" applyBorder="1" applyAlignment="1" applyProtection="1">
      <alignment horizontal="left" vertical="center" indent="2"/>
      <protection locked="0"/>
    </xf>
    <xf numFmtId="3" fontId="6" fillId="3" borderId="4" xfId="2" applyNumberFormat="1" applyFont="1" applyFill="1" applyBorder="1" applyAlignment="1" applyProtection="1">
      <alignment horizontal="left" vertical="center" indent="2"/>
      <protection locked="0"/>
    </xf>
    <xf numFmtId="3" fontId="6" fillId="0" borderId="4" xfId="2" applyNumberFormat="1" applyFont="1" applyFill="1" applyBorder="1" applyAlignment="1" applyProtection="1">
      <alignment horizontal="left" vertical="center" indent="2"/>
      <protection locked="0"/>
    </xf>
    <xf numFmtId="3" fontId="6" fillId="5" borderId="4" xfId="2" applyNumberFormat="1" applyFont="1" applyFill="1" applyBorder="1" applyAlignment="1" applyProtection="1">
      <alignment horizontal="left" vertical="center" indent="2"/>
      <protection locked="0"/>
    </xf>
    <xf numFmtId="0" fontId="0" fillId="0" borderId="0" xfId="0" applyAlignment="1">
      <alignment horizontal="left" indent="2"/>
    </xf>
    <xf numFmtId="0" fontId="6" fillId="3" borderId="4" xfId="2" applyFont="1" applyFill="1" applyBorder="1" applyAlignment="1" applyProtection="1">
      <alignment vertical="center"/>
      <protection locked="0"/>
    </xf>
    <xf numFmtId="0" fontId="6" fillId="3" borderId="4" xfId="2" applyFont="1" applyFill="1" applyBorder="1" applyAlignment="1" applyProtection="1">
      <alignment horizontal="left" vertical="center"/>
      <protection locked="0"/>
    </xf>
    <xf numFmtId="169" fontId="6" fillId="3" borderId="4" xfId="23" applyNumberFormat="1" applyFont="1" applyFill="1" applyBorder="1" applyAlignment="1" applyProtection="1">
      <alignment horizontal="center" vertical="center"/>
      <protection locked="0"/>
    </xf>
    <xf numFmtId="0" fontId="0" fillId="3" borderId="0" xfId="0" applyFill="1"/>
    <xf numFmtId="170" fontId="0" fillId="3" borderId="0" xfId="0" applyNumberFormat="1" applyFill="1"/>
    <xf numFmtId="0" fontId="6" fillId="5" borderId="4" xfId="2" applyFont="1" applyFill="1" applyBorder="1" applyAlignment="1" applyProtection="1">
      <alignment horizontal="left" vertical="center" indent="6"/>
      <protection locked="0"/>
    </xf>
    <xf numFmtId="0" fontId="6" fillId="3" borderId="4" xfId="2" applyFont="1" applyFill="1" applyBorder="1" applyAlignment="1" applyProtection="1">
      <alignment horizontal="left" vertical="center" indent="4"/>
      <protection locked="0"/>
    </xf>
    <xf numFmtId="0" fontId="6" fillId="5" borderId="6" xfId="2" applyFont="1" applyFill="1" applyBorder="1" applyAlignment="1" applyProtection="1">
      <alignment horizontal="left" vertical="center"/>
      <protection locked="0"/>
    </xf>
    <xf numFmtId="0" fontId="6" fillId="5" borderId="6" xfId="2" applyFont="1" applyFill="1" applyBorder="1" applyAlignment="1" applyProtection="1">
      <alignment vertical="center"/>
      <protection locked="0"/>
    </xf>
    <xf numFmtId="3" fontId="6" fillId="5" borderId="6" xfId="2" applyNumberFormat="1" applyFont="1" applyFill="1" applyBorder="1" applyAlignment="1" applyProtection="1">
      <alignment vertical="center"/>
      <protection locked="0"/>
    </xf>
    <xf numFmtId="0" fontId="7" fillId="5" borderId="4" xfId="2" applyFont="1" applyFill="1" applyBorder="1" applyAlignment="1" applyProtection="1">
      <alignment horizontal="left" vertical="center"/>
      <protection locked="0"/>
    </xf>
    <xf numFmtId="170" fontId="3" fillId="0" borderId="0" xfId="0" applyNumberFormat="1" applyFont="1"/>
    <xf numFmtId="0" fontId="3" fillId="0" borderId="0" xfId="0" applyFont="1"/>
    <xf numFmtId="43" fontId="0" fillId="0" borderId="0" xfId="1" applyFont="1"/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20" fillId="0" borderId="0" xfId="3" applyFont="1" applyFill="1" applyBorder="1" applyAlignment="1">
      <alignment horizontal="left" vertical="center"/>
    </xf>
    <xf numFmtId="0" fontId="0" fillId="0" borderId="10" xfId="0" applyFont="1" applyBorder="1"/>
    <xf numFmtId="0" fontId="0" fillId="0" borderId="11" xfId="0" applyFont="1" applyBorder="1"/>
    <xf numFmtId="0" fontId="0" fillId="9" borderId="9" xfId="0" applyFont="1" applyFill="1" applyBorder="1"/>
    <xf numFmtId="0" fontId="0" fillId="9" borderId="12" xfId="0" applyFont="1" applyFill="1" applyBorder="1"/>
    <xf numFmtId="0" fontId="0" fillId="9" borderId="11" xfId="0" applyFont="1" applyFill="1" applyBorder="1"/>
    <xf numFmtId="0" fontId="0" fillId="9" borderId="0" xfId="0" applyFont="1" applyFill="1" applyBorder="1"/>
    <xf numFmtId="3" fontId="20" fillId="0" borderId="24" xfId="0" applyNumberFormat="1" applyFont="1" applyBorder="1" applyAlignment="1">
      <alignment horizontal="right" vertical="center"/>
    </xf>
    <xf numFmtId="3" fontId="20" fillId="0" borderId="25" xfId="0" applyNumberFormat="1" applyFont="1" applyBorder="1" applyAlignment="1">
      <alignment horizontal="right" vertical="center"/>
    </xf>
    <xf numFmtId="0" fontId="26" fillId="0" borderId="0" xfId="0" applyFont="1"/>
    <xf numFmtId="0" fontId="26" fillId="0" borderId="0" xfId="0" applyFont="1" applyAlignment="1">
      <alignment horizontal="center"/>
    </xf>
    <xf numFmtId="49" fontId="20" fillId="0" borderId="18" xfId="2" applyNumberFormat="1" applyFont="1" applyFill="1" applyBorder="1" applyAlignment="1" applyProtection="1">
      <alignment horizontal="center" vertical="center"/>
      <protection locked="0"/>
    </xf>
    <xf numFmtId="0" fontId="27" fillId="0" borderId="16" xfId="0" applyFont="1" applyFill="1" applyBorder="1" applyAlignment="1">
      <alignment horizontal="center" vertical="center"/>
    </xf>
    <xf numFmtId="0" fontId="26" fillId="0" borderId="16" xfId="0" applyFont="1" applyFill="1" applyBorder="1"/>
    <xf numFmtId="0" fontId="20" fillId="5" borderId="20" xfId="2" applyFont="1" applyFill="1" applyBorder="1" applyAlignment="1" applyProtection="1">
      <alignment horizontal="center" vertical="center"/>
      <protection locked="0"/>
    </xf>
    <xf numFmtId="0" fontId="20" fillId="5" borderId="20" xfId="2" applyFont="1" applyFill="1" applyBorder="1" applyAlignment="1" applyProtection="1">
      <alignment vertical="center"/>
      <protection locked="0"/>
    </xf>
    <xf numFmtId="0" fontId="20" fillId="5" borderId="8" xfId="2" applyFont="1" applyFill="1" applyBorder="1" applyAlignment="1" applyProtection="1">
      <alignment vertical="center"/>
      <protection locked="0"/>
    </xf>
    <xf numFmtId="0" fontId="20" fillId="5" borderId="8" xfId="2" applyFont="1" applyFill="1" applyBorder="1" applyAlignment="1" applyProtection="1">
      <alignment horizontal="center" vertical="center"/>
      <protection locked="0"/>
    </xf>
    <xf numFmtId="0" fontId="26" fillId="0" borderId="8" xfId="0" applyFont="1" applyBorder="1"/>
    <xf numFmtId="0" fontId="26" fillId="0" borderId="22" xfId="0" applyFont="1" applyBorder="1"/>
    <xf numFmtId="0" fontId="26" fillId="0" borderId="16" xfId="0" applyFont="1" applyBorder="1"/>
    <xf numFmtId="0" fontId="20" fillId="5" borderId="18" xfId="2" applyFont="1" applyFill="1" applyBorder="1" applyAlignment="1" applyProtection="1">
      <alignment horizontal="center" vertical="center"/>
      <protection locked="0"/>
    </xf>
    <xf numFmtId="0" fontId="20" fillId="5" borderId="18" xfId="2" applyFont="1" applyFill="1" applyBorder="1" applyAlignment="1" applyProtection="1">
      <alignment vertical="center"/>
      <protection locked="0"/>
    </xf>
    <xf numFmtId="0" fontId="20" fillId="5" borderId="19" xfId="2" applyFont="1" applyFill="1" applyBorder="1" applyAlignment="1" applyProtection="1">
      <alignment horizontal="center" vertical="center"/>
      <protection locked="0"/>
    </xf>
    <xf numFmtId="0" fontId="26" fillId="0" borderId="19" xfId="0" applyFont="1" applyBorder="1"/>
    <xf numFmtId="0" fontId="26" fillId="0" borderId="17" xfId="0" applyFont="1" applyBorder="1"/>
    <xf numFmtId="0" fontId="21" fillId="5" borderId="18" xfId="2" applyFont="1" applyFill="1" applyBorder="1" applyAlignment="1" applyProtection="1">
      <alignment horizontal="center" vertical="center"/>
      <protection locked="0"/>
    </xf>
    <xf numFmtId="0" fontId="21" fillId="5" borderId="18" xfId="2" applyFont="1" applyFill="1" applyBorder="1" applyAlignment="1" applyProtection="1">
      <alignment horizontal="left" vertical="center"/>
      <protection locked="0"/>
    </xf>
    <xf numFmtId="0" fontId="21" fillId="5" borderId="19" xfId="2" applyFont="1" applyFill="1" applyBorder="1" applyAlignment="1" applyProtection="1">
      <alignment horizontal="left" vertical="center"/>
      <protection locked="0"/>
    </xf>
    <xf numFmtId="0" fontId="21" fillId="5" borderId="19" xfId="2" applyFont="1" applyFill="1" applyBorder="1" applyAlignment="1" applyProtection="1">
      <alignment horizontal="center" vertical="center"/>
      <protection locked="0"/>
    </xf>
    <xf numFmtId="0" fontId="26" fillId="0" borderId="18" xfId="0" applyFont="1" applyBorder="1"/>
    <xf numFmtId="0" fontId="21" fillId="5" borderId="18" xfId="2" applyFont="1" applyFill="1" applyBorder="1" applyAlignment="1" applyProtection="1">
      <alignment vertical="center"/>
      <protection locked="0"/>
    </xf>
    <xf numFmtId="0" fontId="21" fillId="5" borderId="19" xfId="2" applyFont="1" applyFill="1" applyBorder="1" applyAlignment="1" applyProtection="1">
      <alignment vertical="center"/>
      <protection locked="0"/>
    </xf>
    <xf numFmtId="0" fontId="21" fillId="5" borderId="18" xfId="2" applyFont="1" applyFill="1" applyBorder="1" applyAlignment="1" applyProtection="1">
      <alignment horizontal="left" vertical="center" indent="2"/>
      <protection locked="0"/>
    </xf>
    <xf numFmtId="0" fontId="20" fillId="5" borderId="19" xfId="2" applyFont="1" applyFill="1" applyBorder="1" applyAlignment="1" applyProtection="1">
      <alignment vertical="center"/>
      <protection locked="0"/>
    </xf>
    <xf numFmtId="0" fontId="21" fillId="5" borderId="19" xfId="2" applyFont="1" applyFill="1" applyBorder="1" applyAlignment="1" applyProtection="1">
      <alignment horizontal="left" vertical="center" indent="2"/>
      <protection locked="0"/>
    </xf>
    <xf numFmtId="0" fontId="21" fillId="5" borderId="19" xfId="2" applyFont="1" applyFill="1" applyBorder="1" applyAlignment="1" applyProtection="1">
      <alignment horizontal="left" vertical="center" indent="3"/>
      <protection locked="0"/>
    </xf>
    <xf numFmtId="0" fontId="21" fillId="5" borderId="19" xfId="2" applyFont="1" applyFill="1" applyBorder="1" applyAlignment="1" applyProtection="1">
      <alignment vertical="center" wrapText="1"/>
      <protection locked="0"/>
    </xf>
    <xf numFmtId="0" fontId="26" fillId="0" borderId="19" xfId="0" applyFont="1" applyBorder="1" applyAlignment="1">
      <alignment horizontal="left" indent="2"/>
    </xf>
    <xf numFmtId="0" fontId="28" fillId="5" borderId="19" xfId="2" applyFont="1" applyFill="1" applyBorder="1" applyAlignment="1" applyProtection="1">
      <alignment vertical="center"/>
      <protection locked="0"/>
    </xf>
    <xf numFmtId="0" fontId="28" fillId="5" borderId="19" xfId="2" applyFont="1" applyFill="1" applyBorder="1" applyAlignment="1" applyProtection="1">
      <alignment horizontal="center" vertical="center"/>
      <protection locked="0"/>
    </xf>
    <xf numFmtId="0" fontId="21" fillId="5" borderId="18" xfId="2" applyFont="1" applyFill="1" applyBorder="1" applyAlignment="1" applyProtection="1">
      <alignment horizontal="left" vertical="center" indent="1"/>
      <protection locked="0"/>
    </xf>
    <xf numFmtId="0" fontId="21" fillId="13" borderId="18" xfId="2" applyFont="1" applyFill="1" applyBorder="1" applyAlignment="1" applyProtection="1">
      <alignment horizontal="center" vertical="center"/>
      <protection locked="0"/>
    </xf>
    <xf numFmtId="0" fontId="21" fillId="13" borderId="18" xfId="2" applyFont="1" applyFill="1" applyBorder="1" applyAlignment="1" applyProtection="1">
      <alignment vertical="center"/>
      <protection locked="0"/>
    </xf>
    <xf numFmtId="0" fontId="21" fillId="13" borderId="19" xfId="2" applyFont="1" applyFill="1" applyBorder="1" applyAlignment="1" applyProtection="1">
      <alignment vertical="center"/>
      <protection locked="0"/>
    </xf>
    <xf numFmtId="0" fontId="21" fillId="14" borderId="18" xfId="2" applyFont="1" applyFill="1" applyBorder="1" applyAlignment="1" applyProtection="1">
      <alignment horizontal="center" vertical="center"/>
      <protection locked="0"/>
    </xf>
    <xf numFmtId="0" fontId="21" fillId="14" borderId="18" xfId="2" applyFont="1" applyFill="1" applyBorder="1" applyAlignment="1" applyProtection="1">
      <alignment vertical="center"/>
      <protection locked="0"/>
    </xf>
    <xf numFmtId="0" fontId="21" fillId="14" borderId="19" xfId="2" applyFont="1" applyFill="1" applyBorder="1" applyAlignment="1" applyProtection="1">
      <alignment vertical="center"/>
      <protection locked="0"/>
    </xf>
    <xf numFmtId="0" fontId="21" fillId="5" borderId="16" xfId="2" applyFont="1" applyFill="1" applyBorder="1" applyAlignment="1" applyProtection="1">
      <alignment horizontal="center" vertical="center"/>
      <protection locked="0"/>
    </xf>
    <xf numFmtId="0" fontId="21" fillId="5" borderId="19" xfId="3" applyFont="1" applyFill="1" applyBorder="1" applyAlignment="1" applyProtection="1">
      <alignment vertical="center"/>
      <protection locked="0"/>
    </xf>
    <xf numFmtId="0" fontId="21" fillId="5" borderId="0" xfId="2" applyFont="1" applyFill="1" applyBorder="1" applyAlignment="1" applyProtection="1">
      <alignment horizontal="center" vertical="center"/>
      <protection locked="0"/>
    </xf>
    <xf numFmtId="0" fontId="21" fillId="5" borderId="21" xfId="2" applyFont="1" applyFill="1" applyBorder="1" applyAlignment="1" applyProtection="1">
      <alignment vertical="center"/>
      <protection locked="0"/>
    </xf>
    <xf numFmtId="0" fontId="21" fillId="5" borderId="0" xfId="2" applyFont="1" applyFill="1" applyBorder="1" applyAlignment="1" applyProtection="1">
      <alignment vertical="center"/>
      <protection locked="0"/>
    </xf>
    <xf numFmtId="0" fontId="26" fillId="0" borderId="0" xfId="0" applyFont="1" applyBorder="1"/>
    <xf numFmtId="0" fontId="21" fillId="5" borderId="0" xfId="2" applyFont="1" applyFill="1" applyBorder="1" applyAlignment="1" applyProtection="1">
      <alignment horizontal="left" vertical="center"/>
      <protection locked="0"/>
    </xf>
    <xf numFmtId="0" fontId="26" fillId="0" borderId="8" xfId="0" applyFont="1" applyBorder="1" applyAlignment="1">
      <alignment horizontal="center"/>
    </xf>
    <xf numFmtId="0" fontId="26" fillId="5" borderId="0" xfId="0" applyFont="1" applyFill="1"/>
    <xf numFmtId="0" fontId="26" fillId="5" borderId="8" xfId="0" applyFont="1" applyFill="1" applyBorder="1" applyAlignment="1">
      <alignment horizontal="center"/>
    </xf>
    <xf numFmtId="0" fontId="26" fillId="5" borderId="8" xfId="0" applyFont="1" applyFill="1" applyBorder="1"/>
    <xf numFmtId="49" fontId="20" fillId="5" borderId="18" xfId="2" applyNumberFormat="1" applyFont="1" applyFill="1" applyBorder="1" applyAlignment="1" applyProtection="1">
      <alignment horizontal="center" vertical="center"/>
      <protection locked="0"/>
    </xf>
    <xf numFmtId="0" fontId="27" fillId="5" borderId="16" xfId="0" applyFont="1" applyFill="1" applyBorder="1" applyAlignment="1">
      <alignment horizontal="center" vertical="center"/>
    </xf>
    <xf numFmtId="0" fontId="26" fillId="5" borderId="16" xfId="0" applyFont="1" applyFill="1" applyBorder="1"/>
    <xf numFmtId="0" fontId="26" fillId="5" borderId="22" xfId="0" applyFont="1" applyFill="1" applyBorder="1"/>
    <xf numFmtId="0" fontId="26" fillId="5" borderId="19" xfId="0" applyFont="1" applyFill="1" applyBorder="1"/>
    <xf numFmtId="0" fontId="26" fillId="5" borderId="17" xfId="0" applyFont="1" applyFill="1" applyBorder="1"/>
    <xf numFmtId="0" fontId="26" fillId="5" borderId="18" xfId="0" applyFont="1" applyFill="1" applyBorder="1"/>
    <xf numFmtId="0" fontId="26" fillId="5" borderId="19" xfId="0" applyFont="1" applyFill="1" applyBorder="1" applyAlignment="1">
      <alignment horizontal="left" indent="2"/>
    </xf>
    <xf numFmtId="0" fontId="26" fillId="5" borderId="0" xfId="0" applyFont="1" applyFill="1" applyAlignment="1">
      <alignment horizontal="center"/>
    </xf>
    <xf numFmtId="0" fontId="26" fillId="5" borderId="0" xfId="0" applyFont="1" applyFill="1" applyBorder="1"/>
    <xf numFmtId="0" fontId="0" fillId="5" borderId="0" xfId="0" applyFill="1"/>
    <xf numFmtId="0" fontId="3" fillId="5" borderId="0" xfId="0" applyFont="1" applyFill="1"/>
    <xf numFmtId="0" fontId="0" fillId="5" borderId="0" xfId="0" applyFill="1" applyAlignment="1">
      <alignment horizontal="left" indent="2"/>
    </xf>
    <xf numFmtId="0" fontId="4" fillId="0" borderId="0" xfId="0" applyFont="1" applyAlignment="1">
      <alignment wrapText="1"/>
    </xf>
    <xf numFmtId="164" fontId="5" fillId="0" borderId="0" xfId="1" applyNumberFormat="1" applyFont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left"/>
    </xf>
    <xf numFmtId="0" fontId="4" fillId="10" borderId="13" xfId="0" applyFont="1" applyFill="1" applyBorder="1"/>
    <xf numFmtId="0" fontId="4" fillId="10" borderId="11" xfId="0" applyFont="1" applyFill="1" applyBorder="1"/>
    <xf numFmtId="0" fontId="18" fillId="10" borderId="14" xfId="0" applyFont="1" applyFill="1" applyBorder="1"/>
    <xf numFmtId="0" fontId="18" fillId="10" borderId="11" xfId="0" applyFont="1" applyFill="1" applyBorder="1"/>
    <xf numFmtId="0" fontId="4" fillId="10" borderId="14" xfId="0" applyFont="1" applyFill="1" applyBorder="1"/>
    <xf numFmtId="0" fontId="18" fillId="10" borderId="0" xfId="0" applyFont="1" applyFill="1" applyBorder="1"/>
    <xf numFmtId="0" fontId="0" fillId="0" borderId="0" xfId="0" applyFont="1" applyBorder="1"/>
    <xf numFmtId="0" fontId="4" fillId="0" borderId="26" xfId="0" applyFont="1" applyBorder="1"/>
    <xf numFmtId="0" fontId="4" fillId="10" borderId="0" xfId="0" applyFont="1" applyFill="1" applyBorder="1"/>
    <xf numFmtId="0" fontId="21" fillId="5" borderId="0" xfId="0" applyFont="1" applyFill="1"/>
    <xf numFmtId="3" fontId="21" fillId="5" borderId="0" xfId="0" applyNumberFormat="1" applyFont="1" applyFill="1"/>
    <xf numFmtId="0" fontId="20" fillId="5" borderId="0" xfId="3" applyFont="1" applyFill="1" applyBorder="1" applyAlignment="1">
      <alignment horizontal="left"/>
    </xf>
    <xf numFmtId="0" fontId="25" fillId="5" borderId="0" xfId="3" applyFont="1" applyFill="1" applyBorder="1" applyAlignment="1">
      <alignment horizontal="left"/>
    </xf>
    <xf numFmtId="0" fontId="21" fillId="5" borderId="0" xfId="3" applyFont="1" applyFill="1" applyAlignment="1">
      <alignment vertical="top"/>
    </xf>
    <xf numFmtId="0" fontId="25" fillId="5" borderId="0" xfId="3" applyFont="1" applyFill="1" applyAlignment="1">
      <alignment vertical="top"/>
    </xf>
    <xf numFmtId="173" fontId="20" fillId="5" borderId="18" xfId="3" applyNumberFormat="1" applyFont="1" applyFill="1" applyBorder="1" applyAlignment="1">
      <alignment vertical="top"/>
    </xf>
    <xf numFmtId="0" fontId="25" fillId="5" borderId="19" xfId="3" applyFont="1" applyFill="1" applyBorder="1" applyAlignment="1">
      <alignment vertical="top"/>
    </xf>
    <xf numFmtId="0" fontId="21" fillId="5" borderId="19" xfId="3" applyFont="1" applyFill="1" applyBorder="1" applyAlignment="1">
      <alignment vertical="top"/>
    </xf>
    <xf numFmtId="3" fontId="20" fillId="5" borderId="16" xfId="3" applyNumberFormat="1" applyFont="1" applyFill="1" applyBorder="1" applyAlignment="1">
      <alignment vertical="top"/>
    </xf>
    <xf numFmtId="0" fontId="21" fillId="5" borderId="18" xfId="3" applyFont="1" applyFill="1" applyBorder="1" applyAlignment="1">
      <alignment vertical="top"/>
    </xf>
    <xf numFmtId="3" fontId="0" fillId="5" borderId="0" xfId="0" applyNumberFormat="1" applyFill="1"/>
    <xf numFmtId="3" fontId="21" fillId="5" borderId="16" xfId="3" applyNumberFormat="1" applyFont="1" applyFill="1" applyBorder="1" applyAlignment="1">
      <alignment vertical="top"/>
    </xf>
    <xf numFmtId="173" fontId="21" fillId="5" borderId="18" xfId="3" applyNumberFormat="1" applyFont="1" applyFill="1" applyBorder="1" applyAlignment="1">
      <alignment vertical="top"/>
    </xf>
    <xf numFmtId="0" fontId="0" fillId="5" borderId="0" xfId="0" applyFont="1" applyFill="1"/>
    <xf numFmtId="3" fontId="20" fillId="5" borderId="0" xfId="3" applyNumberFormat="1" applyFont="1" applyFill="1" applyBorder="1" applyAlignment="1">
      <alignment horizontal="left"/>
    </xf>
    <xf numFmtId="0" fontId="20" fillId="5" borderId="19" xfId="3" applyNumberFormat="1" applyFont="1" applyFill="1" applyBorder="1" applyAlignment="1">
      <alignment horizontal="center" vertical="center" wrapText="1"/>
    </xf>
    <xf numFmtId="0" fontId="20" fillId="5" borderId="17" xfId="3" applyNumberFormat="1" applyFont="1" applyFill="1" applyBorder="1" applyAlignment="1">
      <alignment horizontal="center" vertical="center" wrapText="1"/>
    </xf>
    <xf numFmtId="3" fontId="20" fillId="5" borderId="16" xfId="11" applyNumberFormat="1" applyFont="1" applyFill="1" applyBorder="1" applyAlignment="1">
      <alignment horizontal="center" vertical="center" wrapText="1"/>
    </xf>
    <xf numFmtId="171" fontId="20" fillId="0" borderId="17" xfId="0" applyNumberFormat="1" applyFont="1" applyFill="1" applyBorder="1" applyAlignment="1">
      <alignment horizontal="center" vertical="center"/>
    </xf>
    <xf numFmtId="0" fontId="20" fillId="5" borderId="18" xfId="3" applyNumberFormat="1" applyFont="1" applyFill="1" applyBorder="1" applyAlignment="1">
      <alignment vertical="center" wrapText="1"/>
    </xf>
    <xf numFmtId="0" fontId="20" fillId="5" borderId="19" xfId="3" applyNumberFormat="1" applyFont="1" applyFill="1" applyBorder="1" applyAlignment="1">
      <alignment vertical="center" wrapText="1"/>
    </xf>
    <xf numFmtId="3" fontId="20" fillId="5" borderId="0" xfId="3" applyNumberFormat="1" applyFont="1" applyFill="1" applyBorder="1" applyAlignment="1">
      <alignment horizontal="center"/>
    </xf>
    <xf numFmtId="0" fontId="21" fillId="0" borderId="18" xfId="0" applyFont="1" applyFill="1" applyBorder="1" applyAlignment="1">
      <alignment vertical="center"/>
    </xf>
    <xf numFmtId="0" fontId="21" fillId="0" borderId="19" xfId="0" applyFont="1" applyFill="1" applyBorder="1" applyAlignment="1">
      <alignment vertical="center"/>
    </xf>
    <xf numFmtId="0" fontId="21" fillId="0" borderId="18" xfId="0" applyFont="1" applyFill="1" applyBorder="1" applyAlignment="1">
      <alignment horizontal="left" vertical="center"/>
    </xf>
    <xf numFmtId="0" fontId="21" fillId="0" borderId="19" xfId="0" applyFont="1" applyFill="1" applyBorder="1" applyAlignment="1">
      <alignment horizontal="left" vertical="center"/>
    </xf>
    <xf numFmtId="0" fontId="20" fillId="0" borderId="18" xfId="0" applyFont="1" applyFill="1" applyBorder="1" applyAlignment="1">
      <alignment vertical="center"/>
    </xf>
    <xf numFmtId="0" fontId="20" fillId="0" borderId="19" xfId="0" applyFont="1" applyFill="1" applyBorder="1" applyAlignment="1">
      <alignment vertical="center"/>
    </xf>
    <xf numFmtId="3" fontId="0" fillId="0" borderId="0" xfId="0" pivotButton="1" applyNumberFormat="1"/>
    <xf numFmtId="0" fontId="20" fillId="5" borderId="0" xfId="2" applyFont="1" applyFill="1" applyBorder="1" applyAlignment="1" applyProtection="1">
      <alignment vertical="center" wrapText="1"/>
      <protection locked="0"/>
    </xf>
    <xf numFmtId="0" fontId="20" fillId="5" borderId="0" xfId="2" applyFont="1" applyFill="1" applyBorder="1" applyAlignment="1" applyProtection="1">
      <alignment vertical="center"/>
      <protection locked="0"/>
    </xf>
    <xf numFmtId="0" fontId="27" fillId="0" borderId="28" xfId="0" applyFont="1" applyFill="1" applyBorder="1" applyAlignment="1">
      <alignment horizontal="center" vertical="center"/>
    </xf>
    <xf numFmtId="0" fontId="26" fillId="0" borderId="28" xfId="0" applyFont="1" applyFill="1" applyBorder="1"/>
    <xf numFmtId="0" fontId="26" fillId="0" borderId="28" xfId="0" applyFont="1" applyBorder="1"/>
    <xf numFmtId="0" fontId="0" fillId="0" borderId="0" xfId="0" pivotButton="1" applyAlignment="1">
      <alignment horizontal="center"/>
    </xf>
    <xf numFmtId="0" fontId="20" fillId="0" borderId="0" xfId="0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vertical="center"/>
    </xf>
    <xf numFmtId="0" fontId="26" fillId="0" borderId="19" xfId="0" applyFont="1" applyFill="1" applyBorder="1"/>
    <xf numFmtId="0" fontId="26" fillId="0" borderId="17" xfId="0" applyFont="1" applyFill="1" applyBorder="1"/>
    <xf numFmtId="0" fontId="26" fillId="0" borderId="0" xfId="0" applyFont="1" applyFill="1"/>
    <xf numFmtId="3" fontId="21" fillId="5" borderId="29" xfId="3" applyNumberFormat="1" applyFont="1" applyFill="1" applyBorder="1" applyAlignment="1">
      <alignment vertical="top"/>
    </xf>
    <xf numFmtId="3" fontId="21" fillId="5" borderId="0" xfId="0" applyNumberFormat="1" applyFont="1" applyFill="1" applyAlignment="1">
      <alignment wrapText="1"/>
    </xf>
    <xf numFmtId="3" fontId="20" fillId="5" borderId="0" xfId="3" applyNumberFormat="1" applyFont="1" applyFill="1" applyBorder="1" applyAlignment="1">
      <alignment horizontal="left" wrapText="1"/>
    </xf>
    <xf numFmtId="3" fontId="21" fillId="5" borderId="16" xfId="3" applyNumberFormat="1" applyFont="1" applyFill="1" applyBorder="1" applyAlignment="1">
      <alignment vertical="top" wrapText="1"/>
    </xf>
    <xf numFmtId="3" fontId="0" fillId="5" borderId="0" xfId="0" applyNumberFormat="1" applyFill="1" applyAlignment="1">
      <alignment wrapText="1"/>
    </xf>
    <xf numFmtId="3" fontId="21" fillId="5" borderId="29" xfId="3" applyNumberFormat="1" applyFont="1" applyFill="1" applyBorder="1" applyAlignment="1">
      <alignment vertical="top" wrapText="1"/>
    </xf>
    <xf numFmtId="0" fontId="0" fillId="9" borderId="11" xfId="0" applyFill="1" applyBorder="1"/>
    <xf numFmtId="0" fontId="0" fillId="9" borderId="12" xfId="0" applyFill="1" applyBorder="1"/>
    <xf numFmtId="9" fontId="5" fillId="5" borderId="0" xfId="0" applyNumberFormat="1" applyFont="1" applyFill="1" applyAlignment="1">
      <alignment horizontal="center" wrapText="1"/>
    </xf>
    <xf numFmtId="9" fontId="5" fillId="5" borderId="0" xfId="0" applyNumberFormat="1" applyFont="1" applyFill="1" applyAlignment="1">
      <alignment horizontal="center"/>
    </xf>
    <xf numFmtId="9" fontId="4" fillId="5" borderId="0" xfId="0" applyNumberFormat="1" applyFont="1" applyFill="1" applyAlignment="1">
      <alignment horizontal="center"/>
    </xf>
    <xf numFmtId="9" fontId="4" fillId="5" borderId="0" xfId="23" applyNumberFormat="1" applyFont="1" applyFill="1" applyAlignment="1">
      <alignment horizontal="center"/>
    </xf>
    <xf numFmtId="9" fontId="5" fillId="5" borderId="0" xfId="23" applyNumberFormat="1" applyFont="1" applyFill="1" applyAlignment="1">
      <alignment horizontal="center" wrapText="1"/>
    </xf>
    <xf numFmtId="9" fontId="5" fillId="5" borderId="0" xfId="23" applyNumberFormat="1" applyFont="1" applyFill="1" applyAlignment="1">
      <alignment horizontal="center"/>
    </xf>
    <xf numFmtId="9" fontId="5" fillId="0" borderId="0" xfId="23" applyNumberFormat="1" applyFont="1" applyFill="1" applyAlignment="1">
      <alignment horizontal="center"/>
    </xf>
    <xf numFmtId="3" fontId="21" fillId="3" borderId="16" xfId="3" applyNumberFormat="1" applyFont="1" applyFill="1" applyBorder="1" applyAlignment="1">
      <alignment vertical="top" wrapText="1"/>
    </xf>
    <xf numFmtId="0" fontId="0" fillId="9" borderId="10" xfId="0" applyFont="1" applyFill="1" applyBorder="1"/>
    <xf numFmtId="3" fontId="21" fillId="0" borderId="16" xfId="3" applyNumberFormat="1" applyFont="1" applyFill="1" applyBorder="1" applyAlignment="1">
      <alignment vertical="top" wrapText="1"/>
    </xf>
    <xf numFmtId="3" fontId="21" fillId="0" borderId="29" xfId="3" applyNumberFormat="1" applyFont="1" applyFill="1" applyBorder="1" applyAlignment="1">
      <alignment vertical="top" wrapText="1"/>
    </xf>
    <xf numFmtId="0" fontId="27" fillId="0" borderId="16" xfId="0" applyFont="1" applyFill="1" applyBorder="1" applyAlignment="1">
      <alignment horizontal="center" vertical="center"/>
    </xf>
    <xf numFmtId="0" fontId="7" fillId="5" borderId="8" xfId="2" applyFont="1" applyFill="1" applyBorder="1" applyAlignment="1" applyProtection="1">
      <alignment horizontal="center" vertical="center" wrapText="1"/>
      <protection locked="0"/>
    </xf>
    <xf numFmtId="49" fontId="7" fillId="6" borderId="1" xfId="2" applyNumberFormat="1" applyFont="1" applyFill="1" applyBorder="1" applyAlignment="1" applyProtection="1">
      <alignment horizontal="center" vertical="center"/>
      <protection locked="0"/>
    </xf>
    <xf numFmtId="0" fontId="26" fillId="5" borderId="19" xfId="0" applyFont="1" applyFill="1" applyBorder="1"/>
    <xf numFmtId="0" fontId="26" fillId="5" borderId="17" xfId="0" applyFont="1" applyFill="1" applyBorder="1"/>
    <xf numFmtId="0" fontId="26" fillId="0" borderId="19" xfId="0" applyFont="1" applyBorder="1"/>
    <xf numFmtId="0" fontId="26" fillId="0" borderId="17" xfId="0" applyFont="1" applyBorder="1"/>
    <xf numFmtId="0" fontId="21" fillId="0" borderId="0" xfId="0" applyFont="1" applyFill="1" applyBorder="1" applyAlignment="1">
      <alignment vertical="center"/>
    </xf>
    <xf numFmtId="3" fontId="21" fillId="3" borderId="16" xfId="3" applyNumberFormat="1" applyFont="1" applyFill="1" applyBorder="1" applyAlignment="1">
      <alignment vertical="top"/>
    </xf>
    <xf numFmtId="3" fontId="21" fillId="0" borderId="16" xfId="3" applyNumberFormat="1" applyFont="1" applyFill="1" applyBorder="1" applyAlignment="1">
      <alignment vertical="top"/>
    </xf>
    <xf numFmtId="3" fontId="21" fillId="15" borderId="16" xfId="3" applyNumberFormat="1" applyFont="1" applyFill="1" applyBorder="1" applyAlignment="1">
      <alignment vertical="top" wrapText="1"/>
    </xf>
    <xf numFmtId="0" fontId="21" fillId="0" borderId="0" xfId="0" applyFont="1" applyAlignment="1">
      <alignment vertical="center"/>
    </xf>
    <xf numFmtId="3" fontId="21" fillId="0" borderId="0" xfId="0" applyNumberFormat="1" applyFont="1" applyAlignment="1">
      <alignment vertical="center"/>
    </xf>
    <xf numFmtId="0" fontId="20" fillId="0" borderId="0" xfId="3" applyFont="1" applyFill="1" applyBorder="1" applyAlignment="1">
      <alignment vertical="center"/>
    </xf>
    <xf numFmtId="0" fontId="21" fillId="0" borderId="0" xfId="0" applyFont="1" applyAlignment="1">
      <alignment horizontal="left" vertical="center"/>
    </xf>
    <xf numFmtId="3" fontId="21" fillId="0" borderId="0" xfId="0" applyNumberFormat="1" applyFont="1" applyAlignment="1">
      <alignment horizontal="left" vertical="center"/>
    </xf>
    <xf numFmtId="0" fontId="6" fillId="0" borderId="4" xfId="2" applyFont="1" applyFill="1" applyBorder="1" applyAlignment="1" applyProtection="1">
      <alignment horizontal="left" vertical="center"/>
      <protection locked="0"/>
    </xf>
    <xf numFmtId="0" fontId="6" fillId="0" borderId="4" xfId="2" applyFont="1" applyFill="1" applyBorder="1" applyAlignment="1" applyProtection="1">
      <alignment vertical="center"/>
      <protection locked="0"/>
    </xf>
    <xf numFmtId="169" fontId="6" fillId="0" borderId="4" xfId="23" applyNumberFormat="1" applyFont="1" applyFill="1" applyBorder="1" applyAlignment="1" applyProtection="1">
      <alignment horizontal="center" vertical="center"/>
      <protection locked="0"/>
    </xf>
    <xf numFmtId="0" fontId="21" fillId="0" borderId="18" xfId="2" applyFont="1" applyFill="1" applyBorder="1" applyAlignment="1" applyProtection="1">
      <alignment horizontal="center" vertical="center"/>
      <protection locked="0"/>
    </xf>
    <xf numFmtId="0" fontId="21" fillId="0" borderId="18" xfId="2" applyFont="1" applyFill="1" applyBorder="1" applyAlignment="1" applyProtection="1">
      <alignment vertical="center"/>
      <protection locked="0"/>
    </xf>
    <xf numFmtId="0" fontId="21" fillId="0" borderId="19" xfId="2" applyFont="1" applyFill="1" applyBorder="1" applyAlignment="1" applyProtection="1">
      <alignment vertical="center"/>
      <protection locked="0"/>
    </xf>
    <xf numFmtId="0" fontId="0" fillId="0" borderId="0" xfId="0" pivotButton="1" applyAlignment="1">
      <alignment vertical="center"/>
    </xf>
    <xf numFmtId="171" fontId="20" fillId="0" borderId="29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169" fontId="0" fillId="0" borderId="0" xfId="0" applyNumberFormat="1" applyAlignment="1">
      <alignment vertical="center"/>
    </xf>
    <xf numFmtId="3" fontId="20" fillId="0" borderId="29" xfId="0" applyNumberFormat="1" applyFont="1" applyFill="1" applyBorder="1" applyAlignment="1">
      <alignment vertical="center"/>
    </xf>
    <xf numFmtId="3" fontId="20" fillId="0" borderId="17" xfId="0" applyNumberFormat="1" applyFont="1" applyFill="1" applyBorder="1" applyAlignment="1">
      <alignment vertical="center"/>
    </xf>
    <xf numFmtId="173" fontId="20" fillId="5" borderId="18" xfId="3" applyNumberFormat="1" applyFont="1" applyFill="1" applyBorder="1" applyAlignment="1">
      <alignment vertical="center"/>
    </xf>
    <xf numFmtId="0" fontId="20" fillId="0" borderId="19" xfId="0" applyFont="1" applyFill="1" applyBorder="1" applyAlignment="1">
      <alignment horizontal="left" vertical="center"/>
    </xf>
    <xf numFmtId="0" fontId="22" fillId="0" borderId="18" xfId="0" applyFont="1" applyFill="1" applyBorder="1" applyAlignment="1">
      <alignment horizontal="left" vertical="center"/>
    </xf>
    <xf numFmtId="172" fontId="21" fillId="0" borderId="19" xfId="0" applyNumberFormat="1" applyFont="1" applyFill="1" applyBorder="1" applyAlignment="1">
      <alignment horizontal="left" vertical="center"/>
    </xf>
    <xf numFmtId="3" fontId="21" fillId="0" borderId="29" xfId="0" applyNumberFormat="1" applyFont="1" applyFill="1" applyBorder="1" applyAlignment="1">
      <alignment vertical="center"/>
    </xf>
    <xf numFmtId="0" fontId="4" fillId="10" borderId="10" xfId="0" applyFont="1" applyFill="1" applyBorder="1" applyAlignment="1">
      <alignment horizontal="center" vertical="center"/>
    </xf>
    <xf numFmtId="0" fontId="0" fillId="9" borderId="9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169" fontId="0" fillId="0" borderId="0" xfId="23" applyNumberFormat="1" applyFont="1" applyBorder="1" applyAlignment="1">
      <alignment vertical="center"/>
    </xf>
    <xf numFmtId="3" fontId="21" fillId="0" borderId="17" xfId="0" applyNumberFormat="1" applyFont="1" applyFill="1" applyBorder="1" applyAlignment="1">
      <alignment vertical="center"/>
    </xf>
    <xf numFmtId="172" fontId="20" fillId="0" borderId="19" xfId="0" applyNumberFormat="1" applyFont="1" applyFill="1" applyBorder="1" applyAlignment="1">
      <alignment horizontal="left" vertical="center"/>
    </xf>
    <xf numFmtId="0" fontId="4" fillId="10" borderId="11" xfId="0" applyFont="1" applyFill="1" applyBorder="1" applyAlignment="1">
      <alignment horizontal="center" vertical="center"/>
    </xf>
    <xf numFmtId="0" fontId="0" fillId="9" borderId="12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169" fontId="0" fillId="0" borderId="0" xfId="0" applyNumberFormat="1" applyFont="1" applyBorder="1" applyAlignment="1">
      <alignment vertical="center"/>
    </xf>
    <xf numFmtId="0" fontId="22" fillId="0" borderId="18" xfId="0" applyFont="1" applyFill="1" applyBorder="1" applyAlignment="1">
      <alignment vertical="center"/>
    </xf>
    <xf numFmtId="172" fontId="21" fillId="0" borderId="19" xfId="0" applyNumberFormat="1" applyFont="1" applyFill="1" applyBorder="1" applyAlignment="1">
      <alignment vertical="center" wrapText="1"/>
    </xf>
    <xf numFmtId="172" fontId="21" fillId="0" borderId="19" xfId="0" quotePrefix="1" applyNumberFormat="1" applyFont="1" applyFill="1" applyBorder="1" applyAlignment="1">
      <alignment horizontal="left" vertical="center"/>
    </xf>
    <xf numFmtId="0" fontId="18" fillId="10" borderId="11" xfId="0" applyFont="1" applyFill="1" applyBorder="1" applyAlignment="1">
      <alignment horizontal="center" vertical="center"/>
    </xf>
    <xf numFmtId="0" fontId="18" fillId="10" borderId="0" xfId="0" applyFont="1" applyFill="1" applyBorder="1" applyAlignment="1">
      <alignment horizontal="center" vertical="center"/>
    </xf>
    <xf numFmtId="172" fontId="21" fillId="0" borderId="19" xfId="0" applyNumberFormat="1" applyFont="1" applyFill="1" applyBorder="1" applyAlignment="1">
      <alignment vertical="center"/>
    </xf>
    <xf numFmtId="0" fontId="4" fillId="10" borderId="14" xfId="0" applyFont="1" applyFill="1" applyBorder="1" applyAlignment="1">
      <alignment horizontal="center" vertical="center"/>
    </xf>
    <xf numFmtId="0" fontId="0" fillId="9" borderId="11" xfId="0" applyFont="1" applyFill="1" applyBorder="1" applyAlignment="1">
      <alignment horizontal="center" vertical="center"/>
    </xf>
    <xf numFmtId="172" fontId="21" fillId="0" borderId="19" xfId="0" quotePrefix="1" applyNumberFormat="1" applyFont="1" applyFill="1" applyBorder="1" applyAlignment="1">
      <alignment vertical="center"/>
    </xf>
    <xf numFmtId="0" fontId="4" fillId="10" borderId="0" xfId="0" applyFont="1" applyFill="1" applyBorder="1" applyAlignment="1">
      <alignment horizontal="center" vertical="center"/>
    </xf>
    <xf numFmtId="0" fontId="0" fillId="9" borderId="0" xfId="0" applyFont="1" applyFill="1" applyBorder="1" applyAlignment="1">
      <alignment horizontal="center" vertical="center"/>
    </xf>
    <xf numFmtId="172" fontId="20" fillId="0" borderId="19" xfId="0" quotePrefix="1" applyNumberFormat="1" applyFont="1" applyFill="1" applyBorder="1" applyAlignment="1">
      <alignment vertical="center"/>
    </xf>
    <xf numFmtId="172" fontId="21" fillId="0" borderId="19" xfId="0" quotePrefix="1" applyNumberFormat="1" applyFont="1" applyFill="1" applyBorder="1" applyAlignment="1">
      <alignment vertical="center" wrapText="1"/>
    </xf>
    <xf numFmtId="172" fontId="20" fillId="0" borderId="19" xfId="0" quotePrefix="1" applyNumberFormat="1" applyFont="1" applyFill="1" applyBorder="1" applyAlignment="1">
      <alignment horizontal="right" vertical="center"/>
    </xf>
    <xf numFmtId="0" fontId="18" fillId="10" borderId="14" xfId="0" applyFont="1" applyFill="1" applyBorder="1" applyAlignment="1">
      <alignment horizontal="center" vertical="center"/>
    </xf>
    <xf numFmtId="172" fontId="20" fillId="0" borderId="19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0" fillId="0" borderId="0" xfId="0" applyAlignment="1">
      <alignment horizontal="center" wrapText="1"/>
    </xf>
    <xf numFmtId="0" fontId="0" fillId="0" borderId="0" xfId="0" pivotButton="1" applyAlignment="1">
      <alignment horizontal="center" wrapText="1"/>
    </xf>
    <xf numFmtId="3" fontId="20" fillId="0" borderId="34" xfId="0" applyNumberFormat="1" applyFont="1" applyBorder="1" applyAlignment="1">
      <alignment horizontal="center" vertical="center"/>
    </xf>
    <xf numFmtId="0" fontId="20" fillId="0" borderId="31" xfId="0" applyFont="1" applyBorder="1" applyAlignment="1">
      <alignment vertical="center"/>
    </xf>
    <xf numFmtId="0" fontId="20" fillId="0" borderId="32" xfId="0" applyFont="1" applyBorder="1" applyAlignment="1">
      <alignment vertical="center"/>
    </xf>
    <xf numFmtId="3" fontId="20" fillId="0" borderId="34" xfId="0" applyNumberFormat="1" applyFont="1" applyBorder="1" applyAlignment="1">
      <alignment vertical="center"/>
    </xf>
    <xf numFmtId="3" fontId="20" fillId="0" borderId="33" xfId="0" applyNumberFormat="1" applyFont="1" applyBorder="1" applyAlignment="1">
      <alignment vertical="center"/>
    </xf>
    <xf numFmtId="0" fontId="21" fillId="0" borderId="32" xfId="0" applyFont="1" applyBorder="1" applyAlignment="1">
      <alignment horizontal="left" vertical="center"/>
    </xf>
    <xf numFmtId="3" fontId="21" fillId="0" borderId="34" xfId="0" applyNumberFormat="1" applyFont="1" applyBorder="1" applyAlignment="1">
      <alignment vertical="center"/>
    </xf>
    <xf numFmtId="3" fontId="21" fillId="0" borderId="33" xfId="0" applyNumberFormat="1" applyFont="1" applyBorder="1" applyAlignment="1">
      <alignment vertical="center"/>
    </xf>
    <xf numFmtId="0" fontId="21" fillId="0" borderId="32" xfId="0" applyFont="1" applyBorder="1" applyAlignment="1">
      <alignment vertical="center"/>
    </xf>
    <xf numFmtId="3" fontId="21" fillId="0" borderId="33" xfId="0" applyNumberFormat="1" applyFont="1" applyFill="1" applyBorder="1" applyAlignment="1">
      <alignment vertical="center"/>
    </xf>
    <xf numFmtId="0" fontId="21" fillId="0" borderId="32" xfId="0" applyFont="1" applyBorder="1" applyAlignment="1">
      <alignment horizontal="left" vertical="center" wrapText="1"/>
    </xf>
    <xf numFmtId="0" fontId="21" fillId="0" borderId="32" xfId="0" applyFont="1" applyBorder="1" applyAlignment="1">
      <alignment horizontal="left" vertical="top"/>
    </xf>
    <xf numFmtId="0" fontId="32" fillId="0" borderId="0" xfId="0" applyFont="1" applyAlignment="1">
      <alignment horizontal="center" vertical="center"/>
    </xf>
    <xf numFmtId="0" fontId="21" fillId="0" borderId="34" xfId="3" applyFont="1" applyFill="1" applyBorder="1" applyAlignment="1">
      <alignment horizontal="justify" vertical="center"/>
    </xf>
    <xf numFmtId="0" fontId="21" fillId="0" borderId="34" xfId="0" applyFont="1" applyFill="1" applyBorder="1" applyAlignment="1">
      <alignment horizontal="justify" vertical="center"/>
    </xf>
    <xf numFmtId="0" fontId="20" fillId="0" borderId="0" xfId="0" applyFont="1" applyFill="1" applyBorder="1" applyAlignment="1">
      <alignment vertical="center" wrapText="1"/>
    </xf>
    <xf numFmtId="0" fontId="23" fillId="0" borderId="0" xfId="28" applyFont="1" applyAlignment="1">
      <alignment vertical="center"/>
    </xf>
    <xf numFmtId="0" fontId="21" fillId="0" borderId="34" xfId="27" applyFont="1" applyFill="1" applyBorder="1" applyAlignment="1">
      <alignment horizontal="justify" vertical="center"/>
    </xf>
    <xf numFmtId="0" fontId="21" fillId="0" borderId="34" xfId="0" applyNumberFormat="1" applyFont="1" applyFill="1" applyBorder="1" applyAlignment="1">
      <alignment horizontal="left" vertical="center" wrapText="1"/>
    </xf>
    <xf numFmtId="0" fontId="21" fillId="0" borderId="34" xfId="26" applyFont="1" applyFill="1" applyBorder="1" applyAlignment="1">
      <alignment horizontal="justify" vertical="center"/>
    </xf>
    <xf numFmtId="0" fontId="21" fillId="0" borderId="34" xfId="0" applyNumberFormat="1" applyFont="1" applyFill="1" applyBorder="1" applyAlignment="1">
      <alignment horizontal="justify" vertical="center"/>
    </xf>
    <xf numFmtId="0" fontId="21" fillId="0" borderId="34" xfId="28" applyFont="1" applyFill="1" applyBorder="1" applyAlignment="1">
      <alignment horizontal="justify" vertical="center"/>
    </xf>
    <xf numFmtId="0" fontId="5" fillId="0" borderId="0" xfId="0" applyFont="1" applyAlignment="1">
      <alignment horizontal="justify" vertical="center"/>
    </xf>
    <xf numFmtId="0" fontId="5" fillId="0" borderId="0" xfId="0" applyFont="1" applyFill="1" applyAlignment="1">
      <alignment horizontal="justify" vertical="center"/>
    </xf>
    <xf numFmtId="0" fontId="31" fillId="16" borderId="34" xfId="0" applyFont="1" applyFill="1" applyBorder="1" applyAlignment="1">
      <alignment horizontal="center" vertical="center"/>
    </xf>
    <xf numFmtId="0" fontId="50" fillId="0" borderId="0" xfId="0" applyFont="1" applyAlignment="1">
      <alignment horizontal="left" vertical="top"/>
    </xf>
    <xf numFmtId="0" fontId="51" fillId="0" borderId="0" xfId="0" applyFont="1" applyAlignment="1">
      <alignment vertical="top"/>
    </xf>
    <xf numFmtId="3" fontId="51" fillId="0" borderId="0" xfId="0" applyNumberFormat="1" applyFont="1" applyAlignment="1">
      <alignment vertical="top"/>
    </xf>
    <xf numFmtId="0" fontId="51" fillId="0" borderId="0" xfId="0" applyFont="1" applyAlignment="1">
      <alignment horizontal="left" vertical="top"/>
    </xf>
    <xf numFmtId="175" fontId="51" fillId="0" borderId="0" xfId="0" applyNumberFormat="1" applyFont="1" applyAlignment="1">
      <alignment vertical="top"/>
    </xf>
    <xf numFmtId="0" fontId="52" fillId="2" borderId="36" xfId="0" applyFont="1" applyFill="1" applyBorder="1" applyAlignment="1">
      <alignment horizontal="left" vertical="top"/>
    </xf>
    <xf numFmtId="0" fontId="52" fillId="2" borderId="30" xfId="0" applyFont="1" applyFill="1" applyBorder="1" applyAlignment="1">
      <alignment horizontal="centerContinuous" vertical="top"/>
    </xf>
    <xf numFmtId="0" fontId="52" fillId="2" borderId="34" xfId="0" applyFont="1" applyFill="1" applyBorder="1" applyAlignment="1">
      <alignment horizontal="centerContinuous" vertical="top"/>
    </xf>
    <xf numFmtId="0" fontId="52" fillId="2" borderId="32" xfId="0" applyFont="1" applyFill="1" applyBorder="1" applyAlignment="1">
      <alignment horizontal="centerContinuous" vertical="top"/>
    </xf>
    <xf numFmtId="0" fontId="52" fillId="2" borderId="33" xfId="0" applyFont="1" applyFill="1" applyBorder="1" applyAlignment="1">
      <alignment horizontal="centerContinuous" vertical="top"/>
    </xf>
    <xf numFmtId="0" fontId="52" fillId="2" borderId="23" xfId="0" applyFont="1" applyFill="1" applyBorder="1" applyAlignment="1">
      <alignment horizontal="left" vertical="top"/>
    </xf>
    <xf numFmtId="0" fontId="52" fillId="2" borderId="0" xfId="0" applyFont="1" applyFill="1" applyBorder="1" applyAlignment="1">
      <alignment vertical="top"/>
    </xf>
    <xf numFmtId="0" fontId="52" fillId="2" borderId="27" xfId="0" applyFont="1" applyFill="1" applyBorder="1" applyAlignment="1">
      <alignment horizontal="center" vertical="top"/>
    </xf>
    <xf numFmtId="0" fontId="52" fillId="2" borderId="27" xfId="0" applyFont="1" applyFill="1" applyBorder="1" applyAlignment="1">
      <alignment horizontal="center" vertical="top" wrapText="1"/>
    </xf>
    <xf numFmtId="0" fontId="52" fillId="2" borderId="20" xfId="0" applyFont="1" applyFill="1" applyBorder="1" applyAlignment="1">
      <alignment horizontal="left" vertical="top"/>
    </xf>
    <xf numFmtId="0" fontId="52" fillId="2" borderId="8" xfId="0" applyFont="1" applyFill="1" applyBorder="1" applyAlignment="1">
      <alignment horizontal="centerContinuous" vertical="top"/>
    </xf>
    <xf numFmtId="0" fontId="53" fillId="0" borderId="0" xfId="0" applyFont="1"/>
    <xf numFmtId="175" fontId="53" fillId="0" borderId="0" xfId="0" applyNumberFormat="1" applyFont="1" applyAlignment="1">
      <alignment vertical="top"/>
    </xf>
    <xf numFmtId="0" fontId="53" fillId="0" borderId="0" xfId="0" applyFont="1" applyAlignment="1">
      <alignment vertical="top"/>
    </xf>
    <xf numFmtId="0" fontId="52" fillId="2" borderId="35" xfId="0" applyFont="1" applyFill="1" applyBorder="1" applyAlignment="1">
      <alignment horizontal="center" vertical="top" wrapText="1"/>
    </xf>
    <xf numFmtId="0" fontId="52" fillId="2" borderId="27" xfId="0" applyFont="1" applyFill="1" applyBorder="1" applyAlignment="1">
      <alignment horizontal="center" vertical="top" wrapText="1"/>
    </xf>
    <xf numFmtId="3" fontId="20" fillId="0" borderId="34" xfId="0" applyNumberFormat="1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1" fillId="5" borderId="18" xfId="3" applyFont="1" applyFill="1" applyBorder="1" applyAlignment="1">
      <alignment horizontal="left" vertical="top"/>
    </xf>
    <xf numFmtId="0" fontId="21" fillId="5" borderId="19" xfId="3" applyFont="1" applyFill="1" applyBorder="1" applyAlignment="1">
      <alignment horizontal="left" vertical="top"/>
    </xf>
    <xf numFmtId="0" fontId="21" fillId="5" borderId="17" xfId="3" applyFont="1" applyFill="1" applyBorder="1" applyAlignment="1">
      <alignment horizontal="left" vertical="top"/>
    </xf>
    <xf numFmtId="3" fontId="24" fillId="2" borderId="8" xfId="3" applyNumberFormat="1" applyFont="1" applyFill="1" applyBorder="1" applyAlignment="1">
      <alignment horizontal="center" vertical="top"/>
    </xf>
    <xf numFmtId="3" fontId="24" fillId="2" borderId="0" xfId="3" applyNumberFormat="1" applyFont="1" applyFill="1" applyBorder="1" applyAlignment="1">
      <alignment horizontal="center" vertical="center" wrapText="1"/>
    </xf>
    <xf numFmtId="3" fontId="24" fillId="2" borderId="8" xfId="3" applyNumberFormat="1" applyFont="1" applyFill="1" applyBorder="1" applyAlignment="1">
      <alignment horizontal="center" vertical="center" wrapText="1"/>
    </xf>
    <xf numFmtId="0" fontId="21" fillId="5" borderId="19" xfId="2" applyFont="1" applyFill="1" applyBorder="1" applyAlignment="1" applyProtection="1">
      <alignment horizontal="left" vertical="center" wrapText="1"/>
      <protection locked="0"/>
    </xf>
    <xf numFmtId="0" fontId="21" fillId="5" borderId="17" xfId="2" applyFont="1" applyFill="1" applyBorder="1" applyAlignment="1" applyProtection="1">
      <alignment horizontal="left" vertical="center" wrapText="1"/>
      <protection locked="0"/>
    </xf>
    <xf numFmtId="0" fontId="20" fillId="5" borderId="0" xfId="2" applyFont="1" applyFill="1" applyBorder="1" applyAlignment="1" applyProtection="1">
      <alignment horizontal="center" vertical="center" wrapText="1"/>
      <protection locked="0"/>
    </xf>
    <xf numFmtId="49" fontId="20" fillId="5" borderId="16" xfId="2" applyNumberFormat="1" applyFont="1" applyFill="1" applyBorder="1" applyAlignment="1" applyProtection="1">
      <alignment horizontal="center" vertical="center"/>
      <protection locked="0"/>
    </xf>
    <xf numFmtId="49" fontId="20" fillId="5" borderId="16" xfId="2" applyNumberFormat="1" applyFont="1" applyFill="1" applyBorder="1" applyAlignment="1" applyProtection="1">
      <alignment horizontal="left" vertical="center"/>
      <protection locked="0"/>
    </xf>
    <xf numFmtId="0" fontId="21" fillId="5" borderId="19" xfId="2" applyFont="1" applyFill="1" applyBorder="1" applyAlignment="1" applyProtection="1">
      <alignment horizontal="justify" vertical="center" wrapText="1"/>
      <protection locked="0"/>
    </xf>
    <xf numFmtId="0" fontId="21" fillId="5" borderId="17" xfId="2" applyFont="1" applyFill="1" applyBorder="1" applyAlignment="1" applyProtection="1">
      <alignment horizontal="justify" vertical="center" wrapText="1"/>
      <protection locked="0"/>
    </xf>
    <xf numFmtId="0" fontId="26" fillId="5" borderId="19" xfId="0" applyFont="1" applyFill="1" applyBorder="1"/>
    <xf numFmtId="0" fontId="26" fillId="5" borderId="17" xfId="0" applyFont="1" applyFill="1" applyBorder="1"/>
    <xf numFmtId="49" fontId="20" fillId="0" borderId="16" xfId="2" applyNumberFormat="1" applyFont="1" applyFill="1" applyBorder="1" applyAlignment="1" applyProtection="1">
      <alignment horizontal="center" vertical="center"/>
      <protection locked="0"/>
    </xf>
    <xf numFmtId="49" fontId="20" fillId="0" borderId="16" xfId="2" applyNumberFormat="1" applyFont="1" applyFill="1" applyBorder="1" applyAlignment="1" applyProtection="1">
      <alignment horizontal="left" vertical="center"/>
      <protection locked="0"/>
    </xf>
    <xf numFmtId="0" fontId="26" fillId="0" borderId="19" xfId="0" applyFont="1" applyBorder="1"/>
    <xf numFmtId="0" fontId="26" fillId="0" borderId="17" xfId="0" applyFont="1" applyBorder="1"/>
    <xf numFmtId="0" fontId="7" fillId="5" borderId="8" xfId="2" applyFont="1" applyFill="1" applyBorder="1" applyAlignment="1" applyProtection="1">
      <alignment horizontal="center" vertical="center" wrapText="1"/>
      <protection locked="0"/>
    </xf>
    <xf numFmtId="49" fontId="7" fillId="6" borderId="1" xfId="2" applyNumberFormat="1" applyFont="1" applyFill="1" applyBorder="1" applyAlignment="1" applyProtection="1">
      <alignment horizontal="center" vertical="center"/>
      <protection locked="0"/>
    </xf>
    <xf numFmtId="0" fontId="6" fillId="5" borderId="4" xfId="2" applyFont="1" applyFill="1" applyBorder="1" applyAlignment="1" applyProtection="1">
      <alignment horizontal="left" vertical="center" wrapText="1"/>
      <protection locked="0"/>
    </xf>
    <xf numFmtId="172" fontId="21" fillId="0" borderId="19" xfId="0" applyNumberFormat="1" applyFont="1" applyFill="1" applyBorder="1" applyAlignment="1">
      <alignment horizontal="left" vertical="center" wrapText="1"/>
    </xf>
    <xf numFmtId="172" fontId="21" fillId="0" borderId="17" xfId="0" applyNumberFormat="1" applyFont="1" applyFill="1" applyBorder="1" applyAlignment="1">
      <alignment horizontal="left" vertical="center" wrapText="1"/>
    </xf>
    <xf numFmtId="172" fontId="21" fillId="0" borderId="19" xfId="0" quotePrefix="1" applyNumberFormat="1" applyFont="1" applyFill="1" applyBorder="1" applyAlignment="1">
      <alignment horizontal="left" vertical="center" wrapText="1"/>
    </xf>
    <xf numFmtId="172" fontId="21" fillId="0" borderId="17" xfId="0" quotePrefix="1" applyNumberFormat="1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21" fillId="0" borderId="17" xfId="0" applyFont="1" applyFill="1" applyBorder="1" applyAlignment="1">
      <alignment horizontal="left" vertical="center" wrapText="1"/>
    </xf>
    <xf numFmtId="0" fontId="52" fillId="2" borderId="0" xfId="0" applyFont="1" applyFill="1" applyBorder="1" applyAlignment="1">
      <alignment horizontal="center" vertical="top"/>
    </xf>
    <xf numFmtId="0" fontId="52" fillId="2" borderId="27" xfId="0" applyFont="1" applyFill="1" applyBorder="1" applyAlignment="1">
      <alignment horizontal="center" vertical="center"/>
    </xf>
    <xf numFmtId="164" fontId="54" fillId="0" borderId="25" xfId="1" applyNumberFormat="1" applyFont="1" applyFill="1" applyBorder="1" applyAlignment="1">
      <alignment vertical="top"/>
    </xf>
    <xf numFmtId="177" fontId="54" fillId="0" borderId="27" xfId="1" applyNumberFormat="1" applyFont="1" applyFill="1" applyBorder="1" applyAlignment="1">
      <alignment horizontal="right" vertical="top"/>
    </xf>
    <xf numFmtId="0" fontId="55" fillId="0" borderId="36" xfId="3" applyFont="1" applyFill="1" applyBorder="1" applyAlignment="1">
      <alignment horizontal="left" vertical="top"/>
    </xf>
    <xf numFmtId="176" fontId="55" fillId="0" borderId="35" xfId="1" applyNumberFormat="1" applyFont="1" applyFill="1" applyBorder="1" applyAlignment="1">
      <alignment vertical="top"/>
    </xf>
    <xf numFmtId="164" fontId="55" fillId="0" borderId="35" xfId="1" applyNumberFormat="1" applyFont="1" applyFill="1" applyBorder="1" applyAlignment="1">
      <alignment vertical="top"/>
    </xf>
    <xf numFmtId="177" fontId="55" fillId="0" borderId="35" xfId="1" applyNumberFormat="1" applyFont="1" applyFill="1" applyBorder="1" applyAlignment="1">
      <alignment horizontal="right" vertical="top"/>
    </xf>
    <xf numFmtId="0" fontId="55" fillId="0" borderId="23" xfId="0" applyFont="1" applyFill="1" applyBorder="1" applyAlignment="1">
      <alignment horizontal="left" vertical="top"/>
    </xf>
    <xf numFmtId="176" fontId="55" fillId="0" borderId="25" xfId="1" applyNumberFormat="1" applyFont="1" applyFill="1" applyBorder="1" applyAlignment="1">
      <alignment vertical="top"/>
    </xf>
    <xf numFmtId="164" fontId="55" fillId="0" borderId="25" xfId="1" applyNumberFormat="1" applyFont="1" applyFill="1" applyBorder="1" applyAlignment="1">
      <alignment vertical="top"/>
    </xf>
    <xf numFmtId="177" fontId="55" fillId="0" borderId="25" xfId="1" applyNumberFormat="1" applyFont="1" applyFill="1" applyBorder="1" applyAlignment="1">
      <alignment horizontal="right" vertical="top"/>
    </xf>
    <xf numFmtId="0" fontId="54" fillId="0" borderId="23" xfId="0" applyFont="1" applyFill="1" applyBorder="1" applyAlignment="1">
      <alignment horizontal="left" vertical="top"/>
    </xf>
    <xf numFmtId="0" fontId="54" fillId="0" borderId="0" xfId="0" applyFont="1" applyFill="1" applyBorder="1" applyAlignment="1">
      <alignment horizontal="left" vertical="top" wrapText="1"/>
    </xf>
    <xf numFmtId="176" fontId="54" fillId="0" borderId="25" xfId="1" applyNumberFormat="1" applyFont="1" applyFill="1" applyBorder="1" applyAlignment="1">
      <alignment vertical="top"/>
    </xf>
    <xf numFmtId="177" fontId="54" fillId="0" borderId="25" xfId="1" applyNumberFormat="1" applyFont="1" applyFill="1" applyBorder="1" applyAlignment="1">
      <alignment horizontal="right" vertical="top"/>
    </xf>
    <xf numFmtId="0" fontId="54" fillId="0" borderId="20" xfId="0" applyFont="1" applyFill="1" applyBorder="1" applyAlignment="1">
      <alignment horizontal="left" vertical="top"/>
    </xf>
    <xf numFmtId="0" fontId="54" fillId="0" borderId="8" xfId="0" applyFont="1" applyFill="1" applyBorder="1" applyAlignment="1">
      <alignment horizontal="left" vertical="top" wrapText="1"/>
    </xf>
    <xf numFmtId="176" fontId="54" fillId="0" borderId="27" xfId="1" applyNumberFormat="1" applyFont="1" applyFill="1" applyBorder="1" applyAlignment="1">
      <alignment vertical="top"/>
    </xf>
    <xf numFmtId="0" fontId="55" fillId="0" borderId="30" xfId="3" applyFont="1" applyFill="1" applyBorder="1" applyAlignment="1">
      <alignment vertical="top" wrapText="1"/>
    </xf>
    <xf numFmtId="0" fontId="55" fillId="0" borderId="0" xfId="0" applyFont="1" applyFill="1" applyBorder="1" applyAlignment="1">
      <alignment vertical="top" wrapText="1"/>
    </xf>
    <xf numFmtId="0" fontId="54" fillId="0" borderId="0" xfId="0" applyFont="1" applyFill="1" applyBorder="1" applyAlignment="1">
      <alignment vertical="top" wrapText="1"/>
    </xf>
  </cellXfs>
  <cellStyles count="90">
    <cellStyle name="_x0008__x0002_" xfId="29"/>
    <cellStyle name="=C:\WINNT\SYSTEM32\COMMAND.COM" xfId="4"/>
    <cellStyle name="_x0003_¶?°?‘}É" xfId="5"/>
    <cellStyle name="20% - Énfasis1" xfId="66" builtinId="30" customBuiltin="1"/>
    <cellStyle name="20% - Énfasis2" xfId="70" builtinId="34" customBuiltin="1"/>
    <cellStyle name="20% - Énfasis3" xfId="74" builtinId="38" customBuiltin="1"/>
    <cellStyle name="20% - Énfasis4" xfId="78" builtinId="42" customBuiltin="1"/>
    <cellStyle name="20% - Énfasis5" xfId="82" builtinId="46" customBuiltin="1"/>
    <cellStyle name="20% - Énfasis6" xfId="86" builtinId="50" customBuiltin="1"/>
    <cellStyle name="40% - Énfasis1" xfId="67" builtinId="31" customBuiltin="1"/>
    <cellStyle name="40% - Énfasis2" xfId="71" builtinId="35" customBuiltin="1"/>
    <cellStyle name="40% - Énfasis3" xfId="75" builtinId="39" customBuiltin="1"/>
    <cellStyle name="40% - Énfasis4" xfId="79" builtinId="43" customBuiltin="1"/>
    <cellStyle name="40% - Énfasis5" xfId="83" builtinId="47" customBuiltin="1"/>
    <cellStyle name="40% - Énfasis6" xfId="87" builtinId="51" customBuiltin="1"/>
    <cellStyle name="60% - Énfasis1" xfId="68" builtinId="32" customBuiltin="1"/>
    <cellStyle name="60% - Énfasis2" xfId="72" builtinId="36" customBuiltin="1"/>
    <cellStyle name="60% - Énfasis3" xfId="76" builtinId="40" customBuiltin="1"/>
    <cellStyle name="60% - Énfasis4" xfId="80" builtinId="44" customBuiltin="1"/>
    <cellStyle name="60% - Énfasis5" xfId="84" builtinId="48" customBuiltin="1"/>
    <cellStyle name="60% - Énfasis6" xfId="88" builtinId="52" customBuiltin="1"/>
    <cellStyle name="Buena" xfId="53" builtinId="26" customBuiltin="1"/>
    <cellStyle name="Cálculo" xfId="58" builtinId="22" customBuiltin="1"/>
    <cellStyle name="Celda de comprobación" xfId="60" builtinId="23" customBuiltin="1"/>
    <cellStyle name="Celda vinculada" xfId="59" builtinId="24" customBuiltin="1"/>
    <cellStyle name="Comma_Calendario 2003" xfId="6"/>
    <cellStyle name="Encabezado 4" xfId="52" builtinId="19" customBuiltin="1"/>
    <cellStyle name="Énfasis1" xfId="65" builtinId="29" customBuiltin="1"/>
    <cellStyle name="Énfasis2" xfId="69" builtinId="33" customBuiltin="1"/>
    <cellStyle name="Énfasis3" xfId="73" builtinId="37" customBuiltin="1"/>
    <cellStyle name="Énfasis4" xfId="77" builtinId="41" customBuiltin="1"/>
    <cellStyle name="Énfasis5" xfId="81" builtinId="45" customBuiltin="1"/>
    <cellStyle name="Énfasis6" xfId="85" builtinId="49" customBuiltin="1"/>
    <cellStyle name="Entrada" xfId="56" builtinId="20" customBuiltin="1"/>
    <cellStyle name="Estilo 1" xfId="7"/>
    <cellStyle name="Euro" xfId="8"/>
    <cellStyle name="Euro 2" xfId="39"/>
    <cellStyle name="Hipervínculo 2" xfId="9"/>
    <cellStyle name="Hipervínculo 3" xfId="40"/>
    <cellStyle name="Incorrecto" xfId="54" builtinId="27" customBuiltin="1"/>
    <cellStyle name="Linea horizontal" xfId="10"/>
    <cellStyle name="Millares" xfId="1" builtinId="3"/>
    <cellStyle name="Millares 2" xfId="11"/>
    <cellStyle name="Millares 2 2" xfId="37"/>
    <cellStyle name="Millares 2 3" xfId="41"/>
    <cellStyle name="Millares 3" xfId="12"/>
    <cellStyle name="Millares 3 2" xfId="33"/>
    <cellStyle name="Millares 4" xfId="13"/>
    <cellStyle name="Millares 5" xfId="32"/>
    <cellStyle name="Millares 6" xfId="36"/>
    <cellStyle name="Millares 7" xfId="42"/>
    <cellStyle name="Millares 8" xfId="43"/>
    <cellStyle name="Millares 9" xfId="44"/>
    <cellStyle name="Neutral" xfId="55" builtinId="28" customBuiltin="1"/>
    <cellStyle name="Normal" xfId="0" builtinId="0"/>
    <cellStyle name="Normal - Modelo1" xfId="14"/>
    <cellStyle name="Normal - Modelo2" xfId="15"/>
    <cellStyle name="Normal - Modelo3" xfId="16"/>
    <cellStyle name="Normal 2" xfId="2"/>
    <cellStyle name="Normal 2 2" xfId="24"/>
    <cellStyle name="Normal 2 3" xfId="25"/>
    <cellStyle name="Normal 2 3 2" xfId="45"/>
    <cellStyle name="Normal 2 4" xfId="26"/>
    <cellStyle name="Normal 2_Prioritarios 2010-Nominal (2)" xfId="46"/>
    <cellStyle name="Normal 3" xfId="17"/>
    <cellStyle name="Normal 3 2" xfId="47"/>
    <cellStyle name="Normal 4" xfId="18"/>
    <cellStyle name="Normal 4 2" xfId="30"/>
    <cellStyle name="Normal 5" xfId="19"/>
    <cellStyle name="Normal 6" xfId="31"/>
    <cellStyle name="Normal 7" xfId="34"/>
    <cellStyle name="Normal 8" xfId="35"/>
    <cellStyle name="Normal 9" xfId="89"/>
    <cellStyle name="Normal_Hoja1" xfId="3"/>
    <cellStyle name="Normal_Hoja1_1_2009.11.16 Anexos PEF Final (sin procesar erratas)" xfId="28"/>
    <cellStyle name="Normal_martes Educación" xfId="27"/>
    <cellStyle name="Notas" xfId="62" builtinId="10" customBuiltin="1"/>
    <cellStyle name="Percent_fotfcor" xfId="20"/>
    <cellStyle name="Porcentual" xfId="23" builtinId="5"/>
    <cellStyle name="Porcentual 2" xfId="21"/>
    <cellStyle name="Porcentual 3" xfId="38"/>
    <cellStyle name="Salida" xfId="57" builtinId="21" customBuiltin="1"/>
    <cellStyle name="Texto de advertencia" xfId="61" builtinId="11" customBuiltin="1"/>
    <cellStyle name="Texto explicativo" xfId="63" builtinId="53" customBuiltin="1"/>
    <cellStyle name="Texto, derecha" xfId="22"/>
    <cellStyle name="Título" xfId="48" builtinId="15" customBuiltin="1"/>
    <cellStyle name="Título 1" xfId="49" builtinId="16" customBuiltin="1"/>
    <cellStyle name="Título 2" xfId="50" builtinId="17" customBuiltin="1"/>
    <cellStyle name="Título 3" xfId="51" builtinId="18" customBuiltin="1"/>
    <cellStyle name="Total" xfId="64" builtinId="25" customBuiltin="1"/>
  </cellStyles>
  <dxfs count="253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vertical="center" indent="0" relativeIndent="255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B050"/>
      <color rgb="FFFFCCCC"/>
      <color rgb="FF008080"/>
      <color rgb="FF80FBFE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3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SHCP/2012/Trimestral/2do%20Trim/MetodologiaIndigena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2003.04.29%20Exp.Motivos%20PPEF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Ciclo%202008\Escenarios\29AgostoRB\070819%20Resumen%20Comparativo%202007-2008%20(3.5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PROYECTO%202006\FUNCIONAL%202000-2004%20BASE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rcc\PEF%202009\cat&#225;logos%20funcion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ioritarios%20y%20principal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2008\CUENTA%20P&#218;BLICA%202000-2007\CUENTA%20P&#218;BLICA%202004-20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JRB2002\EXCEL\ASIGNACION%20ORIGINAL%20DEFINITIV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Gr&#225;ficas%20Exp%20Mot%20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P\PEF04\Exposicion%20de%20Motivos\2003.08.13%20Exp.Motivos%20PPEF%20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9\EM\Definitivos\Cuadros%20EM%202009_02-09-2008_entregado_C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ntonio_hernandez\Configuraci&#243;n%20local\Archivos%20temporales%20de%20Internet\OLKCD\GBM%20ULTIMA%20HO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Aprobado%202009\Cuadernos%20PEF%202009\Analisis%20por%20Unidad%20Responsable%2008-09%2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Para%20llevar\CRC%202009\CRC%202009%20Ramos%20prueb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o_ruiz\Mis%20documentos\Expo%20motivos%202004\03-11\2003.11.04%20Inversi&#243;n%20Social%20Gr&#225;ficas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RPEDEV%20ADECUADO%20II,%20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guel_fernandez\Configuraci&#243;n%20local\Archivos%20temporales%20de%20Internet\OLK10\definitivo\funcional%20por%20ramo%20ppef%2020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~1\AppData\Local\Temp\Rar$DI00.870\Alor\17%20PEF%202011\Anexos%20PEF%202011\AC01%20GNT%20PPEF%202010%20camar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yei\Presup\Pto97_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2002\controlado\seguimiento\CUADR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ogramas%20Prioritarios%20200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CARATULA%20ADECUADO%20II,%20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0%20%20%20Camara%20PEF%202010\11%20Noviembre%20Correo\ajuste%20oic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fe%20Pidiregas%20Tomo%20IV%202001%20(1a.%20VER)%2001-11-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Calendarios%202003\DGPyPA\Lunes13\BANPR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Proyecto%202009\Nueva%20clasificaci&#243;n\Libro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4"/>
      <sheetName val="Hoja2"/>
      <sheetName val="Hoja3"/>
      <sheetName val="MetodologiaIndigenas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ECOAGO99"/>
      <sheetName val="INGRESOS"/>
      <sheetName val="GASTOS"/>
      <sheetName val="FLUJO"/>
      <sheetName val="CONCILIACIÓN INGRESOS"/>
      <sheetName val="CONCILIACIÓN GASTOS"/>
      <sheetName val="CONCILIACIÓN RESULTADOS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ACTIV"/>
      <sheetName val="BANPRO99"/>
      <sheetName val="Tipos de Cambio"/>
    </sheetNames>
    <sheetDataSet>
      <sheetData sheetId="0"/>
      <sheetData sheetId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Tipos de Cambio"/>
      <sheetName val="INGRESOS"/>
      <sheetName val="GASTOS"/>
      <sheetName val="FLUJO"/>
      <sheetName val="CONCILIACIÓN INGRESOS"/>
      <sheetName val="CONCILIACIÓN GASTOS"/>
      <sheetName val="CONCILIACIÓN RESULTADOS"/>
      <sheetName val="Datos 2008_2009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Isaac\Documents\C&#225;mara%20de%20Diputados\PEF-PPEF%20(SHCP)\PPEF%202011\BD%20SHCP\BD\BD\PEF%2020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saac" refreshedDate="40496.744414814813" createdVersion="3" refreshedVersion="3" minRefreshableVersion="3" recordCount="7522">
  <cacheSource type="worksheet">
    <worksheetSource ref="A1:AL7523" sheet="BD PP-UR" r:id="rId2"/>
  </cacheSource>
  <cacheFields count="38">
    <cacheField name="Tipo de Ramo" numFmtId="0">
      <sharedItems containsBlank="1" count="5">
        <s v="Ramos Autónomos"/>
        <s v="Ramos Administrativos"/>
        <s v="Ramos Generales"/>
        <s v="Entidades Sujetas a Control Presupuestario Directo"/>
        <m u="1"/>
      </sharedItems>
    </cacheField>
    <cacheField name="No. Ramo" numFmtId="0">
      <sharedItems containsMixedTypes="1" containsNumber="1" containsInteger="1" minValue="1" maxValue="40" count="42">
        <n v="1"/>
        <n v="3"/>
        <n v="22"/>
        <n v="35"/>
        <n v="40"/>
        <n v="2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20"/>
        <n v="21"/>
        <n v="27"/>
        <n v="31"/>
        <n v="32"/>
        <n v="36"/>
        <n v="37"/>
        <n v="38"/>
        <n v="19"/>
        <n v="23"/>
        <n v="24"/>
        <n v="25"/>
        <n v="28"/>
        <n v="30"/>
        <n v="33"/>
        <n v="34"/>
        <s v="GYN"/>
        <s v="GYR"/>
        <s v="T1O"/>
        <s v="TOQ"/>
        <s v="TZZ"/>
      </sharedItems>
    </cacheField>
    <cacheField name="Ramo" numFmtId="0">
      <sharedItems count="42">
        <s v="Poder Legislativo"/>
        <s v="Poder Judicial"/>
        <s v="Instituto Federal Electoral"/>
        <s v="Comisión Nacional de los Derechos Humanos"/>
        <s v="Información Nacional Estadística y Geográfica"/>
        <s v="Presidencia de la República"/>
        <s v="Gobernación"/>
        <s v="Relaciones Exteriores"/>
        <s v="Hacienda y Crédito Público"/>
        <s v="Defensa Nacional"/>
        <s v="Agricultura, Ganadería, Desarrollo Rural, Pesca y Alimentación"/>
        <s v="Comunicaciones y Transportes"/>
        <s v="Economía"/>
        <s v="Educación Pública"/>
        <s v="Salud"/>
        <s v="Marina"/>
        <s v="Trabajo y Previsión Social"/>
        <s v="Reforma Agraria"/>
        <s v="Medio Ambiente y Recursos Naturales"/>
        <s v="Procuraduría General de la República"/>
        <s v="Energía"/>
        <s v="Desarrollo Social"/>
        <s v="Turismo"/>
        <s v="Función Pública"/>
        <s v="Tribunales Agrarios"/>
        <s v="Tribunal Federal de Justicia Fiscal y Administrativa"/>
        <s v="Seguridad Pública"/>
        <s v="Consejería Jurídica del Ejecutivo Federal"/>
        <s v="Consejo Nacional de Ciencia y Tecnología"/>
        <s v="Aportaciones a Seguridad Social"/>
        <s v="Provisiones Salariales y Económicas"/>
        <s v="Deuda Pública"/>
        <s v="Previsiones y Aportaciones para los Sistemas de Educación Básica, Normal, Tecnológica y de Adultos"/>
        <s v="Participaciones a Entidades Federativas y Municipios"/>
        <s v="Adeudos de Ejercicios Fiscales Anteriores"/>
        <s v="Aportaciones Federales para Entidades Federativas y Municipios"/>
        <s v="Erogaciones para los Programas de Apoyo a Ahorradores y Deudores de la Banca"/>
        <s v="Instituto de Seguridad y Servicios Sociales de los Trabajadores del Estado"/>
        <s v="Instituto Mexicano del Seguro Social"/>
        <s v="Luz y Fuerza del Centro"/>
        <s v="Comisión Federal de Electricidad"/>
        <s v="Petroleos Mexicanos"/>
      </sharedItems>
    </cacheField>
    <cacheField name="IPP" numFmtId="0">
      <sharedItems containsBlank="1" count="22">
        <s v="K"/>
        <s v="R"/>
        <s v="M"/>
        <s v="O"/>
        <s v="E"/>
        <s v="P"/>
        <s v="N"/>
        <s v="U"/>
        <s v="B"/>
        <s v="F"/>
        <s v="G"/>
        <s v="S"/>
        <s v="A"/>
        <s v="L"/>
        <m/>
        <s v="I"/>
        <s v="J"/>
        <s v="T"/>
        <s v="D"/>
        <s v="C"/>
        <s v="H"/>
        <s v="W"/>
      </sharedItems>
    </cacheField>
    <cacheField name="Identificador de Programa Presupuestario" numFmtId="0">
      <sharedItems containsBlank="1"/>
    </cacheField>
    <cacheField name="PP" numFmtId="0">
      <sharedItems containsString="0" containsBlank="1" containsNumber="1" containsInteger="1" minValue="1" maxValue="900" count="370">
        <n v="25"/>
        <n v="27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22"/>
        <n v="23"/>
        <n v="19"/>
        <n v="20"/>
        <n v="21"/>
        <n v="26"/>
        <n v="29"/>
        <n v="30"/>
        <n v="31"/>
        <n v="32"/>
        <n v="33"/>
        <n v="28"/>
        <n v="99"/>
        <n v="172"/>
        <n v="177"/>
        <n v="178"/>
        <n v="179"/>
        <n v="180"/>
        <n v="181"/>
        <n v="182"/>
        <n v="183"/>
        <n v="184"/>
        <n v="185"/>
        <n v="199"/>
        <n v="210"/>
        <n v="229"/>
        <n v="900"/>
        <n v="24"/>
        <n v="230"/>
        <n v="231"/>
        <n v="232"/>
        <n v="233"/>
        <n v="234"/>
        <n v="34"/>
        <n v="35"/>
        <n v="36"/>
        <n v="37"/>
        <n v="38"/>
        <n v="39"/>
        <n v="40"/>
        <n v="41"/>
        <n v="45"/>
        <n v="71"/>
        <n v="151"/>
        <n v="214"/>
        <n v="220"/>
        <n v="42"/>
        <n v="43"/>
        <n v="46"/>
        <n v="47"/>
        <n v="48"/>
        <n v="49"/>
        <n v="50"/>
        <n v="51"/>
        <n v="57"/>
        <n v="60"/>
        <n v="44"/>
        <n v="65"/>
        <n v="66"/>
        <n v="67"/>
        <n v="72"/>
        <n v="84"/>
        <n v="108"/>
        <n v="111"/>
        <n v="119"/>
        <n v="126"/>
        <n v="127"/>
        <n v="128"/>
        <n v="152"/>
        <n v="156"/>
        <n v="204"/>
        <n v="205"/>
        <n v="206"/>
        <n v="207"/>
        <n v="208"/>
        <n v="209"/>
        <n v="221"/>
        <n v="222"/>
        <n v="223"/>
        <n v="227"/>
        <n v="235"/>
        <n v="238"/>
        <m/>
        <n v="55"/>
        <n v="59"/>
        <n v="61"/>
        <n v="62"/>
        <n v="63"/>
        <n v="64"/>
        <n v="68"/>
        <n v="149"/>
        <n v="150"/>
        <n v="174"/>
        <n v="200"/>
        <n v="201"/>
        <n v="202"/>
        <n v="88"/>
        <n v="89"/>
        <n v="203"/>
        <n v="129"/>
        <n v="131"/>
        <n v="132"/>
        <n v="133"/>
        <n v="134"/>
        <n v="135"/>
        <n v="137"/>
        <n v="138"/>
        <n v="74"/>
        <n v="75"/>
        <n v="79"/>
        <n v="110"/>
        <n v="122"/>
        <n v="217"/>
        <n v="218"/>
        <n v="52"/>
        <n v="175"/>
        <n v="53"/>
        <n v="54"/>
        <n v="58"/>
        <n v="70"/>
        <n v="117"/>
        <n v="118"/>
        <n v="155"/>
        <n v="176"/>
        <n v="213"/>
        <n v="216"/>
        <n v="237"/>
        <n v="190"/>
        <n v="191"/>
        <n v="192"/>
        <n v="225"/>
        <n v="236"/>
        <n v="78"/>
        <n v="80"/>
        <n v="81"/>
        <n v="82"/>
        <n v="83"/>
        <n v="85"/>
        <n v="86"/>
        <n v="87"/>
        <n v="90"/>
        <n v="91"/>
        <n v="92"/>
        <n v="93"/>
        <n v="94"/>
        <n v="95"/>
        <n v="96"/>
        <n v="97"/>
        <n v="98"/>
        <n v="100"/>
        <n v="101"/>
        <n v="102"/>
        <n v="103"/>
        <n v="116"/>
        <n v="56"/>
        <n v="104"/>
        <n v="105"/>
        <n v="106"/>
        <n v="107"/>
        <n v="112"/>
        <n v="113"/>
        <n v="114"/>
        <n v="115"/>
        <n v="120"/>
        <n v="121"/>
        <n v="123"/>
        <n v="124"/>
        <n v="125"/>
        <n v="130"/>
        <n v="211"/>
        <n v="212"/>
        <n v="215"/>
        <n v="219"/>
        <n v="224"/>
        <n v="226"/>
        <n v="228"/>
        <n v="301"/>
        <n v="302"/>
        <n v="303"/>
        <n v="304"/>
        <n v="305"/>
        <n v="306"/>
        <n v="307"/>
        <n v="308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4"/>
        <n v="601"/>
        <n v="602"/>
        <n v="603"/>
        <n v="604"/>
        <n v="605"/>
        <n v="606"/>
        <n v="607"/>
        <n v="608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734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555"/>
        <n v="561"/>
        <n v="562"/>
        <n v="563"/>
        <n v="567"/>
        <n v="568"/>
        <n v="570"/>
        <n v="578"/>
        <n v="571"/>
        <n v="552"/>
        <n v="553"/>
        <n v="582"/>
        <n v="584"/>
        <n v="585"/>
      </sharedItems>
    </cacheField>
    <cacheField name="Programa Presupuestario (PP)" numFmtId="0">
      <sharedItems count="1170">
        <s v="Proyectos de inmuebles (oficinas administrativas)"/>
        <s v="Mantenimiento de Infraestructura"/>
        <s v="Actividades derivadas del trabajo legislativo"/>
        <s v="Entregar a la Cámara de Diputados del H. Congreso de la Unión, el informe sobre la revisión de la Cuenta de la Hacienda Pública Federal"/>
        <s v="Otras Actividades"/>
        <s v="Apoyo al proceso presupuestario y para mejorar la eficiencia institucional"/>
        <s v="Apoyo a la función pública y al mejoramiento de la gestión"/>
        <s v="Planeación, concertación y control"/>
        <s v="Organizar procesos electorales federales"/>
        <s v="Capacitar y educar para el ejercicio democrático de la ciudadanía"/>
        <s v="Formar servidores públicos"/>
        <s v="Actualizar el padrón electoral y expedir la credencial para votar"/>
        <s v="Administrar las prerrogativas electorales de los partidos políticos"/>
        <s v="Fiscalización de los Recursos de los Partidos Políticos"/>
        <s v="Establecer y dirigir la estrategia institucional para proteger y promover los Derechos Humanos y presentar sus resultados"/>
        <s v="Proporcionar servicios que se brindan en las áreas de atención al público en oficinas centrales"/>
        <s v="Proporcionar servicios de atención al público en oficinas centrales y oficinas foráneas"/>
        <s v="Solucionar expedientes de presuntas violaciones a los Derechos Humanos: Quejas, Orientaciones Directas y Remisiones"/>
        <s v="Solucionar inconformidades por la actuación de organismos y autoridades de las entidades federativas"/>
        <s v="Proporcionar servicios victimológicos a las víctimas del delito"/>
        <s v="Atender quejas relacionadas con personas reportadas como desaparecidas"/>
        <s v="Realizar visitas de supervisión a lugares de detención en ejercicio de las facultades del Mecanismo Nacional de Prevención de la Tortura y Otros Tratos o Penas Crueles, Inhumanos o Degradantes"/>
        <s v="Gestionar asuntos sobre beneficios de libertad anticipada, traslados penitenciarios y contra la pena de muerte de nacionales en el extranjero"/>
        <s v="Gestionar asuntos sobre beneficios de libertad anticipada para indígenas"/>
        <s v="Atender asuntos de la niñez y la familia"/>
        <s v="Promover los Derechos Humanos de las personas que viven con VIH y/o sida"/>
        <s v="Promover, divulgar, dar seguimiento, evaluar y monitorear la política nacional en materia de igualdad entre mujeres y hombres; y atender los asuntos de la mujer"/>
        <s v="Promover el respeto de los Derechos Humanos de los migrantes, posibles victimas de trata de personas, de periodistas y defensores civiles de los Derechos Humanos"/>
        <s v="Impartir capacitación en Derechos Humanos y establecer vínculos de colaboración interinstitucional"/>
        <s v="Establecer acuerdos de cooperación con organismos afines, nacionales e internacionales; realizar estudios y administrar el archivo institucional"/>
        <s v="Ejecutar el programa de comunicación social"/>
        <s v="Coordinar las publicaciones, realizar investigaciones, promover la formación académica y ofrecer servicios bibliohemerográficos en materia de Derechos Humanos"/>
        <s v="Promover los Derechos Humanos de los pueblos y las comunidades indígenas"/>
        <s v="Apoyar a Organismos Locales de Protección a Derechos Humanos para la elaboración del Diagnóstico Nacional de Supervisión Penitenciaria (DNSP)"/>
        <s v="Actividades de apoyo administrativo"/>
        <s v="Apoyo a la Función Pública y Buen Gobierno"/>
        <s v="Planear las actividades y analizar los resultados institucionales"/>
        <s v="Desarrollar y administrar sistemas a las unidades responsables y organismos estatales; administrar las páginas de internet e intranet y promover los Derechos Humanos a través de herramientas informáticas"/>
        <s v="Realizar acciones de apoyo jurídico"/>
        <s v="Censo Agropecuario"/>
        <s v="Censo de Población y Vivienda"/>
        <s v="Censos Económicos"/>
        <s v="Actividades de apoyo a la función pública y buen gobierno"/>
        <s v="Planeación, Coordinación, Seguimiento y Evaluación del Sistema Nacional de Información Estadística y Geográfica"/>
        <s v="Producción y difusión de información estadística y geográfica de interés nacional"/>
        <s v="Asesoramiento, coordinación, difusión y apoyo de las acciones en materia de seguridad nacional a cargo del Consejo de Seguridad Nacional"/>
        <s v="Asesoraría, coordinación, difusión y apoyo técnico de las actividades del Presidente de la República"/>
        <s v="Atención y seguimiento a las solicitudes y demandas de la ciudadanía."/>
        <s v="Apoyo a las actividades de seguridad y logistica para garantizar la integridad del Ejecutivo Federal"/>
        <s v="Apoyo a las actividades de mantenimiento y conservación de Palacio Nacional"/>
        <s v="Servicios de inteligencia para la Seguridad Nacional"/>
        <s v="Preservación y difusión del acervo documental de la Nación y de las Revoluciones de México"/>
        <s v="Producción de programas informativos de radio y televisión del Ejecutivo Federal"/>
        <s v="Atención a refugiados en el país"/>
        <s v="Servicios migratorios en fronteras, puertos y aeropuertos"/>
        <s v="Impartición de justicia laboral para los trabajadores al servicio del Estado"/>
        <s v="Promover la Protección de los Derechos Humanos y Prevenir la Discriminación."/>
        <s v="Registro e Identificación de Población"/>
        <s v="Operación del Registro Público Vehicular"/>
        <s v="Realizar, promover y coordinar la generación, producción y distribución de materiales audiovisuales"/>
        <s v="Promover la atención y prevención de la violencia contra las mujeres"/>
        <s v="Proyectos de infraestructura gubernamental de gobernación"/>
        <s v="Coordinación del Sistema Nacional de Protección Civil"/>
        <s v="Conducción de la política interior y las relaciones del Ejecutivo Federal con el Congreso de la Unión, Entidades Federativas y Asociaciones Políticas y Sociales"/>
        <s v="Actividades para contribuir al desarrollo político y cívico social del país"/>
        <s v="Divulgación de las acciones en materia de derechos humanos."/>
        <s v="Conducción de la política de comunicación social de la Administración Pública Federal y la relación con los medios de comunicación"/>
        <s v="Planeación demográfica del país"/>
        <s v="Defensa jurídica de la Secretaría de Gobernación y compilación jurídica nacional y testamentaria ciudadana"/>
        <s v="Implementación de la Reforma al Sistema de Justicia Penal"/>
        <s v="Operación del Sistema Nacional de Información de Seguridad Pública"/>
        <s v="Desarrollo y aplicación de programas y políticas en materia de prevención social del delito y promoción de la participación ciudadana"/>
        <s v="Emisión y supervisión de criterios, normas, procedimientos y estándares de evaluación y control de confianza de servidores públicos de las Instituciones de Seguridad Pública"/>
        <s v="Ejecución y seguimiento de acuerdos y resoluciones del Consejo Nacional de Seguridad Pública"/>
        <s v="Fondo de Apoyo Social para Ex Trabajadores Migratorios mexicanos en Estados Unidos"/>
        <s v="Modernización Integral del Registro Civil con Entidades Federativas"/>
        <s v="Otorgamiento de subsidios en materia de Seguridad Pública a Entidades Federativas, Municipios y el Distrito Federal"/>
        <s v="Otorgamiento de subsidios para las entidades federativas en materia de seguridad pública para el mando único policial"/>
        <s v="Atención a las comunidades mexicanas en el exterior"/>
        <s v="Protección y asistencia consular"/>
        <s v="Expedición de pasaportes y servicios consulares"/>
        <s v="Defensa de los intereses de México y de sus nacionales en litigios internacionales"/>
        <s v="Preservación de la integridad territorial y delimitación de las fronteras del país."/>
        <s v="Fortalecimiento de las capacidades del Servicio Exterior Mexicano y de la Cancillería."/>
        <s v="Coordinación de la agenda económica, la promoción comercial de México en el exterior y la cooperación internacional"/>
        <s v="Diseño y conducción de la política exterior de México"/>
        <s v="Coordinación de la política exterior de México en materia de derechos humanos y democracia"/>
        <s v="Promoción y defensa de los intereses de México en el exterior, en los ámbitos bilateral y regional"/>
        <s v="Promoción y defensa de los intereses de México en el Sistema de Naciones Unidas y demás foros multilaterales que se ocupan de temas globales"/>
        <s v="Promoción y defensa de los intereses de México en los organismos económicos internacionales"/>
        <s v="Promoción de la cultura de México en el exterior"/>
        <s v="Foros, publicaciones y actividades en materia de equidad de género"/>
        <s v="Compromisos financieros de México ante organismos internacionales"/>
        <s v="Producción de impresos valorados, no valorados, numerados y de seguridad"/>
        <s v="Administración de los fondos federales y valores en propiedad y/o custodia del Gobierno Federal"/>
        <s v="Recopilación y producción de material informativo (Notimex)"/>
        <s v="Promoción del acceso a la información pública"/>
        <s v="Administración, restauración y difusión del acervo patrimonial y documental de la SHCP"/>
        <s v="Protección y Defensa de los Usuarios de Servicios Financieros"/>
        <s v="Control de la operación aduanera"/>
        <s v="Recaudación de las contribuciones federales"/>
        <s v="Modernización y simplificación de los procesos tributario y de comercio exterior"/>
        <s v="Programa de Garantías Liquidas"/>
        <s v="Programa integral de formación, capacitación y consultoría para Productores e Intermediarios Financieros Rurales."/>
        <s v="Productos y Servicios para Fortalecer el Sector y Fomentar la Inclusión Financiera"/>
        <s v="Programas de Capital de Riesgo y para Servicios de Cobertura"/>
        <s v="Programas que canalizan apoyos para el fomento financiero y tecnológico a los sectores agropecuario, forestal, pesquero y rural"/>
        <s v="Acciones para Igualdad de Género con Población Indígena"/>
        <s v="Administración y enajenación de los activos referidos en la Ley Federal para la Administración y Enajenación de Bienes del Sector Público (SAE)"/>
        <s v="Constitución y Operación de Unidades de Promoción de Crédito"/>
        <s v="Reducción de Costos de Acceso al Crédito"/>
        <s v="Comunicación Intercultural"/>
        <s v="Fortalecimiento de Capacidades Indígenas"/>
        <s v="Fortalecimiento de la Infraestructura Bancaria"/>
        <s v="Regulación del sector financiero"/>
        <s v="Detección y prevención de ilícitos financieros relacionados con el terrorismo y el lavado de dinero"/>
        <s v="Regulación, inspección y vigilancia de entidades participantes en los Sistemas de Ahorro para el Retiro,"/>
        <s v="Regulación, inspección y vigilancia del sector asegurador"/>
        <s v="Regulación, inspección y vigilancia del sector bancario y de valores"/>
        <s v="Otros proyectos de infraestructura social"/>
        <s v="Estudios de preinversión"/>
        <s v="Operación del Servicio Profesional de Carrera en la Administración Pública Federal Centralizada"/>
        <s v="Diseño de la política de ingresos"/>
        <s v="Diseño e instrumentación de las políticas y estrategias en materia de programación, presupuesto, gasto público federal, contabilidad y rendición de cuentas de la gestión del sector público"/>
        <s v="Diseño e instrumentación de las estrategias macroeconómica, de finanzas y de deuda pública"/>
        <s v="Asesoría jurídica y representación judicial y administrativa de la SHCP"/>
        <s v="Conducción e instrumentación de la política nacional de vivienda y suelo para uso y redensificación habitacional"/>
        <s v="Promoción y coordinación de las acciones para la equidad de género"/>
        <s v="Perfeccionamiento del Sistema Nacional de Coordinación Fiscal"/>
        <s v="Instrumentación de Políticas Transversales con Población Indígena"/>
        <s v="Planeación y Participación Indígena"/>
        <s v="Acciones de control de las unidades centrales y foráneas"/>
        <s v="Compromisos con Organismos Financieros Internacionales"/>
        <s v="Programa de cuotas a organismos internacionales tributarios y de comercio exterior"/>
        <s v="Programa de Subsidio a la Prima del Seguro Agropecuario"/>
        <s v="Fortalecimiento a la Transversalidad de la Perspectiva de Género"/>
        <s v="Programa de Apoyo a los Fondos de Aseguramiento Agropecuario"/>
        <s v="Programa de esquema de financiamiento y subsidio federal para vivienda"/>
        <s v="Programas Albergues Escolares Indígenas (PAEI)"/>
        <s v="Programa de Infraestructura Básica para la Atención de los Pueblos Indígenas (PIBAI)"/>
        <s v="Programa Fondos Regionales Indígenas (PFRI)"/>
        <s v="Programa Organización Productiva para Mujeres Indígenas (POPMI)"/>
        <s v="Programa Promoción de Convenios en Materia de Justicia (PPCMJ)"/>
        <s v="Programa de Fomento y Desarrollo de las Culturas Indígenas (PFDCI)"/>
        <s v="Programa Turismo Alternativo en Zonas Indígenas (PTAZI)"/>
        <s v="Programa de Coordinación para el Apoyo a la Producción Indígena (PROCAPI)"/>
        <s v="Programa de Seguro para Contingencias Climatológicas"/>
        <s v="Programa de Asistencia Técnica al Microfinanciamiento Rural"/>
        <s v="Fortalecimiento a las Políticas Municipales de Igualdad y Equidad entre Mujeres y Hombres."/>
        <s v="Fomento a la producción de vivienda en las Entidades Federativas y Municipios"/>
        <s v="Proyecto para la Atención a Indígenas Desplazados (Indígenas urbanos y migrantes desplazados)"/>
        <s v="Apoyo a proyectos de comunicación indígena"/>
        <s v="Atención a Tercer Nivel"/>
        <s v="Manejo y Conservación de Recursos Naturales en Zonas Indígenas"/>
        <s v="Excarcelación de Presos Indígenas"/>
        <s v="Apoyos para la Inclusión Financiera y la Bancarización"/>
        <s v="Investigación y desarrollo tecnológico, producción y mantenimiento de armamento, municiones, explosivos, vehículos y equipos militares y sus accesorios"/>
        <s v="Defensa de la Integridad, la Independencia, la Soberanía del Territorio Nacional"/>
        <s v="Acciones de vigilancia en el territorio nacional"/>
        <s v="Programa de Seguridad Pública de la Secretaría de la Defensa Nacional"/>
        <s v="Procuración de justicia militar"/>
        <s v="Impartición de justicia militar"/>
        <s v="Profesionalización de los recursos humanos del ejército y fuerza aérea mediante el sistema educativo militar (educación media superior)"/>
        <s v="Profesionalización de los recursos humanos del ejército y fuerza aérea mediante el sistema educativo militar (educación superior)"/>
        <s v="Servicios de Salud al personal militar y sus derechohabientes"/>
        <s v="Programa de Emergencias Radiológicas Externo (P.E.R.E.)"/>
        <s v="Derechos humanos"/>
        <s v="Diseño, producción y mantenimiento de vestuario y equipo militar"/>
        <s v="Conservación y mantenimiento de la infraestructura militar y maquinaria militar"/>
        <s v="Capacitación y sensibilización para efectivos en perspectiva de género"/>
        <s v="Proyectos de infraestructura gubernamental de seguridad nacional"/>
        <s v="Programa de Becas para los hijos del Personal de las Fuerza Armadas en activo"/>
        <s v="Desarrollo y aplicación de programas educativos a nivel medio superior"/>
        <s v="Desarrollo de los programas educativos a nivel superior"/>
        <s v="Vinculación entre los Servicios Académicos que presta la Universidad Autónoma Chapingo y el Desarrollo de la Investigación Científica y Tecnológica"/>
        <s v="Desarrollo y aplicación de programas educativos en materia agropecuaria"/>
        <s v="Apoyo al cambio tecnológico en las actividades agropecuarias, rurales, acuícolas y pesqueras"/>
        <s v="Generación de Proyectos de Investigación"/>
        <s v="Promoción de Exportaciones y Ferias"/>
        <s v="Desarrollo de Mercados Agropecuarios y Pesqueros e Información"/>
        <s v="Planeación y Prospectiva"/>
        <s v="Inspección y Vigilancia Pesquera"/>
        <s v="Promoción, fomento y difusión de las políticas sectoriales en materia agropecuaria y pesquera"/>
        <s v="Regulación, supervisión y aplicación de las políticas públicas en materia agropecuaria, acuícola y pesquera"/>
        <s v="Proyectos de infraestructura social de educación"/>
        <s v="Otros proyectos de infraestructura gubernamental"/>
        <s v="Otros proyectos"/>
        <s v="Responsabilidades, Resoluciones Judiciales y Pago de Liquidaciones"/>
        <s v="Registro, Control y Seguimiento de los Programas Presupuestarios"/>
        <s v="Cuotas y Aportaciones a Organismos Internacionales"/>
        <s v="Programa de Apoyo a la Inversión en Equipamiento e Infraestructura"/>
        <s v="Programa de Apoyo al Ingreso Agropecuario: PROCAMPO para Vivir Mejor"/>
        <s v="Programa de Prevención y Manejo de Riesgos"/>
        <s v="Programa de Desarrollo de Capacidades, Innovación Tecnológica y Extensionismo Rural"/>
        <s v="Programa de Sustentabilidad de los Recursos Naturales"/>
        <s v="Instrumentación de acciones para mejorar las Sanidades a través de Inspecciones Fitozoosanitarias"/>
        <s v="Determinación de los Coeficientes de Agostadero"/>
        <s v="Sistema Nacional de Investigación Agrícola"/>
        <s v="Apoyo al cambio tecnológico en las actividades acuícolas y pesqueras"/>
        <s v="Fomento de la Ganadería y Normalización de la Calidad de los Productos Pecuarios"/>
        <s v="Programa Nacional para el Control de la Abeja Africana"/>
        <s v="Campaña de Diagnóstico, Prevención y Control de la Varroasis"/>
        <s v="Vinculación Productiva"/>
        <s v="Tecnificación del Riego"/>
        <s v="Sistema Nacional de Información para el Desarrollo Sustentable (Coejercicio SNIDRUS)"/>
        <s v="Estudios técnicos para la construcción, conservación y operación de infraestructura de comunicaciones y transportes"/>
        <s v="Formación y capacitación del personal de la marina mercante"/>
        <s v="Operación de infraestructura marítimo-portuaria"/>
        <s v="Servicios de ayudas a la navegación aérea"/>
        <s v="Conservación de infraestructura ferroviaria"/>
        <s v="Servicios de correo"/>
        <s v="Servicios de telecomunicaciones, satelitales, telegráficos y de transferencia de fondos"/>
        <s v="Investigación, estudios, proyectos y capacitación en materia de transporte"/>
        <s v="Operación de infraestructura ferroviaria"/>
        <s v="Programa de Apoyo para la Seguridad en la movilidad de pasajeros"/>
        <s v="Señalamiento Marítimo"/>
        <s v="Conservación y operación de infraestructura aeroportuaria de la Red ASA"/>
        <s v="Regulación y supervisión del programa de protección y medicina preventiva en transporte multimodal"/>
        <s v="Supervisión, inspección y verificación del transporte terrestre, marítimo y aéreo"/>
        <s v="Supervisión, Regulación, Inspección y Verificación de construcción de carreteras"/>
        <s v="Regulación del sector de telecomunicaciones"/>
        <s v="Supervisión, inspección y verificación de telefonía rural"/>
        <s v="Centros de Pesaje y Dimensiones"/>
        <s v="Supervisión, inspección y verificación del sistema Nacional e-México"/>
        <s v="Derecho de Vía"/>
        <s v="Supervisión, inspección y verificación de conservación de carreteras"/>
        <s v="Supervisión y verificación de la calidad en la contrucción y conservación de carreteras"/>
        <s v="Proyectos de infraestructura económica de carreteras"/>
        <s v="Proyectos de infraestructura económica de puertos"/>
        <s v="Proyectos de infraestructura económica de aeropuertos"/>
        <s v="Proyectos de infraestructura social de ciencia y tecnología"/>
        <s v="Proyectos de infraestructura gubernamental de SCT"/>
        <s v="Proyectos de infraestructura económica de carreteras alimentadoras y caminos rurales"/>
        <s v="Conservación de Infraestructura Carretera"/>
        <s v="Estudios técnicos para la construcción, operación de infraestructura de comunicaciones y transportes"/>
        <s v="Estudios y proyectos de construcción de carreteras"/>
        <s v="Reconstrucción de carreteras"/>
        <s v="Conservación de infraestructura marítimo-portuaria"/>
        <s v="Conservación de infraestructura de caminos rurales y carreteras alimentadoras"/>
        <s v="Dragado en puertos no concesionados"/>
        <s v="Estudios y proyectos de construcción de caminos rurales y carreteras alimentadoras"/>
        <s v="Proyectos de Infraestructura Ferroviaria"/>
        <s v="Sistema de Transporte Colectivo"/>
        <s v="Sistema Satelital"/>
        <s v="Definición y conducción de la política de comunicaciones y transportes"/>
        <s v="Aportaciones a Organismos Internacionales"/>
        <s v="Programa de Empleo Temporal (PET)"/>
        <s v="Programa de subsidios al transporte ferroviario de pasajeros"/>
        <s v="Promoción de una cultura de consumo inteligente"/>
        <s v="Prevención y corrección de prácticas abusivas en las relaciones de consumo entre consumidores y proveedores"/>
        <s v="Atención de las necesidades metrológicas del país para la promoción de la uniformidad y la confiabilidad de las mediciones"/>
        <s v="Producción de información, sobre productos y servicios geológicos del territorio nacional"/>
        <s v="Atención a las solicitudes de servicios y promoción de los programas competencia de la Secretaría en el interior de la República"/>
        <s v="Promoción del desarrollo y la competitividad de empresas mineras"/>
        <s v="Promoción al Comercio Exterior y Atracción de Inversión Extranjera Directa"/>
        <s v="Regulación de la inversión extranjera en México"/>
        <s v="Regulación de las actividades en materia de normalización y supervisión del sistema de normalización y evaluación de la conformidad"/>
        <s v="Verificación y vigilancia de los derechos del consumidor plasmados en la LFPC"/>
        <s v="Regulación y modernización del servicio del Registro Público de Comercio y apoyo a los Registros Públicos de la Propiedad, así como la aplicación de la Ley Federal de Correduría Pública"/>
        <s v="Prevención y eliminación de prácticas y concentraciones monopólicas y demás restricciones a la competencia y libre concurrencia"/>
        <s v="Administración de programas de apoyo a la población de bajos ingresos con financiamiento a través de microfinancieras y otros intermediarios"/>
        <s v="Fortalecimiento del proceso de integración de México en la economía mundial"/>
        <s v="Promoción de las condiciones de competencia leal en México a través de la operación, defensa y promoción del sistema de prácticas comerciales internacionales"/>
        <s v="Desarrollo de proyectos productivos de empresas sociales y de la población de bajos ingresos"/>
        <s v="Desarrollo de la economía digital, el comercio, los servicios y la innovación"/>
        <s v="Apoyo a las actividades de planeación, elaboración y seguimiento de las políticas y programas de la dependencia"/>
        <s v="Generación de condiciones de competencia leal de comercio y emisión de normatividad eficiente comercial, mercantil y de inversión extranjera"/>
        <s v="Apoyo a la creación, desarrollo y /o consolidación de micro; pequeñas y medianas empresas mediante esquemas o recursos dirigidos a incrementar su productividad y competitividad"/>
        <s v="Promoción y fomento del desarrollo y la competitividad de los sectores industrial y comercial"/>
        <s v="Promoción de la transparencia en la elaboración y aplicación de las regulaciones y que éstas generen beneficios mayores a sus costos para la sociedad"/>
        <s v="Desarrollo del comercio internacional y facilitación del comercio"/>
        <s v="Promoción y coordinación de las acciones de enlace de la Secretaría"/>
        <s v="Desarrollo y dirección de la política de comunicación social de la Secretaría"/>
        <s v="Cuotas a organismos internacionales"/>
        <s v="Fondo proaudiovisual"/>
        <s v="Fondo de Microfinanciamiento a Mujeres Rurales (FOMMUR)"/>
        <s v="Fondo Nacional de Apoyos para Empresas en Solidaridad (FONAES)"/>
        <s v="Fondo de Apoyo para la Micro, Pequeña y Mediana Empresa (Fondo PYME)"/>
        <s v="Programa Nacional de Financiamiento al Microempresario"/>
        <s v="Programa para el Desarrollo de la Industria del Software (PROSOFT)"/>
        <s v="Competitividad en Logística y Centrales de Abasto"/>
        <s v="Programa para el Desarrollo de las Industrias de Alta Tecnología (PRODIAT)"/>
        <s v="Programa de Creación de Empleo en Zonas Marginadas"/>
        <s v="Programa para impulsar la competitividad de sectores industriales"/>
        <s v="Proyectos estratégicos para la atracción de inversión extranjera"/>
        <s v="Fondo Sectorial de Innovación"/>
        <s v="Producción y distribución de libros de texto gratuitos"/>
        <s v="Producción y edición de libros, materiales educativos y culturales"/>
        <s v="Enciclomedia"/>
        <s v="Evaluaciones confiables de la calidad educativa y difusión oportuna de sus resultados"/>
        <s v="Formación y certificación para el trabajo"/>
        <s v="Prestación de servicios de educación media superior"/>
        <s v="Prestación de servicios de educación técnica"/>
        <s v="Programa de Formación de Recursos Humanos basados en Competencias (PROFORHCOM)"/>
        <s v="Prestación de servicios de educación superior y posgrado"/>
        <s v="Impulso al desarrollo de la cultura"/>
        <s v="Incorporación, restauración, conservación y mantenimiento de bienes patrimonio de la Nación"/>
        <s v="Producción y transmisión de materiales educativos y culturales"/>
        <s v="Promoción y fomento de libros y la lectura"/>
        <s v="Construcción y equipamiento de espacios educativos, culturales y deportivos"/>
        <s v="Producción y distribución de libros, materiales educativos, culturales y comerciales"/>
        <s v="Atención al deporte"/>
        <s v="Generación y articulación de políticas públicas integrales de juventud"/>
        <s v="Investigación científica y desarrollo tecnológico"/>
        <s v="Otorgamiento y promoción de servicios cinematográficos"/>
        <s v="Normalización y certificación en competencias laborales"/>
        <s v="Diseño y aplicación de políticas de equidad de género"/>
        <s v="Registro Nacional de Profesionistas"/>
        <s v="Registro y autorización de federaciones, colegios de profesionistas y servicio social profesional"/>
        <s v="Protección de los derechos tutelados por la Ley Federal del Derecho de Autor"/>
        <s v="Servicios educativos culturales"/>
        <s v="Apoyo para operar el Consejo Nacional de Educación para la Vida y el Trabajo (INEA)"/>
        <s v="Universidad virtual"/>
        <s v="Proyectos de Prestación de Servicios a Largo Plazo"/>
        <s v="Diseño, construcción, consultoría y evaluación de la infraestructura física educativa"/>
        <s v="Emisión de la normatividad y certificación de la infraestructura física educativa"/>
        <s v="Mejores Escuelas"/>
        <s v="Fondo SEP CONACYT para la investigación en ciencia básica"/>
        <s v="Fortalecimiento de la Educación Media Superior en COLBACH- D.F."/>
        <s v="Formación de docentes de la educación media superior"/>
        <s v="Fondo de Apoyo para la calidad de los Institutos Tecnológicos (Federales y Descentralizados) equipamiento e infraestructura: talleres y laboratorios"/>
        <s v="Normar los servicios educativos"/>
        <s v="Reforma Curricular en Educación Básica"/>
        <s v="Programa Nacional de Inglés en Educación Básica"/>
        <s v="Gestión, asesoría y defensa de los intereses y el patrimonio de la Secretaría de Educación Pública"/>
        <s v="Diseño y aplicación de la política educativa"/>
        <s v="Fortalecimiento a la educación y la cultura indígena"/>
        <s v="Desarrollo, evaluación y seguimiento al uso pedagógico de los materiales educativos"/>
        <s v="Diseño y seguimiento de la información de los resultados y acciones de la Política Educativa"/>
        <s v="Fondo para el mejoramiento de las tecnologías educativas"/>
        <s v="Apoyo a Organismos Internacionales"/>
        <s v="Cuotas por compromisos internacionales"/>
        <s v="Programas de Cultura en el Estado de Aguascalientes"/>
        <s v="Programas de Cultura en el Estado de Baja California"/>
        <s v="Programas de Cultura en el Estado de Campeche"/>
        <s v="Programas de Cultura en el Estado de Coahuila"/>
        <s v="Programas de Cultura en el Estado de Colima"/>
        <s v="Programas de Cultura en el Estado de Chiapas"/>
        <s v="Programas de Cultura en el Estado de Chihuahua"/>
        <s v="Programas de Cultura en el Distrito Federal"/>
        <s v="Programas de Cultura en el Estado de Guanajuato"/>
        <s v="Programas de Cultura en el Estado de Guerrero"/>
        <s v="Programas de Cultura en el Estado de Hidalgo"/>
        <s v="Programas de Cultura en el Estado de Jalisco"/>
        <s v="Programas de Cultura en el Estado de Mexico"/>
        <s v="Programas de Cultura en el Estado de Michoacán"/>
        <s v="Programas de Cultura en el Estado de Morelos"/>
        <s v="Programas de Cultura en el Estado de Nayarit"/>
        <s v="Programas de Cultura en el Estado de Nuevo León"/>
        <s v="Programas de Cultura en el Estado de Oaxaca"/>
        <s v="Programas de Cultura en el Estado de Puebla"/>
        <s v="Programas de Cultura en el Estado de Querétaro"/>
        <s v="Programas de Cultura en el Estado de Quintana Roo"/>
        <s v="Programas de Cultura en el Estado de San Luis Potosí"/>
        <s v="Programas de Cultura en el Estado de Sinaloa"/>
        <s v="Programas de Cultura en el estado de Tabasco"/>
        <s v="Programas de Cultura en el estado de Tamaulipas"/>
        <s v="Programas de Cultura en el estado de Tlaxcala"/>
        <s v="Programas de Cultra en el Estado de Varacruz"/>
        <s v="Programas de Cultrura en el Estado de Yucatán"/>
        <s v="Programas de Cultura en el Estado de Zacatecas"/>
        <s v="Ciudades Patrimonio Mundial"/>
        <s v="Cumbre Tajín, Veracruz"/>
        <s v="Sistema de Información Registral"/>
        <s v="Apoyo y fomento a actividades y proyectos artísticos y culturales (Fondo concursable)"/>
        <s v="Estímulos a la Calidad Docente"/>
        <s v="Programa de Educación inicial y básica para la población rural e indígena"/>
        <s v="Atención a la Demanda de Educación para Adultos (INEA)"/>
        <s v="Programa de Mejoramiento del Profesorado (PROMEP)"/>
        <s v="Programa Nacional de Becas y Financiamiento (PRONABES)"/>
        <s v="Programa Escuelas de Calidad"/>
        <s v="Programa de Fortalecimiento de la Educación Especial y de la Integración Educativa"/>
        <s v="Programa de Mejoramiento Institucional de las Escuelas Normales Públicas"/>
        <s v="Programa de Desarrollo Humano Oportunidades"/>
        <s v="Acciones Compensatorias para Abatir el Rezago Educativo en Educación Inicial y Básica (CONAFE)"/>
        <s v="Programa Becas de apoyo a la Educación Básica de Madres Jóvenes y Jóvenes Embarazadas"/>
        <s v="Programa de Educación Básica para Niños y Niñas de Familias Jornaleras Agricolas Migrantes"/>
        <s v="Programa Asesor Técnico Pedagógico y para la Atención Educativa a la diversidad social, lingüística y cultural"/>
        <s v="Programa Educativo Rural"/>
        <s v="Programa del Sistema Nacional de Formación Continua y Superación Profesional de Maestros de Educación Básica en Servicio"/>
        <s v="Programa Nacional de Lectura"/>
        <s v="Programa para el Fortalecimiento del Servicio de la Educación Telesecundaria"/>
        <s v="Programa Beca de Apoyo a la Práctica Intensiva y al Servicio Social para Estudiantes de Séptimo y Octavo Semestres de Escuelas Normales Públicas"/>
        <s v="Cultura Física"/>
        <s v="Deporte"/>
        <s v="Sistema Mexicano del Deporte de Alto Rendimiento"/>
        <s v="Programa de Apoyo a las Culturas Municipales y Comunitarias (PACMYC)"/>
        <s v="Programa de Apoyo a Comunidades para Restauración de Monumentos y Bienes Artísticos de Propiedad Federal (FOREMOBA)"/>
        <s v="Programa de Apoyo a la Infraestructura Cultural de los Estados (PAICE)"/>
        <s v="Programa Escuelas de Tiempo Completo"/>
        <s v="Programa de Escuela Segura"/>
        <s v="Habilidades digitales para todos"/>
        <s v="Programa de Fortalecimiento de Comunidades Escolares de Aprendizaje, Concursable"/>
        <s v="Programa Integral de Fortalecimiento Institucional"/>
        <s v="Polideportivos"/>
        <s v="Subsidios federales para organismos descentralizados estatales"/>
        <s v="Fondo de Apoyo para Saneamiento Financiero de las UPES por Abajo de la Media Nacional en Subsidio por Alumno (Fondo de concurso para propuestas de saneamiento financiero)"/>
        <s v="Atención educativa a grupos en situación vulnerable"/>
        <s v="Escuela siempre abierta a la comunidad"/>
        <s v="Subsidio Federal para Centros de Excelencia Académica"/>
        <s v="Programa de becas"/>
        <s v="Apoyo a desregulados"/>
        <s v="Subsidio a programas para jóvenes"/>
        <s v="Educación para personas con discapacidad"/>
        <s v="Subsidios para centros de educación"/>
        <s v="Expansión de la oferta educativa en Educación Media Superior"/>
        <s v="Fondo concursable de la inversión en infraestructura para Educación Media Superior"/>
        <s v="Ampliación de la Oferta Educativa de los Institutos Tecnológicos"/>
        <s v="Fortalecimiento de la calidad en las escuelas normales"/>
        <s v="Fortalecimiento a la Educación Temprana y el Desarrollo Infantil"/>
        <s v="Atención Educativa a Grupos en Situación vulnerable en Educación Básica"/>
        <s v="Apoyos complementarios para el FAEB"/>
        <s v="Fortalecimiento de la educación media superior en COLBACH"/>
        <s v="Fortalecimiento de la educación media superior en CECYTES"/>
        <s v="Sistema Nacional de Educación a Distancia"/>
        <s v="Universidad Autónoma de la Ciudad de México"/>
        <s v="Programa de Carrera Docentes (UPES)"/>
        <s v="Fortalecimiento a las acciones asociadas a la educación indígena"/>
        <s v="Apoyo a la infraestructura de las Universidades Interculturales existentes (Fondo de concurso. Incluye equipamiento)"/>
        <s v="Fondo de Apoyo a la Calidad de las Universidades Tecnológicas (incluye equipamiento, laboratorios y talleres)"/>
        <s v="Programa de Apoyo a la Formación Profesional y Proyecto de Fundación Educación Superior-Empresa (ANUIES)"/>
        <s v="Becas Fullbright García-Robles"/>
        <s v="Fondo para la universalización de la educación media superior"/>
        <s v="Fondo para la consolidación de las Universidades Interculturales"/>
        <s v="Fondo de apoyo para la calidad de los Institutos Tecnológicos (descentralizados) Equipamiento e Infraestructura: talleres y laboratorios"/>
        <s v="Instituciones Estatales de Cultura"/>
        <s v="Apoyo Extraordinario a Actividades Culturales del Bicentenario y Centenario de la Independencia y Revolución"/>
        <s v="Equipamiento de escuelas para educación básica a nivel nacional"/>
        <s v="Fondo para el mejoramiento de las tecnologías educativas en educación básica"/>
        <s v="Apoyo extraordinario a la Benemérita Universidad Autónoma de Puebla (Anexo 26 PEF)"/>
        <s v="Apoyo extraordinario a la Universidad Comunitaria Intercultural Potosina (Anexo 26 PEF)"/>
        <s v="Apoyo a las Entidades Federativas para el Programa Nacional de Inglés en Educación Básica"/>
        <s v="Fondo para la atención de problemas estructurales de las UPES"/>
        <s v="Fondo para elevar la calidad de la educación superior"/>
        <s v="Fondo para ampliar y diversificar la oferta educativa en educación superior"/>
        <s v="Formación de recursos humanos especializados para la salud (Hospitales)"/>
        <s v="Capacitación técnica y gerencial de recursos humanos para la salud"/>
        <s v="Dignificación, conservación y mantenimiento de la infraestructura y equipamiento en salud"/>
        <s v="Investigación y desarrollo tecnológico en salud"/>
        <s v="Prestación de servicios en los diferentes niveles de atención a la salud"/>
        <s v="Prevención y atención contra las adicciones"/>
        <s v="Reducción de enfermedades prevenibles por vacunación"/>
        <s v="Vigilancia epidemiológica"/>
        <s v="Protección Contra Riesgos Sanitarios"/>
        <s v="Proyectos de infraestructura social de salud"/>
        <s v="Calidad en Salud e Innovación"/>
        <s v="Asistencia social y protección del paciente"/>
        <s v="Promoción de la salud, prevención y control de enfermedades crónico degenerativas y transmisibles y lesiones"/>
        <s v="Prevención y atención de VIH/SIDA y otras ITS"/>
        <s v="Atención de la Salud Reproductiva y la Igualdad de Género en Salud"/>
        <s v="Reducción de la mortalidad materna"/>
        <s v="Prevención contra la obesidad"/>
        <s v="Cooperación internacional en salud"/>
        <s v="Programa Comunidades Saludables"/>
        <s v="Programas de Atención a Personas con Discapacidad"/>
        <s v="Programas para la Protección y Desarrollo Integral de la Infancia"/>
        <s v="Programas de Atención a Familias y Población Vulnerable"/>
        <s v="Programa de estancias infantiles para apoyar a madres trabajadoras"/>
        <s v="Caravanas de la Salud"/>
        <s v="Seguro Médico para una Nueva Generación"/>
        <s v="Sistema Integral de Calidad en Salud"/>
        <s v="Seguro Popular"/>
        <s v="Fortalecimiento de las Redes de Servicios de Salud"/>
        <s v="Emplear el Poder Naval de la Federación para salvaguardar la soberanía y seguridad nacionales"/>
        <s v="Seguridad a la Navegación y Protección al Medio Ambiente Marino"/>
        <s v="Construcción naval para la sustitución de buques de la Armada de México"/>
        <s v="Adquisición, reparación y mantenimiento de unidades operativas y establecimientos navales"/>
        <s v="Administración y fomento de la educación naval"/>
        <s v="Administración y fomento de los servicios de salud"/>
        <s v="Desarrollo y dirección de la política y estrategia naval"/>
        <s v="Desarrollo de las comunicaciones navales e informática"/>
        <s v="Proyectos de infraestructura social de asistencia y seguridad social"/>
        <s v="Programa de Becas para los hijos del personal de las Fuerzas Armadas en Activo"/>
        <s v="Impartición de justicia laboral"/>
        <s v="Procuración de justicia laboral"/>
        <s v="Ejecución a nivel nacional de los programas y acciones de la Política Laboral"/>
        <s v="Capacitación a trabajadores"/>
        <s v="Fomento de la equidad de género y la no discriminación en el mercado laboral"/>
        <s v="Asesoría en materia de seguridad y salud en el trabajo"/>
        <s v="Asesoría y capacitación a sindicatos y trabajadores para impulsar la productividad, proteger el salario y mejorar su poder adquisitivo"/>
        <s v="Conciliación de intereses entre empleadores y sindicatos"/>
        <s v="Coordinación de acciones de vinculación entre los factores de la producción para apoyar el empleo"/>
        <s v="Actualización y registro de agrupaciones sindicales"/>
        <s v="Instrumentación de la política laboral"/>
        <s v="Estudios económicos para determinar el incremento en el salario mínimo."/>
        <s v="Programa de Apoyo al Empleo (PAE)"/>
        <s v="Programa de Atención a Situaciones de Contingencia Laboral"/>
        <s v="Programa de Apoyo para la Productividad"/>
        <s v="Procuración de justicia agraria"/>
        <s v="Atención de conflictos agrarios"/>
        <s v="Ordenamiento y regulación de la propiedad rural"/>
        <s v="Registro de actos jurídicos sobre derechos agrarios"/>
        <s v="Fondo de apoyo para los núcleos agrarios sin regularizar (FANAR)"/>
        <s v="Capacidades productivas de núcleos agrarios"/>
        <s v="Fomento a la inversión pública y privada de la propiedad rural"/>
        <s v="Fomento al desarrollo agrario"/>
        <s v="Reglamentación, verificación e inspección de las actividadesde la Ley Agraria"/>
        <s v="Obligaciones jurídicas Ineludibles"/>
        <s v="Implementación de políticas enfocadas al medio agrario"/>
        <s v="Digitalización del archivo general agrario"/>
        <s v="Modernización del Catastro Rural Nacional"/>
        <s v="Programa de la Mujer en el Sector Agrario (PROMUSAG)"/>
        <s v="Fondo de Apoyo para Proyectos Productivos (FAPPA)"/>
        <s v="Joven Emprendedor Rural y Fondo de Tierras"/>
        <s v="Operación y mantenimiento del Sistema Cutzamala"/>
        <s v="Operación y mantenimiento del sistema de pozos de abastecimiento del Valle de México"/>
        <s v="Programa directo de Agua Limpia"/>
        <s v="ProÁrbol.- Capacitación Ambiental y Desarrollo Sustentable"/>
        <s v="Manejo Integral del Sistema Hidrológico"/>
        <s v="Servicio Meteorológico Nacional Estaciones Hidrometeorológicas"/>
        <s v="Conservación y Operación de Acueductos Uspanapa-La Cangrejera, Ver. y Lázaro Cárdenas, Mich."/>
        <s v="Investigación científica y tecnológica"/>
        <s v="ProÁrbol.-Prevención y Combate de Incendios Forestales"/>
        <s v="Estaciones Hidrometeorológicas."/>
        <s v="Administración Sustentable del Agua"/>
        <s v="Regulación Ambiental"/>
        <s v="Programa de Inspección y Vigilancia en Materia de Medio Ambiente y Recursos Naturales"/>
        <s v="Programa de gestión hídrica"/>
        <s v="Cuenca Lerma-Chapala"/>
        <s v="Consolidar el Sistema Nacional de Áreas Naturales Protegidas"/>
        <s v="ProÁrbol.- Programa de Gestión y Planeación Forestal y Conservación de Polígonos Forestales"/>
        <s v="Registro Público de Derechos del Agua."/>
        <s v="Delimitación de causes y zonas federales."/>
        <s v="Servicios a usuarios y mercado del agua."/>
        <s v="Inspección, medición y calificación de infracciones."/>
        <s v="Recaudación y fiscalización."/>
        <s v="Proyectos de infraestructura económica de agua potable, alcantarillado y saneamiento"/>
        <s v="Conservación y Operación de Presas y Estructuras de Cabeza"/>
        <s v="Infraestructura para la Protección de Centros de Población y Áreas Productivas"/>
        <s v="Túnel Emisor Oriente y Central y Planta de Tratamiento Atotonilco"/>
        <s v="Infraestructura de temporal."/>
        <s v="Pago y Expropiaciones para Infraestructura Federal."/>
        <s v="Programas Hídricos Integrales."/>
        <s v="Infraestructura de Riego"/>
        <s v="Zona de Mitigación y Rescate Ecológico en el Lago de Texcoco"/>
        <s v="Programa de Inversión en Infraestructura Social y de Protección Abiental"/>
        <s v="Programa para atender desastres naturales"/>
        <s v="Conducción de las políticas hídricas"/>
        <s v="Planeación, Evaluación Ambiental y Conservación de Polígonos Forestales"/>
        <s v="Programa Especial de Cambio Climático"/>
        <s v="ProÁrbol.-Programa de Desarrollo y Producción Forestal"/>
        <s v="Programa de Conservación para el Desarrollo Sostenible (PROCODES)"/>
        <s v="Programa de Agua Limpia"/>
        <s v="Programa de Agua Potable, Alcantarillado y Saneamiento en Zonas Urbanas"/>
        <s v="Programa para la Construcción y Rehabilitación de Sistemas de Agua Potable y Saneamiento en Zonas Rurales"/>
        <s v="Programa de Rehabilitación, Modernizacióny Equipamiento de Distritos de Riego"/>
        <s v="ProÁrbol.- Programa de Pago por Servicios Ambientales"/>
        <s v="ProÁrbol.- Programa de Conservación y Restauración de Ecosistemas Forestales"/>
        <s v="Programa de Modernización y Tecnificación de Unidades de Riego"/>
        <s v="Programa de Tratamiento de Aguas Residuales"/>
        <s v="ProÁrbol.-Producción de Planta y Programas Especiales de Restauración Forestal"/>
        <s v="ProÁrbol.-Programa para el Desarrollo Forestal Comunitario y para el Desarrollo Regional Forestal"/>
        <s v="Programa de Acción para la Conservación de la Vaquita Marina"/>
        <s v="Programa de Cultura del Agua"/>
        <s v="Prevención y gestión integral de residuos"/>
        <s v="Programa para incentivar el desarrollo organizacional de los Consejos de Cuenca"/>
        <s v="Mejora de Eficiencia Hídrica en Áreas Agrícolas"/>
        <s v="Fomento para la Conservación y Aprovechamiento Sustentable de la Vida Silvestre"/>
        <s v="Programa de Desarrollo Institucional y Ordenamientos Ecológicos Ambientales"/>
        <s v="Programa de Mitigación y Adaptación del Cambio Climáticos"/>
        <s v="Programa nacional de remediación de sitios contaminados"/>
        <s v="Programa de Vigilancia Comunitaria en Áreas Naturales Protegidas y Zonas de Influencia"/>
        <s v="Programa de Recuperación y Repoblación de Especies en Peligro de Extinción."/>
        <s v="Programa de Investigación Cientifica y Tecnológica Ambiental."/>
        <s v="Programa de Adecuación de Derechos de Uso de Agua"/>
        <s v="Programa de Conservación del Maíz Criollo"/>
        <s v="Investigar y perseguir los delitos del orden federal"/>
        <s v="Investigar y perseguir los delitos relativos a la Delincuencia Organizada"/>
        <s v="Centros de Control de Confianza"/>
        <s v="Investigar y perseguir los delitos federales de carácter especial"/>
        <s v="Representación jurídica de la Federación en el ámbito nacional e internacional"/>
        <s v="Promoción del respeto a los derechos humanos y atención a víctimas del delito"/>
        <s v="Investigación académica en el marco de las ciencias penales"/>
        <s v="Investigar, perseguir y prevenir delitos del orden electoral"/>
        <s v="Supervisar y vigilar la aplicación del marco legal en la investigación y persecución del delito del orden federal"/>
        <s v="Promoción del Desarrollo Humano y Planeación Institucional"/>
        <s v="Proyectos de infraestructura gubernamental de procuración de justicia"/>
        <s v="Investigación y desarrollo tecnológico y de capital humano en energía nuclear"/>
        <s v="Investigación y desarrollo tecnológico en materia petrolera"/>
        <s v="Investigación y desarrollo tecnológico y de capital humano en energía eléctrica"/>
        <s v="Gestión e implementación en aprovechamiento sustentable de la energía"/>
        <s v="Prestación de bienes y servicios en materia nuclear"/>
        <s v="Adquisición de energía eléctrica"/>
        <s v="Promoción en materia de aprovechamiento sustentable de la energía"/>
        <s v="Otorgamiento de permisos y verificación de instalaciones para almacenamiento y distribución de gas LP, aprobación de unidades de verificación y elaboración y actualización de normas oficiales mexicanas en esta materia"/>
        <s v="Regulación y supervisión del otorgamiento de permisos y la administración de estos, en materia de electricidad, gas natural y gas licuado de petróleo"/>
        <s v="Regulación y supervisión de la seguridad nuclear, radiológica y física de las instalaciones nucleares y radiológicas"/>
        <s v="Regulación de la exploración y extracción de hidrocarburos y su recuperación"/>
        <s v="Regulación en la certificación de reservas de hidrocarburos"/>
        <s v="Supervisión de los proyectos de exploración y extracción de hidrocarburos y su recuperación"/>
        <s v="Supervisar el aprovechamiento sustentable de la energía"/>
        <s v="Conducción de la política energética"/>
        <s v="Coordinación de la implementación de la política energética y de las entidades del sector electricidad"/>
        <s v="Coordinación de la implementación de la política energética y de las entidades del sector hidrocarburos"/>
        <s v="Realizar estudios de evaluación, cuantificación y verificación de las reservas de hidrocarburos"/>
        <s v="Seguimiento y evaluación de políticas públicas en aprovechamiento sustentable de la energía"/>
        <s v="Cuotas a Organismos Internacionales de Energía"/>
        <s v="Programa Habitat"/>
        <s v="Programa de Abasto Social de Leche a cargo de Liconsa, S.A. de C.V."/>
        <s v="Rescate de espacios públicos"/>
        <s v="Programa de adquisición de leche nacional a cargo de LICONSA, S. A. de C. V."/>
        <s v="Servicios a grupos con necesidades especiales"/>
        <s v="Credencialización para Adultos Mayores"/>
        <s v="Fomento del desarrollo de las organizaciones de la sociedad civil"/>
        <s v="Definición y conducción de la política de desarrollo urbano y ordenación del territorio"/>
        <s v="Definición y conducción de la política del desarrollo social, el ordenamiento territorial y la vivienda"/>
        <s v="Actividades orientadas a la evaluacion y al monitoreo de los programas sociales"/>
        <s v="Evaluación y estudios de los programas sociales"/>
        <s v="Estudios y acciones de planeación del desarrollo urbano"/>
        <s v="Programa de Abasto Rural a cargo de Diconsa, S.A. de C.V. (DICONSA)"/>
        <s v="Programa de Opciones Productivas"/>
        <s v="Programas del Fondo Nacional de Fomento a las Artesanías (FONART)"/>
        <s v="Programa de Ahorro y Subsidio para la Vivienda Tu Casa"/>
        <s v="Programa 3 x 1 para Migrantes"/>
        <s v="Programa de Atención a Jornaleros Agrícolas"/>
        <s v="Programa de Coinversión Social"/>
        <s v="Programa de Vivienda Rural"/>
        <s v="Programa de Apoyo Alimentario"/>
        <s v="Programa de Apoyo a las Instancias de Mujeres en las Entidades Federativas, Para Implementar y Ejecutar Programas de Prevención de la Violencia Contra las Mujeres"/>
        <s v="Programa 70 y más"/>
        <s v="Programa de apoyo a los avecindados en condiciones de pobreza patrimonial para regularizar asentamientos humanos irregulares ( PASPRAH )"/>
        <s v="Programa para el Desarrollo de Zonas Prioritarias"/>
        <s v="Programa Prevención de Riesgos en los Asentamientos Humanos"/>
        <s v="Programa de Modernización de los Registros Públicos de la Propiedad y Catastros"/>
        <s v="Programa de impulso al desarrollo regional"/>
        <s v="Servicios de orientación y asistencia turística"/>
        <s v="Conservación y mantenimiento a los CIP's a cargo del FONATUR"/>
        <s v="Promoción de México como Destino Turístico"/>
        <s v="Desarrollo y mantenimiento de infraestructura para el fomento y promoción de la inversión en el sector turístico"/>
        <s v="Promoción y desarrollo de programas y proyectos turísticos en las Entidades Federativas"/>
        <s v="Generación de acciones para el desarrollo de productos"/>
        <s v="Reglamentación, verificación, facilitación, normalización e inspección de las actividades del sector turismo"/>
        <s v="Promoción y desarrollo de programas y proyectos turísticos de las Entidades Federativas"/>
        <s v="Ecoturismo y Turismo Rural"/>
        <s v="Proyectos de infraestructura de turismo"/>
        <s v="Establecer y conducir la política de turismo"/>
        <s v="Apoyo a la competitividad de las empresas y prestadores de servicios turísticos"/>
        <s v="Ampliación de la cobertura, impacto y efecto preventivo de la fiscalización a la gestión pública"/>
        <s v="Integración de las estructuras profesionales del gobierno"/>
        <s v="Mejora de la gestión y regulación de los procesos, trámites y servicios de la Administración Pública Federal"/>
        <s v="Inhibición y sanción de las prácticas de corrupción"/>
        <s v="Optimización en el uso, control y aprovechamiento de los inmuebles federales, así como la valuación de bienes nacionales"/>
        <s v="Promoción de la cultura de la legalidad y el aprecio por la rendición de cuentas"/>
        <s v="Resolución de asuntos relativos a conflictos y controversias por la posesión y usufructo de la tierra"/>
        <s v="Resolución de juicios agrarios dotatorios de tierras y los recursos de revisión"/>
        <s v="Impartición de Justicia Fiscal y Administrativa"/>
        <s v="Desarrollo de instrumentos para la prevención del delito"/>
        <s v="Fomento de la cultura de la participación ciudadana en la prevención del delito y el respeto a los derechos humanos"/>
        <s v="Implementación de operativos para la prevención y disuasión del delito"/>
        <s v="Administración del sistema federal penitenciario"/>
        <s v="Administración del proceso de impartición de justicia a menores infractores"/>
        <s v="Fomento de la cultura de la participación ciudadana en la prevención del delito en el marco de la Equidad y Género (Cumplimiento a la LGAMVLV)"/>
        <s v="Proyectos de infraestructura gubernamental de seguridad pública"/>
        <s v="Plataforma México"/>
        <s v="Apoyo para el cumplimiento de compromisos del Comité de Planeación de Emergencias Radiológicas Externas"/>
        <s v="Pago de cuota alimenticia por internos del fuero federal en custodia de los Gobiernos Estatales"/>
        <s v="Asesoramiento en materia jurídica al Presidente de la Republica y al Gobierno Federal."/>
        <s v="Realización de investigación científica y elaboración de publicaciones"/>
        <s v="Desarrollo tecnológico e innovación y elaboración de publicaciones"/>
        <s v="Fomento regional para el desarrollo científico , tecnológico y de innovación."/>
        <s v="Apoyos institucionales para actividades científicas, tecnológicas y de innovación."/>
        <s v="Planeación, formulación, diseño, implementación y evaluación de políticas públicas"/>
        <s v="Becas de posgrado y otras modalidades de apoyo a la calidad"/>
        <s v="Sistema Nacional de Investigadores"/>
        <s v="Fortalecimiento a nivel sectorial de las capacidades científicas, tecnológicas y de innovación"/>
        <s v="Fortalecimiento en las Entidades Federativas de las capacidades científicas, tecnológicas y de innovación."/>
        <s v="Apoyo al Fortalecimiento y Desarrollo de la Infraestructura Científica y Tecnológica"/>
        <s v="Apoyos para estudios e investigaciones"/>
        <s v="Apoyo a la consolidación Institucional."/>
        <s v="Innovación tecnológica para negocios de alto valor agregado, tecnologías precursoras y competitividad de las empresas"/>
        <s v="Desarrollo e Innovación en Tecnologías Precursoras"/>
        <s v="Innovación Tecnológica para la Competitividad de las Empresas"/>
        <s v="Apoyo para cubrir el déficit de la nómina de pensiones del ISSSTE"/>
        <s v="Pensiones de Trato Especial"/>
        <s v="Pensiones y Jubilaciones en curso de Pago"/>
        <s v="Pensiones Civiles Militares y de Gracia"/>
        <s v="Aportaciones Estatutarias al Seguro de Retiro, Cesantia en Edad Avanzada y Vejez"/>
        <s v="Cuota Social al Seguro de Retiro, Cesantía en Edad Avanzada y Vejez"/>
        <s v="Apoyo Económico a Viudas de Veteranos de la Revolución Mexicana"/>
        <s v="Pensión Mínima Garantizada IMSS"/>
        <s v="Cuota Social Seguro de Retiro ISSSTE"/>
        <s v="Ahorro Solidario"/>
        <s v="Previsiones para las pensiones en curso de pago de los extrabajadores de Luz y Fuerza del Centro"/>
        <s v="Pagas de Defunción y Ayuda para Gastos de Sepelio"/>
        <s v="Compensaciones de Carácter Militar con Pago único"/>
        <s v="Apoyo a jubilados del IMSS e ISSSTE"/>
        <s v="Apoyo para cubrir el gasto de operación del ISSSTE"/>
        <s v="Adeudos con el IMSS e ISSSTE"/>
        <s v="Programa IMSS-Oportunidades"/>
        <s v="Seguro de Enfermedad y Maternidad"/>
        <s v="Seguro de Invalidez y Vida"/>
        <s v="Seguro de Salud para la Familia"/>
        <s v="11% de Haberes y Haberes de Retiro"/>
        <s v="Cuota Social Seguro de Salud ISSSTE"/>
        <s v="Seguridad Social Cañeros"/>
        <s v="Fondo de Desastres Naturales (FONDEN)"/>
        <s v="Fondo de Prevención de Desastres Naturales (FOPREDEN)"/>
        <s v="Situaciones laborales supervenientes"/>
        <s v="Seguridad y Logística"/>
        <s v="Fondo de Ahorro Capitalizable (FONAC)"/>
        <s v="Presupuesto Basado en Resultados-Sistema de Evaluación del Desempeño"/>
        <s v="Comisiones y pago a CECOBAN"/>
        <s v="Derecho para Fondo de Investigación en Materia de Energía"/>
        <s v="Derecho para la fiscalización petrolera"/>
        <s v="Derecho sobre extracción de hidrocarburos"/>
        <s v="Previsiones salariales (R02)"/>
        <s v="Previsiones salariales (R04)"/>
        <s v="Previsiones salariales (R05)"/>
        <s v="Previsiones salariales (R06 SC)"/>
        <s v="Previsiones salariales (R06 SNC)"/>
        <s v="Previsiones salariales (R07)"/>
        <s v="Previsiones salariales (R08)"/>
        <s v="Previsiones salariales (R09)"/>
        <s v="Previsiones salariales (R10)"/>
        <s v="Previsiones salariales (R11)"/>
        <s v="Previsiones salariales (R12)"/>
        <s v="Previsiones salariales (R13)"/>
        <s v="Previsiones salariales (R14)"/>
        <s v="Previsiones salariales (R15)"/>
        <s v="Previsiones salariales (R16)"/>
        <s v="Previsiones salariales (R17)"/>
        <s v="Previsiones salariales (R18)"/>
        <s v="Previsiones salariales (R20)"/>
        <s v="Previsiones salariales (R21)"/>
        <s v="Previsiones salariales (R27)"/>
        <s v="Previsiones salariales (R31)"/>
        <s v="Previsiones salariales (R32)"/>
        <s v="Previsiones salariales (R36)"/>
        <s v="Previsiones salariales (R37)"/>
        <s v="Previsiones salariales (R38)"/>
        <s v="Provisión para la Armonización Contable"/>
        <s v="Monumento Estela de Luz Bicentenario"/>
        <s v="Zona Metropolitana del Valle de México (Estado de México)"/>
        <s v="Zona Metropolitana del Valle de México (Distrito Federal)"/>
        <s v="Zona Metropolitana de la Ciudad de Guadalajara"/>
        <s v="Zona Metropolitana de la Ciudad de Monterrey"/>
        <s v="Zona Metropolitana de la Ciudad de León"/>
        <s v="Zona Metropolitana de Puebla"/>
        <s v="Zona Metropolitana de la Ciudad de Querétaro"/>
        <s v="Zona Metropolitana de la Laguna (Coahuila)"/>
        <s v="Zona Metropolitana de la Laguna (Durango)"/>
        <s v="Zona Metropolitana de la Ciudad de Acapulco"/>
        <s v="Zona Metropolitana de la Ciudad de Aguascalientes"/>
        <s v="Zona Metropolitana de la Ciudad de Cancún"/>
        <s v="Zona Metropolitana de la Ciudad de Mérida"/>
        <s v="Zona Metropolitana de la Ciudad de Oaxaca"/>
        <s v="Zona Metropolitana de la Ciudad de Tijuana"/>
        <s v="Zona Metropolitana de la Ciudad de Tuxtla Gutiérrez"/>
        <s v="Zona Metropolitana de Veracruz"/>
        <s v="Zona Metropolitana de la Ciudad de Villahermosa"/>
        <s v="Fondo Regional - Chiapas, Guerrero y Oaxaca"/>
        <s v="Fondo Regional - Siete Estados Restantes"/>
        <s v="Programas Regionales"/>
        <s v="Fondo de Apoyo para el Desarrollo Rural Sustentable"/>
        <s v="Fondo de Modernización de los Municipios"/>
        <s v="Fondo de Apoyo a Migrantes"/>
        <s v="Programa para la fiscalización del gasto federalizado"/>
        <s v="Zona Metropolitana de Juárez"/>
        <s v="Zona Metropolitana de Saltillo"/>
        <s v="Zona Metropolitana de Colima-Villa de Álvarez"/>
        <s v="Zona Metropolitana de Pachuca"/>
        <s v="Zona Metropolitana de Tula"/>
        <s v="Zona Metropolitana de Puerto Vallarta"/>
        <s v="Zona Metropolitana de Tepic"/>
        <s v="Zona Metropolitana de San Luis Potosí-Soledad de G.S."/>
        <s v="Zona Metropolitana de Tampico"/>
        <s v="Zona Metropolitana de Reynosa-Rio Bravo"/>
        <s v="Zona Metropolitana de Tlaxcala-Apizaco"/>
        <s v="Zona Metropolitana de Xalapa"/>
        <s v="Zona Metropolitana de Toluca"/>
        <s v="Zona Metropolitana de Hermosillo"/>
        <s v="Zona Metropolitana de Chihuahua"/>
        <s v="Zona Metropolitana de Mexicali"/>
        <s v="Zona Metropolitana de Coatzacoalcos"/>
        <s v="Zona Metropolitana de Cuernavaca"/>
        <s v="Zona Metropolitana de La Piedad-Pénjamo"/>
        <s v="Zona Metropolitana de Matamoros"/>
        <s v="Zona Metropolitana de Monclova-Frontera"/>
        <s v="Zona Metropolitana de Morelia"/>
        <s v="Zona Metropolitana de  Moroleón-Uriangato"/>
        <s v="Zona Metropolitana de Ocotlán"/>
        <s v="Zona Metropolitana de Río Verde-Cd. Fernández"/>
        <s v="Zona Metropolitana de Tecomán"/>
        <s v="Zona Metropolitana de Tehuacán"/>
        <s v="Zona Metropolitana de Zacatecas-Guadalupe"/>
        <s v="Fondo de Pavimentación a Municipios"/>
        <s v="Fondo de Inversión para Entidades Federativas"/>
        <s v="Apoyo Presa Francisco J. Mújica"/>
        <s v="Fondo de Reconstruccion"/>
        <s v="Apoyo a la Seguridad Pública en Ciudad Juárez, Chihuahua"/>
        <s v="Proyecto de Cámaras de Seguridad Pública en el Distrito Federal"/>
        <s v="Infraestructura en Demarcaciones Territoriales del Distrito Federal"/>
        <s v="Fondo de Accesibilidad de las Personas con Discapacidad"/>
        <s v="Fondos Metropolitanos"/>
        <s v="Valores gubernamentales"/>
        <s v="Fondo de ahorro SAR"/>
        <s v="Pensión ISSSTE"/>
        <s v="Otros financiamientos"/>
        <s v="Bonos"/>
        <s v="Banca comercial"/>
        <s v="Coberturas"/>
        <s v="Bilaterales"/>
        <s v="Organismos financieros internacionales"/>
        <s v="Prestación de servicios de educación básica en el D.F."/>
        <s v="Prestación de servicios de educación normal en el D.F."/>
        <s v="Previsiones salariales y económicas de la Administración Federal de Servicios Educativos en el Distrito Federal"/>
        <s v="Previsiones salariales y económicas del Fondo de Aportaciones para la Educación Básica y Normal"/>
        <s v="Previsiones salariales y económicas del Fondo de Aportaciones para la Educación Tecnológica y de Adultos"/>
        <s v="Asignaciones pendientes de distribución de los Fondos Educativos"/>
        <s v="Becas para la población atendida por el sector educativo"/>
        <s v="Programa de becas en educación primaria y secundaria para hijos de trabajadores del Sector Educación en el D.F."/>
        <s v="Fondo General de Participaciones"/>
        <s v="Fondo de Fomento Municipal"/>
        <s v="Otros conceptos participables e incentivos económicos"/>
        <s v="Fondo de Compensación para el Estado de Aguascalientes"/>
        <s v="Fondo de Compensación para el Estado de Baja California"/>
        <s v="Fondo de Compensación para el Estado de Baja California Sur"/>
        <s v="Fondo de Compensación para el Estado de Campeche"/>
        <s v="Fondo de Compensación para el Estado de Coahuila"/>
        <s v="Fondo de Compensación para el Estado de Colima"/>
        <s v="Fondo de Compensación para el Estado de Chiapas"/>
        <s v="Fondo de Compensación para el Estado de Chihuahua"/>
        <s v="Fondo de Compensación para el Gobierno del Distrito Federal"/>
        <s v="Fondo de Compensación para el Estado de Durango"/>
        <s v="Fondo de Compensación para el Estado de Guanajuato"/>
        <s v="Fondo de Compensación para el Estado de Guerrero"/>
        <s v="Fondo de Compensación para el Estado de Hidalgo"/>
        <s v="Fondo de Compensación para el Estado de Jalisco"/>
        <s v="Fondo de Compensación para el Estado de México"/>
        <s v="Fondo de Compensación para el Estado de Michoacán"/>
        <s v="Fondo de Compensación para el Estado de Morelos"/>
        <s v="Fondo de Compensación para el Estado de Nayarit"/>
        <s v="Fondo de Compensación para el Estado de Nuevo León"/>
        <s v="Fondo de Compensación para el Estado de Oaxaca"/>
        <s v="Fondo de Compensación para el Estado de Puebla"/>
        <s v="Fondo de Compensación para el Estado de Querétaro"/>
        <s v="Fondo de Compensación para el Estado de Quintana Roo"/>
        <s v="Fondo de Compensación para el Estado de San Luis Potosí"/>
        <s v="Fondo de Compensación para el Estado de Sinaloa"/>
        <s v="Fondo de Compensación para el Estado de Sonora"/>
        <s v="Fondo de Compensación para el Estado de Tabasco"/>
        <s v="Fondo de Compensación para el Estado de Tamaulipas"/>
        <s v="Fondo de Compensación para el Estado de Tlaxcala"/>
        <s v="Fondo de Compensación para el Estado de Veracruz"/>
        <s v="Fondo de Compensación para el Estado de Yucatán"/>
        <s v="Fondo de Compensación para el Estado de Zacatecas"/>
        <s v="Adeudos de Ejercicios Fiscales Anteriores (ADEFAS)"/>
        <s v="FAEB Aguascalientes"/>
        <s v="FAEB Baja California"/>
        <s v="FAEB Baja California Sur"/>
        <s v="FAEB Campeche"/>
        <s v="FAEB Coahuila"/>
        <s v="FAEB Colima"/>
        <s v="FAEB Chiapas"/>
        <s v="FAEB Chihuahua"/>
        <s v="FAEB Durango"/>
        <s v="FAEB Guanajuato"/>
        <s v="FAEB Guerrero"/>
        <s v="FAEB Hidalgo"/>
        <s v="FAEB Jalisco"/>
        <s v="FAEB Estado de México"/>
        <s v="FAEB Michoacán"/>
        <s v="FAEB Morelos"/>
        <s v="FAEB Nayarit"/>
        <s v="FAEB Nuevo León"/>
        <s v="FAEB Oaxaca"/>
        <s v="FAEB Puebla"/>
        <s v="FAEB Querétaro"/>
        <s v="FAEB Quintana Roo"/>
        <s v="FAEB San Luis Potosí"/>
        <s v="FAEB Sinaloa"/>
        <s v="FAEB Sonora"/>
        <s v="FAEB Tabasco"/>
        <s v="FAEB Tamaulipas"/>
        <s v="FAEB Tlaxcala"/>
        <s v="FAEB Veracruz"/>
        <s v="FAEB Yucatán"/>
        <s v="FAEB Zacatecas"/>
        <s v="FASSA Aguascalientes"/>
        <s v="FASSA Baja California"/>
        <s v="FASSA Baja California Sur"/>
        <s v="FASSA Campeche"/>
        <s v="FASSA Coahuila"/>
        <s v="FASSA Colima"/>
        <s v="FASSA Chiapas"/>
        <s v="FASSA Chihuahua"/>
        <s v="FASSA Distrito Federal"/>
        <s v="FASSA Durango"/>
        <s v="FASSA Guanajuato"/>
        <s v="FASSA Guerrero"/>
        <s v="FASSA Hidalgo"/>
        <s v="FASSA Jalisco"/>
        <s v="FASSA Estado de México"/>
        <s v="FASSA Michoacán"/>
        <s v="FASSA Morelos"/>
        <s v="FASSA Nayarit"/>
        <s v="FASSA Nuevo León"/>
        <s v="FASSA Oaxaca"/>
        <s v="FASSA Puebla"/>
        <s v="FASSA Querétaro"/>
        <s v="FASSA Quintana Roo"/>
        <s v="FASSA San Luis Potosí"/>
        <s v="FASSA Sinaloa"/>
        <s v="FASSA Sonora"/>
        <s v="FASSA Tabasco"/>
        <s v="FASSA Tamaulipas"/>
        <s v="FASSA Tlaxcala"/>
        <s v="FASSA Veracruz"/>
        <s v="FASSA Yucatán"/>
        <s v="FASSA Zacatecas"/>
        <s v="FAIS Aguascalientes"/>
        <s v="FAIS Baja California"/>
        <s v="FAIS Baja California Sur"/>
        <s v="FAIS Campeche"/>
        <s v="FAIS Coahuila"/>
        <s v="FAIS Colima"/>
        <s v="FAIS Chiapas"/>
        <s v="FAIS Chihuahua"/>
        <s v="FAIS Durango"/>
        <s v="FAIS Guanajuato"/>
        <s v="FAIS Guerrero"/>
        <s v="FAIS Hidalgo"/>
        <s v="FAIS Jalisco"/>
        <s v="FAIS Estado de México"/>
        <s v="FAIS Michoacán"/>
        <s v="FAIS Morelos"/>
        <s v="FAIS Nayarit"/>
        <s v="FAIS Nuevo León"/>
        <s v="FAIS Oaxaca"/>
        <s v="FAIS Puebla"/>
        <s v="FAIS Querétaro"/>
        <s v="FAIS Quintana Roo"/>
        <s v="FAIS San Luis Potosí"/>
        <s v="FAIS Sinaloa"/>
        <s v="FAIS Sonora"/>
        <s v="FAIS Tabasco"/>
        <s v="FAIS Tamaulipas"/>
        <s v="FAIS Tlaxcala"/>
        <s v="FAIS Veracruz"/>
        <s v="FAIS Yucatán"/>
        <s v="FAIS Zacatecas"/>
        <s v="FORTAMUN Aguascalientes"/>
        <s v="FORTAMUN Baja California"/>
        <s v="FORTAMUN Baja California Sur"/>
        <s v="FORTAMUN Campeche"/>
        <s v="FORTAMUN Coahuila"/>
        <s v="FORTAMUN Colima"/>
        <s v="FORTAMUN Chiapas"/>
        <s v="FORTAMUN Chihuahua"/>
        <s v="FORTAMUN Distrito Federal"/>
        <s v="FORTAMUN Durango"/>
        <s v="FORTAMUN Guanajuato"/>
        <s v="FORTAMUN Guerrero"/>
        <s v="FORTAMUN Hidalgo"/>
        <s v="FORTAMUN Jalisco"/>
        <s v="FORTAMUN Estado de México"/>
        <s v="FORTAMUN Michoacán"/>
        <s v="FORTAMUN Morelos"/>
        <s v="FORTAMUN Nayarit"/>
        <s v="FORTAMUN Nuevo León"/>
        <s v="FORTAMUN Oaxaca"/>
        <s v="FORTAMUN Puebla"/>
        <s v="FORTAMUN Querétaro"/>
        <s v="FORTAMUN Quintana Roo"/>
        <s v="FORTAMUN San Luis Potosí"/>
        <s v="FORTAMUN Sinaloa"/>
        <s v="FORTAMUN Sonora"/>
        <s v="FORTAMUN Tabasco"/>
        <s v="FORTAMUN Tamaulipas"/>
        <s v="FORTAMUN Tlaxcala"/>
        <s v="FORTAMUN Veracruz"/>
        <s v="FORTAMUN Yucatán"/>
        <s v="FORTAMUN Zacatecas"/>
        <s v="FAM Aguascalientes"/>
        <s v="FAM Baja California"/>
        <s v="FAM Baja California Sur"/>
        <s v="FAM Campeche"/>
        <s v="FAM Coahuila"/>
        <s v="FAM Colima"/>
        <s v="FAM Chiapas"/>
        <s v="FAM Chihuahua"/>
        <s v="FAM Distrito Federal"/>
        <s v="FAM Durango"/>
        <s v="FAM Guanajuato"/>
        <s v="FAM Guerrero"/>
        <s v="FAM Hidalgo"/>
        <s v="FAM Jalisco"/>
        <s v="FAM Estado de México"/>
        <s v="FAM Michoacán"/>
        <s v="FAM Morelos"/>
        <s v="FAM Nayarit"/>
        <s v="FAM Nuevo León"/>
        <s v="FAM Oaxaca"/>
        <s v="FAM Puebla"/>
        <s v="FAM Querétaro"/>
        <s v="FAM Quintana Roo"/>
        <s v="FAM San Luis Potosí"/>
        <s v="FAM Sinaloa"/>
        <s v="FAM Sonora"/>
        <s v="FAM Tabasco"/>
        <s v="FAM Tamaulipas"/>
        <s v="FAM Tlaxcala"/>
        <s v="FAM Veracruz"/>
        <s v="FAM Yucatán"/>
        <s v="FAM Zacatecas"/>
        <s v="FAM No distribuible"/>
        <s v="FAETA Aguascalientes"/>
        <s v="FAETA Baja California"/>
        <s v="FAETA Baja California Sur"/>
        <s v="FAETA Campeche"/>
        <s v="FAETA Coahuila"/>
        <s v="FAETA Colima"/>
        <s v="FAETA Chiapas"/>
        <s v="FAETA Chihuahua"/>
        <s v="FAETA Durango"/>
        <s v="FAETA Guanajuato"/>
        <s v="FAETA Guerrero"/>
        <s v="FAETA Hidalgo"/>
        <s v="FAETA Jalisco"/>
        <s v="FAETA Estado de México"/>
        <s v="FAETA Michoacán"/>
        <s v="FAETA Morelos"/>
        <s v="FAETA Nayarit"/>
        <s v="FAETA Nuevo León"/>
        <s v="FAETA Oaxaca"/>
        <s v="FAETA Puebla"/>
        <s v="FAETA Querétaro"/>
        <s v="FAETA Quintana Roo"/>
        <s v="FAETA San Luis Potosí"/>
        <s v="FAETA Sinaloa"/>
        <s v="FAETA Sonora"/>
        <s v="FAETA Tabasco"/>
        <s v="FAETA Tamaulipas"/>
        <s v="FAETA Tlaxcala"/>
        <s v="FAETA Veracruz"/>
        <s v="FAETA Yucatán"/>
        <s v="FAETA Zacatecas"/>
        <s v="FASP No distribuible"/>
        <s v="FAFEF Aguascalientes"/>
        <s v="FAFEF Baja California"/>
        <s v="FAFEF Baja California Sur"/>
        <s v="FAFEF Campeche"/>
        <s v="FAFEF Coahuila"/>
        <s v="FAFEF Colima"/>
        <s v="FAFEF Chiapas"/>
        <s v="FAFEF Chihuahua"/>
        <s v="FAFEF Distrito Federal"/>
        <s v="FAFEF Durango"/>
        <s v="FAFEF Guanajuato"/>
        <s v="FAFEF Guerrero"/>
        <s v="FAFEF Hidalgo"/>
        <s v="FAFEF Jalisco"/>
        <s v="FAFEF Estado de México"/>
        <s v="FAFEF Michoacán"/>
        <s v="FAFEF Morelos"/>
        <s v="FAFEF Nayarit"/>
        <s v="FAFEF Nuevo León"/>
        <s v="FAFEF Oaxaca"/>
        <s v="FAFEF Puebla"/>
        <s v="FAFEF Querétaro"/>
        <s v="FAFEF Quintana Roo"/>
        <s v="FAFEF San Luis Potosí"/>
        <s v="FAFEF Sinaloa"/>
        <s v="FAFEF Sonora"/>
        <s v="FAFEF Tabasco"/>
        <s v="FAFEF Tamaulipas"/>
        <s v="FAFEF Tlaxcala"/>
        <s v="FAFEF Veracruz"/>
        <s v="FAFEF Yucatán"/>
        <s v="FAFEF Zacatecas"/>
        <s v="INDUSTRIA Descuento en pago"/>
        <s v="HIPOTECARIO-VIVIENDA"/>
        <s v="AGROINDUSTRIA Descuento en pago"/>
        <s v="INDUSTRIA Reestructuración en UDIs"/>
        <s v="HIPOTECARIO-VIVIENDA Reestructuración en UDIs"/>
        <s v="AGROINDUSTRIA Reestructuración en UDIs"/>
        <s v="ESTADOS Y MUNICIPIOS Reestructuración en UDIs"/>
        <s v="INDUSTRIA Descuento en pago Banca de Desarrollo"/>
        <s v="AGROINDUSTRIA Descuento en pago Banca de Desarrollo"/>
        <s v="I P A B"/>
        <s v="Control de Enfermedades Prevenibles por Vacunación"/>
        <s v="Control de Enfermedades Transmisibles"/>
        <s v="Detección Oportuna de Enfermedades"/>
        <s v="Orientación para la Salud"/>
        <s v="Control del Estado de Salud de la Embarazada"/>
        <s v="Atención Materno Infantil"/>
        <s v="Consulta Bucal"/>
        <s v="Consulta Externa General"/>
        <s v="Consulta Externa Especializada"/>
        <s v="Hospitalización General"/>
        <s v="Hospitalización Especializada"/>
        <s v="Atención de Urgencias"/>
        <s v="Rehabilitación"/>
        <s v="Capacitación y Formación de los Recursos Humanos en Salud"/>
        <s v="Mantenimiento de Equipo Médico y Electromecánico"/>
        <s v="Suministro de Claves de Medicamentos"/>
        <s v="Servicios Deportivos"/>
        <s v="Servicios Culturales"/>
        <s v="Servicios Integrales a Pensionados"/>
        <s v="Servicios Funerarios"/>
        <s v="Capacitación y Formación de Recursos Humanos en Seguridad Social"/>
        <s v="Equidad de Género"/>
        <s v="Créditos a Corto y Mediano Plazo"/>
        <s v="Servicios de Estancias de Bienestar y Desarrollo Infantil"/>
        <s v="Programas y Servicios de Apoyo para la Adquisición de Productos Básicos y de Consumo para el Hogar"/>
        <s v="Programas y Servicios de Apoyo para la Adquisición de Medicinas y Productos Farmacéuticos"/>
        <s v="Servicios Integrales de Turismo"/>
        <s v="Atención a Personas con Discapacidad"/>
        <s v="Pensiones por Riesgos de Trabajo"/>
        <s v="Subsidios y Ayudas"/>
        <s v="Pensiones por Invalidez"/>
        <s v="Pensiones por Causa de Muerte"/>
        <s v="Pensiones por Cesantía"/>
        <s v="Pensiones por Vejez"/>
        <s v="Pensiones y Jubilaciones"/>
        <s v="Indemnizaciones Globales"/>
        <s v="Pagos de Funeral"/>
        <s v="Gastos Administrativos por Operación de Fondos y Seguros"/>
        <s v="Gastos de Administración"/>
        <s v="Atención a la salud pública"/>
        <s v="Atención curativa eficiente"/>
        <s v="Atención a la salud en el trabajo"/>
        <s v="Investigación en salud en el IMSS"/>
        <s v="Recaudación eficiente de ingresos obrero patronales"/>
        <s v="Servicios de guardería"/>
        <s v="Atención a la salud reproductiva"/>
        <s v="Prestaciones sociales eficientes"/>
        <s v="Mejoramiento de unidades operativas de servicios de ingreso"/>
        <s v="Pensiones en curso de pago Ley 1973"/>
        <s v="Rentas vitalicias Ley 1997"/>
        <s v="Régimen de Pensiones y Jubilaciones IMSS"/>
        <s v="Pagar oportunamente los subsidios a los asegurados con derecho"/>
        <s v="Programas de adquisiones"/>
        <s v="Operaciones ajenas"/>
        <s v="Adaptación, mantenimiento y conservación de la infraestructura de las instalaciones de LyFC"/>
        <s v="Generación de energía eléctrica."/>
        <s v="Transmisión, transformación y control de energía eléctrica."/>
        <s v="Distribución de energía electrica."/>
        <s v="Comercialización de energía eléctrica."/>
        <s v="Pago de pensiones y jubilaciones en LyFC"/>
        <s v="Proyectos de infraestructura económica de electricidad"/>
        <s v="Operación comercial de la Red de Fibra Óptica y apoyo tecnológico a los procesos productivos en control de calidad, sistemas informáticos y de telecomunicaciones"/>
        <s v="Operación y mantenimiento de las centrales generadoras de energía eléctrica"/>
        <s v="Operación, mantenimiento y recarga de la Nucleoeléctrica Laguna Verde para la generación de energía eléctrica"/>
        <s v="Suministro de energéticos a las centrales generadoras de electricidad"/>
        <s v="Operar y mantener líneas de transmisión y subestaciones de transformación que integran el Sistema Eléctrico Nacional, así como operar y mantener la red nacional de fibra óptica, y proporcionar servicios de telecomunicaciones"/>
        <s v="Dirección, coordinación y control de la operación del Sistema Eléctrico Nacional"/>
        <s v="Operación y mantenimiento de los procesos de distribución y de comercialización de energía eléctrica"/>
        <s v="Apoyo al desarrollo sustentable de comunidades afectadas por la instalación de la infraestructura eléctrica"/>
        <s v="Promoción de medidas para el ahorro y uso eficiente de la energía eléctrica"/>
        <s v="Pago de pensiones y jubilaciones en CFE"/>
        <s v="Programas de adquisiciones"/>
        <s v="Proyectos de infraestructura económica de electricidad (Pidiregas)"/>
        <s v="Planeación, dirección, coordinación, supervisión y seguimiento a las funciones y recursos asignados para cumplir con la construcción de la infraestructura eléctrica"/>
        <s v="Planeación y expansión del Sistema Eléctrico Nacional"/>
        <s v="Seguridad física en las instalaciones de infraestructura eléctrica"/>
        <s v="Adquisición de energía eléctrica a los Productores Externos de Energía"/>
        <s v="Planeación y dirección de los procesos productivos"/>
        <s v="Producción de petróleo, gas, petrolíferos y petroquímicos"/>
        <s v="Distribución de petróleo, gas, petrolíferos y petroquímico"/>
        <s v="Comercialización de petróleo, gas, petrolíferos y petroquímicos"/>
        <s v="Actividades destinadas a la operación y mantenimiento de la infraestructura básica en ecología"/>
        <s v="Servicios médicos al personal de PEMEX"/>
        <s v="Prestación de servicios de telecomunicaciones internos a PEMEX"/>
        <s v="Prestación de servicios corporativos técnico, administrativo y financiero a los organismos subsidiarios de PEMEX"/>
        <s v="Aportaciones para el pago de pensiones y jubilaciones al personal de PEMEX"/>
        <s v="Proyectos de infraestructura económica de hidrocarburos"/>
        <s v="Otros programas de inversión"/>
        <s v="Atención y Mejoramiento Nutricional" u="1"/>
        <s v="Fondo del Sureste" u="1"/>
      </sharedItems>
    </cacheField>
    <cacheField name="UR" numFmtId="0">
      <sharedItems containsBlank="1" containsMixedTypes="1" containsNumber="1" containsInteger="1" minValue="100" maxValue="913" count="470">
        <n v="200"/>
        <n v="100"/>
        <n v="101"/>
        <n v="110"/>
        <n v="210"/>
        <n v="211"/>
        <n v="116"/>
        <n v="300"/>
        <n v="107"/>
        <n v="102"/>
        <n v="103"/>
        <n v="104"/>
        <n v="105"/>
        <n v="106"/>
        <n v="108"/>
        <n v="109"/>
        <n v="118"/>
        <n v="119"/>
        <n v="121"/>
        <n v="113"/>
        <n v="115"/>
        <n v="114"/>
        <n v="111"/>
        <n v="112"/>
        <n v="120"/>
        <n v="129"/>
        <n v="127"/>
        <n v="128"/>
        <n v="130"/>
        <n v="131"/>
        <s v="I00"/>
        <s v="B00"/>
        <s v="C00"/>
        <s v="Q00"/>
        <s v="N00"/>
        <s v="K00"/>
        <s v="F00"/>
        <s v="EZQ"/>
        <n v="400"/>
        <n v="410"/>
        <s v="D00"/>
        <s v="W00"/>
        <s v="E0K"/>
        <s v="V00"/>
        <n v="800"/>
        <n v="810"/>
        <n v="811"/>
        <n v="812"/>
        <n v="813"/>
        <s v="H00"/>
        <n v="212"/>
        <n v="213"/>
        <n v="214"/>
        <n v="310"/>
        <n v="311"/>
        <n v="312"/>
        <n v="411"/>
        <s v="A00"/>
        <n v="500"/>
        <n v="510"/>
        <n v="911"/>
        <n v="700"/>
        <n v="710"/>
        <n v="711"/>
        <n v="712"/>
        <s v="M00"/>
        <s v="G00"/>
        <n v="900"/>
        <n v="910"/>
        <n v="912"/>
        <s v="U00"/>
        <s v="J00"/>
        <n v="611"/>
        <n v="412"/>
        <n v="600"/>
        <n v="610"/>
        <n v="612"/>
        <n v="613"/>
        <n v="614"/>
        <n v="616"/>
        <n v="615"/>
        <n v="512"/>
        <n v="514"/>
        <n v="123"/>
        <n v="413"/>
        <n v="511"/>
        <n v="515"/>
        <n v="713"/>
        <s v="AYG"/>
        <s v="HHE"/>
        <n v="715"/>
        <s v="G3A"/>
        <s v="E00"/>
        <s v="HAN"/>
        <s v="HJO"/>
        <s v="HAT"/>
        <s v="HAS"/>
        <s v="AYB"/>
        <s v="HKA"/>
        <s v="HDB"/>
        <s v="HHG"/>
        <n v="415"/>
        <n v="416"/>
        <n v="418"/>
        <n v="215"/>
        <n v="513"/>
        <s v="GSA"/>
        <n v="122"/>
        <n v="124"/>
        <n v="125"/>
        <n v="126"/>
        <n v="132"/>
        <n v="136"/>
        <n v="135"/>
        <n v="139"/>
        <n v="117"/>
        <n v="138"/>
        <n v="140"/>
        <s v="A1I"/>
        <s v="IZC"/>
        <s v="JAG"/>
        <n v="133"/>
        <n v="134"/>
        <n v="137"/>
        <n v="141"/>
        <n v="142"/>
        <n v="143"/>
        <n v="144"/>
        <n v="145"/>
        <n v="146"/>
        <n v="147"/>
        <n v="148"/>
        <n v="149"/>
        <n v="150"/>
        <n v="151"/>
        <n v="152"/>
        <s v="AFU"/>
        <s v="I6L"/>
        <s v="I6U"/>
        <s v="I9H"/>
        <s v="IZI"/>
        <n v="153"/>
        <s v="J4V"/>
        <s v="J3C"/>
        <s v="J3L"/>
        <s v="J9E"/>
        <s v="KCZ"/>
        <n v="622"/>
        <n v="623"/>
        <n v="624"/>
        <n v="627"/>
        <n v="632"/>
        <n v="634"/>
        <n v="638"/>
        <n v="640"/>
        <n v="643"/>
        <n v="646"/>
        <n v="648"/>
        <n v="650"/>
        <n v="651"/>
        <s v="JZL"/>
        <n v="313"/>
        <n v="621"/>
        <n v="625"/>
        <n v="626"/>
        <n v="628"/>
        <n v="630"/>
        <n v="631"/>
        <n v="633"/>
        <n v="635"/>
        <n v="636"/>
        <n v="637"/>
        <n v="639"/>
        <n v="641"/>
        <n v="642"/>
        <n v="644"/>
        <n v="645"/>
        <n v="647"/>
        <n v="649"/>
        <n v="652"/>
        <s v="J0U"/>
        <s v="J2P"/>
        <s v="J2T"/>
        <s v="J2X"/>
        <s v="J2Y"/>
        <s v="J3F"/>
        <s v="J3D"/>
        <n v="414"/>
        <s v="LAT"/>
        <s v="K2H"/>
        <s v="LAU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420"/>
        <n v="421"/>
        <n v="422"/>
        <s v="K2W"/>
        <n v="315"/>
        <n v="316"/>
        <n v="317"/>
        <s v="L6J"/>
        <s v="L8K"/>
        <s v="MDN"/>
        <s v="A3Q"/>
        <s v="L5N"/>
        <s v="L6H"/>
        <s v="L3P"/>
        <s v="L5X"/>
        <s v="L9T"/>
        <s v="A2M"/>
        <s v="L4J"/>
        <s v="MGH"/>
        <s v="L6U"/>
        <n v="216"/>
        <s v="B01"/>
        <s v="MDL"/>
        <s v="MHL"/>
        <s v="MGC"/>
        <s v="MAR"/>
        <s v="L8G"/>
        <s v="L6I"/>
        <s v="MDI"/>
        <s v="L3N"/>
        <s v="L8P"/>
        <s v="L9Y"/>
        <s v="MDC"/>
        <s v="MDA"/>
        <s v="MDE"/>
        <n v="314"/>
        <s v="L6W"/>
        <n v="714"/>
        <s v="MDB"/>
        <m/>
        <n v="160"/>
        <s v="M7A"/>
        <s v="M7F"/>
        <s v="M7K"/>
        <s v="NAW"/>
        <s v="NBB"/>
        <s v="NBD"/>
        <s v="NBG"/>
        <s v="NBV"/>
        <s v="NCA"/>
        <s v="NCD"/>
        <s v="NCG"/>
        <s v="NCH"/>
        <s v="NCK"/>
        <s v="NCZ"/>
        <s v="NDE"/>
        <s v="NDF"/>
        <s v="NDY"/>
        <s v="NHK"/>
        <n v="172"/>
        <s v="NBQ"/>
        <s v="NBR"/>
        <s v="NBS"/>
        <s v="O00"/>
        <s v="R00"/>
        <s v="S00"/>
        <s v="NBT"/>
        <s v="NEF"/>
        <n v="170"/>
        <n v="171"/>
        <s v="L00"/>
        <s v="T00"/>
        <s v="PBJ"/>
        <s v="QEZ"/>
        <s v="QEU"/>
        <s v="B20"/>
        <s v="B48"/>
        <s v="RHQ"/>
        <s v="B03"/>
        <s v="B08"/>
        <s v="B09"/>
        <s v="B10"/>
        <s v="B21"/>
        <s v="B23"/>
        <s v="B24"/>
        <s v="B25"/>
        <s v="B26"/>
        <s v="B28"/>
        <s v="B29"/>
        <s v="B30"/>
        <s v="B31"/>
        <s v="B32"/>
        <s v="B40"/>
        <s v="B41"/>
        <s v="B42"/>
        <s v="B43"/>
        <s v="B44"/>
        <s v="B45"/>
        <s v="B46"/>
        <s v="B49"/>
        <s v="B50"/>
        <s v="B51"/>
        <s v="B52"/>
        <s v="B53"/>
        <s v="B54"/>
        <s v="B55"/>
        <s v="B56"/>
        <s v="B57"/>
        <s v="B58"/>
        <s v="B59"/>
        <s v="B12"/>
        <s v="B04"/>
        <s v="RJE"/>
        <s v="B02"/>
        <s v="B22"/>
        <s v="B27"/>
        <s v="B47"/>
        <s v="B05"/>
        <s v="B06"/>
        <s v="B07"/>
        <s v="B13"/>
        <s v="B11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814"/>
        <n v="815"/>
        <n v="217"/>
        <n v="218"/>
        <s v="SKC"/>
        <n v="913"/>
        <n v="816"/>
        <s v="T0Q"/>
        <s v="T0O"/>
        <s v="T0K"/>
        <s v="T1O"/>
        <s v="VST"/>
        <s v="V3A"/>
        <s v="VQZ"/>
        <s v="VZG"/>
        <s v="VSS"/>
        <s v="VYF"/>
        <s v="W3S"/>
        <s v="W3J"/>
        <s v="W3N"/>
        <n v="208"/>
        <n v="209"/>
        <n v="408"/>
        <n v="308"/>
        <n v="309"/>
        <n v="409"/>
        <s v="28S"/>
        <n v="201"/>
        <n v="202"/>
        <n v="203"/>
        <n v="204"/>
        <n v="205"/>
        <n v="206"/>
        <n v="207"/>
        <n v="301"/>
        <n v="302"/>
        <n v="303"/>
        <n v="304"/>
        <n v="305"/>
        <n v="306"/>
        <n v="307"/>
        <n v="423"/>
        <s v="90A"/>
        <s v="90C"/>
        <s v="90E"/>
        <s v="90I"/>
        <s v="90M"/>
        <s v="90O"/>
        <s v="90Q"/>
        <s v="90S"/>
        <s v="90W"/>
        <s v="91C"/>
        <s v="91E"/>
        <s v="91I"/>
        <s v="91K"/>
        <s v="91Q"/>
        <s v="91S"/>
        <s v="91U"/>
        <s v="91W"/>
        <s v="9ZW"/>
        <s v="9ZY"/>
        <s v="90G"/>
        <s v="90K"/>
        <s v="90U"/>
        <s v="90Y"/>
        <s v="9ZU"/>
        <s v="90X"/>
        <s v="91O"/>
        <s v="GYN"/>
        <s v="GYR"/>
        <s v="HXA"/>
        <s v="TOQ"/>
        <s v="TZZ"/>
      </sharedItems>
    </cacheField>
    <cacheField name="Unidad Responsable (UR)" numFmtId="0">
      <sharedItems containsBlank="1" count="1054">
        <s v="H. Cámara de Senadores"/>
        <s v="H. Cámara de Diputados"/>
        <s v="Auditoría Superior de la Federación"/>
        <s v="Suprema Corte de Justicia de la Nación"/>
        <s v="Consejo de la Judicatura Federal"/>
        <s v="Sala Superior"/>
        <s v="Salas Regionales"/>
        <s v="Dirección Ejecutiva de Administración"/>
        <s v="Juntas Locales"/>
        <s v="Juntas Distritales"/>
        <s v="Contraloría General"/>
        <s v="Presidencia del Consejo General"/>
        <s v="Consejeros Electorales"/>
        <s v="Secretaría Ejecutiva"/>
        <s v="Coordinación Nacional de Comunicación Social"/>
        <s v="Coordinación de Asuntos Internacionales"/>
        <s v="Dirección del Secretariado"/>
        <s v="Dirección Jurídica"/>
        <s v="Unidad de Servicios de Informática"/>
        <s v="Centro para el Desarrollo Democrático"/>
        <s v="Servicios de Información y Documentación"/>
        <s v="Coordinación del Voto de los Mexicanos Residentes en el Extranjero"/>
        <s v="Unidad Técnica de Planeación"/>
        <s v="Dirección Ejecutiva de Organización Electoral"/>
        <s v="Dirección Ejecutiva de Capacitación Electoral y Educación Cívica"/>
        <s v="Dirección Ejecutiva del Servicio Profesional Electoral"/>
        <s v="Dirección Ejecutiva del Registro Federal de Electores"/>
        <s v="Dirección Ejecutiva de Prerrogativas y Partidos Políticos"/>
        <s v="Unidad de Fiscalización de los Recursos de los Partidos Políticos"/>
        <s v="Presidencia"/>
        <s v="Dirección General de Quejas y Orientación"/>
        <s v="Quinta Visitaduría General"/>
        <s v="Primera Visitaduría General"/>
        <s v="Segunda Visitaduría General"/>
        <s v="Tercera Visitaduría General"/>
        <s v="Cuarta Visitaduría General"/>
        <s v="Secretaría Técnica del Consejo Consultivo"/>
        <s v="Coordinación General de Comunicación y Proyectos"/>
        <s v="Centro Nacional de Derechos Humanos"/>
        <s v="Oficialía Mayor"/>
        <s v="Órgano Interno de Control"/>
        <s v="Dirección General de Planeación y Análisis"/>
        <s v="Dirección General de Información Automatizada"/>
        <s v="Dirección General de Asuntos Jurídicos"/>
        <s v="Instituto Nacional de Estadística y Geografía"/>
        <s v="Coordinación General de Administración"/>
        <s v="Oficina de la Presidencia de la República"/>
        <s v="Secretaría Particular"/>
        <s v="Coordinación de Opinión Pública"/>
        <s v="Coordinación de Comunicación Social"/>
        <s v="Coordinación de Gabinetes y Proyectos Especiales"/>
        <s v="Coordinación de Asesores"/>
        <s v="Coordinación de Estrategia y Mensaje Gubernamental"/>
        <s v="Estado Mayor Presidencial"/>
        <s v="Coordinación General de Transportes Aéreos Presidenciales"/>
        <s v="Conservaduría de Palacio Nacional"/>
        <s v="Centro de Investigación y Seguridad Nacional"/>
        <s v="Archivo General de la Nación"/>
        <s v="Instituto Nacional de Estudios Históricos de las Revoluciones de México"/>
        <s v="Centro de Producción de Programas Informativos y Especiales"/>
        <s v="Coordinación General de la Comisión Mexicana de Ayuda a Refugiados"/>
        <s v="Instituto Nacional de Migración"/>
        <s v="Tribunal Federal de Conciliación y Arbitraje"/>
        <s v="Consejo Nacional para Prevenir la Discriminación"/>
        <s v="Subsecretaría de Población, Migración y Asuntos Religiosos"/>
        <s v="Dirección General del Registro Nacional de Población e Identificación Personal"/>
        <s v="Secretariado Ejecutivo del Sistema Nacional de Seguridad Pública"/>
        <s v="Organismo Promotor de Medios Audiovisuales"/>
        <s v="Comisión Nacional para Prevenir y Erradicar la Violencia Contra las Mujeres"/>
        <s v="Dirección General de Recursos Humanos"/>
        <s v="Dirección General de Programación y Presupuesto"/>
        <s v="Dirección General de Recursos Materiales y Servicios Generales"/>
        <s v="Dirección General de Tecnologías de la Información"/>
        <s v="Coordinación General de Protección Civil"/>
        <s v="Dirección General de Protección Civil"/>
        <s v="Dirección General para el Fondo de Desastres Naturales"/>
        <s v="Centro Nacional de Prevención de Desastres"/>
        <s v="Unidad de Contraloría Interna"/>
        <s v="Secretaría"/>
        <s v="Subsecretaría de Gobierno"/>
        <s v="Unidad de Gobierno"/>
        <s v="Unidad para la Atención de Organizaciones Sociales"/>
        <s v="Dirección General de Coordinación con Entidades Federativas"/>
        <s v="Unidad de Enlace Federal"/>
        <s v="Subsecretaría de Enlace Legislativo"/>
        <s v="Dirección General de Estudios Legislativos"/>
        <s v="Unidad de Enlace Legislativo"/>
        <s v="Dirección General de Información Legislativa"/>
        <s v="Dirección General de Asociaciones Religiosas"/>
        <s v="Instituto Nacional para el Federalismo y el Desarrollo Municipal"/>
        <s v="Unidad para el Desarrollo Político"/>
        <s v="Dirección General de Cultura Democrática y Fomento Cívico"/>
        <s v="Unidad para la Promoción y Defensa de los Derechos Humanos"/>
        <s v="Dirección General de Comunicación Social"/>
        <s v="Subsecretaría de Normatividad de Medios"/>
        <s v="Dirección General de Radio, Televisión y Cinematografía"/>
        <s v="Dirección General de Normatividad de Comunicación"/>
        <s v="Dirección General de Medios Impresos"/>
        <s v="Secretaría Técnica de la Comisión Calificadora de Publicaciones y Revistas Ilustradas"/>
        <s v="Secretaría General del Consejo Nacional de Población"/>
        <s v="Subsecretaría de Asuntos Jurídicos y Derechos Humanos"/>
        <s v="Unidad de Asuntos Jurídicos"/>
        <s v="Dirección General de Compilación y Consulta del Orden Jurídico Nacional"/>
        <s v="Secretaría Técnica del Consejo de Coordinación para la Implementación del Sistema de Justicia Penal"/>
        <s v="Instituto de los Mexicanos en el Exterior"/>
        <s v="Dirección General de Protección a Mexicanos en el Exterior"/>
        <s v="Dirección General de Servicios Consulares"/>
        <s v="Dirección General de Delegaciones"/>
        <s v="Consultoría Jurídica"/>
        <s v="Sección Mexicana de la Comisión Internacional de Límites y Aguas entre México y Estados Unidos"/>
        <s v="Secciones Mexicanas de las Comisiones Internacionales de Límites y Aguas entre México y Guatemala, y entre México y Belize"/>
        <s v="Instituto Matías Romero"/>
        <s v="Subsecretaría para América del Norte"/>
        <s v="Subsecretaría para América Latina y el Caribe"/>
        <s v="Subsecretaría de Relaciones Exteriores"/>
        <s v="Dirección General para Asia-Pacífico"/>
        <s v="Unidad de Relaciones Económicas y Cooperación Internacional"/>
        <s v="Subsecretaría para Asuntos Multilaterales y Derechos Humanos"/>
        <s v="Dirección General del Servicio Exterior y de Recursos Humanos"/>
        <s v="Dirección General de Programación, Organización y Presupuesto"/>
        <s v="Dirección General de Bienes Inmuebles y Recursos Materiales"/>
        <s v="Dirección General de Tecnologías de Información e Innovación"/>
        <s v="Organo Interno de Control"/>
        <s v="Dirección General de Promoción Económica Internacional"/>
        <s v="Dirección General de Relaciones Económicas Bilaterales"/>
        <s v="Dirección General de Cooperación Técnica y Científica"/>
        <s v="Dirección General de Coordinación Política"/>
        <s v="Dirección General de Protocolo"/>
        <s v="Dirección General del Acervo Histórico Diplomático"/>
        <s v="Dirección General de Derechos Humanos y Democracia"/>
        <s v="Dirección General de Vinculación con las Organizaciones de la Sociedad Civil"/>
        <s v="Dirección General para América del Norte"/>
        <s v="Dirección General para América Latina y el Caribe"/>
        <s v="Dirección General de Organismos y Mecanismos Regionales Americanos"/>
        <s v="Dirección General del Proyecto de Integración y Desarrollo de Mesoamérica"/>
        <s v="Dirección General para Europa"/>
        <s v="Dirección General para Africa y Medio Oriente"/>
        <s v="Dirección General para Temas Globales"/>
        <s v="Dirección General para la Organización de las Naciones Unidas"/>
        <s v="Dirección General de Organismos Económicos Regionales y Multilaterales"/>
        <s v="Dirección General de Cooperación Educativa y Cultural"/>
        <s v="Dirección General de Talleres de Impresión de Estampillas y Valores"/>
        <s v="Tesorería de la Federación"/>
        <s v="Subtesorería de Operación"/>
        <s v="Subtesorería de Contabilidad y Control Operativo"/>
        <s v="Unidad de Vigilancia de Fondos y Valores"/>
        <s v="Dirección General de Procedimientos Legales"/>
        <s v="Notimex, Agencia de Noticias del Estado Mexicano"/>
        <s v="Instituto Federal de Acceso a la Información y Protección de Datos"/>
        <s v="Dirección General de Promoción Cultural, Obra Pública y Acervo Patrimonial"/>
        <s v="Comisión Nacional para la Protección y Defensa de los Usuarios de Servicios Financieros"/>
        <s v="Servicio de Administración Tributaria"/>
        <s v="Financiera Rural"/>
        <s v="Banco del Ahorro Nacional y Servicios Financieros, S.N.C."/>
        <s v="Fondo de Capitalización e Inversión del Sector Rural"/>
        <s v="Fondo Especial de Asistencia Técnica y Garantía para Créditos Agropecuarios"/>
        <s v="Comisión Nacional para el Desarrollo de los Pueblos Indígenas"/>
        <s v="Servicio de Administración y Enajenación de Bienes"/>
        <s v="Unidad de Banca de Desarrollo"/>
        <s v="Unidad de Banca, Valores y Ahorro"/>
        <s v="Unidad de Seguros, Pensiones y Seguridad Social"/>
        <s v="Unidad de Inteligencia Financiera"/>
        <s v="Comisión Nacional del Sistema de Ahorro para el Retiro"/>
        <s v="Comisión Nacional de Seguros y Fianzas"/>
        <s v="Comisión Nacional Bancaria y de Valores"/>
        <s v="Coordinación General de Tecnologías de Información y Comunicaciones"/>
        <s v="Coordinación General de Calidad y Seguridad de la Información"/>
        <s v="Dirección General de Recursos Financieros"/>
        <s v="Comisión Nacional de Vivienda"/>
        <s v="Instituto Nacional de las Mujeres"/>
        <s v="Unidad de Comunicación Social y Vocero"/>
        <s v="Subsecretaría de Ingresos"/>
        <s v="Unidad de Política de Ingresos"/>
        <s v="Unidad de Legislación Tributaria"/>
        <s v="Subsecretaría de Egresos"/>
        <s v="Unidad de Inversiones"/>
        <s v="Unidad de Política y Control Presupuestario"/>
        <s v="Unidad de Contabilidad Gubernamental e Informes sobre la Gestión Pública"/>
        <s v="Dirección General de Programación y Presupuesto &quot;B&quot;"/>
        <s v="Dirección General de Programación y Presupuesto &quot;A&quot;"/>
        <s v="Dirección General Jurídica de Egresos"/>
        <s v="Subsecretaría de Hacienda y Crédito Público"/>
        <s v="Unidad de Crédito Público"/>
        <s v="Unidad de Planeación Económica de la Hacienda Pública"/>
        <s v="Unidad de Asuntos Internacionales de Hacienda"/>
        <s v="Procuraduría Fiscal de la Federación"/>
        <s v="Subprocuraduría Fiscal Federal de Legislación y Consulta"/>
        <s v="Subprocuraduría Fiscal Federal de Amparos"/>
        <s v="Subprocuraduría Fiscal Federal de Asuntos Financieros"/>
        <s v="Subprocuraduría Fiscal Federal de Investigaciones"/>
        <s v="Unidad de Coordinación con Entidades Federativas"/>
        <s v="Agroasemex, S.A."/>
        <s v="Dirección General de Industria Militar"/>
        <s v="Jefatura del Estado Mayor de la Defensa Nacional"/>
        <s v="Comandancia I Región Militar"/>
        <s v="Comandancia II Región Militar"/>
        <s v="Comandancia III Región Militar"/>
        <s v="Comandancia IV Región Militar"/>
        <s v="Comandancia V Región Militar"/>
        <s v="Comandancia VI Región Militar"/>
        <s v="Comandancia VII Región Militar"/>
        <s v="Comandancia VIII Región Militar"/>
        <s v="Comandancia IX Región Militar"/>
        <s v="Comandancia X Región Militar"/>
        <s v="Comandancia XI Región Militar"/>
        <s v="Comandancia XII Región Militar"/>
        <s v="Comandancia de la Fuerza Aérea Mexicana"/>
        <s v="Procuraduría General de Justicia Militar"/>
        <s v="Presidencia del Supremo Tribunal Militar"/>
        <s v="Dirección General de Educación Militar y Rectoría de la Universidad del Ejército y Fuerza Aérea"/>
        <s v="Dirección General de Sanidad"/>
        <s v="Dirección General de Derechos Humanos"/>
        <s v="Dirección General de Fábricas de Vestuario y Equipo"/>
        <s v="Dirección General de Ingenieros"/>
        <s v="Dirección General de Administración"/>
        <s v="Dirección General de Informática"/>
        <s v="Universidad Autónoma Chapingo"/>
        <s v="Colegio Superior Agropecuario del Estado de Guerrero"/>
        <s v="Colegio de Postgraduados"/>
        <s v="Instituto Nacional de Investigaciones Forestales, Agrícolas y Pecuarias"/>
        <s v="Instituto Nacional de la Pesca"/>
        <s v="Apoyos y Servicios a la Comercialización Agropecuaria"/>
        <s v="Dirección General de Apoyo al Financiamiento Rural"/>
        <s v="Dirección General de Estudios Agropecuarios y Pesqueros"/>
        <s v="Comisión Nacional de Acuacultura y Pesca"/>
        <s v="Coordinación General de Comunicación Social"/>
        <s v="Delegación en Aguascalientes"/>
        <s v="Delegación en Baja California"/>
        <s v="Delegación en Baja California Sur"/>
        <s v="Delegación en Campeche"/>
        <s v="Delegación en Coahuila"/>
        <s v="Delegación en Colima"/>
        <s v="Delegación en Chiapas"/>
        <s v="Delegación en Chihuahua"/>
        <s v="Delegación en Durango"/>
        <s v="Delegación en Guanajuato"/>
        <s v="Delegación en Guerrero"/>
        <s v="Delegación en Hidalgo"/>
        <s v="Delegación en Jalisco"/>
        <s v="Delegación en el Estado de México"/>
        <s v="Delegación en Michoacán"/>
        <s v="Delegación en Morelos"/>
        <s v="Delegación en Nayarit"/>
        <s v="Delegación en Nuevo León"/>
        <s v="Delegación en Oaxaca"/>
        <s v="Delegación en Puebla"/>
        <s v="Delegación en Querétaro"/>
        <s v="Delegación en Quintana Roo"/>
        <s v="Delegación en San Luis Potosí"/>
        <s v="Delegación en Sinaloa"/>
        <s v="Delegación en Sonora"/>
        <s v="Delegación en Tabasco"/>
        <s v="Delegación en Tamaulipas"/>
        <s v="Delegación en Tlaxcala"/>
        <s v="Delegación en Veracruz"/>
        <s v="Delegación en Yucatán"/>
        <s v="Delegación en Zacatecas"/>
        <s v="Servicio Nacional de Sanidad, Inocuidad y Calidad Agroalimentaria"/>
        <s v="Servicio Nacional de Inspección y Certificación de Semillas"/>
        <s v="Dirección General de Desarrollo Humano y Profesionalización"/>
        <s v="Dirección General de Eficiencia Financiera y Rendición de Cuentas"/>
        <s v="Dirección General de Proveeduría y Racionalización de Bienes y Servicios"/>
        <s v="Dirección General de Promoción de la Eficiencia y Calidad de los Servicios"/>
        <s v="Comité Nacional para el Desarrollo Sustentable de la Caña de Azúcar"/>
        <s v="Servicio de Información Agroalimentaria y Pesquera"/>
        <s v="Fideicomiso de Riesgo Compartido"/>
        <s v="Fondo de Empresas Expropiadas del Sector Azucarero"/>
        <s v="Instituto Nacional para el Desarrollo de Capacidades del Sector Rural, A.C."/>
        <s v="Comisión Nacional de las Zonas Aridas"/>
        <s v="Delegación en la Región Lagunera"/>
        <s v="Coordinación General Jurídica"/>
        <s v="Coordinación General de Política Sectorial"/>
        <s v="Coordinación General de Delegaciones"/>
        <s v="Coordinación General de Enlace y Operación"/>
        <s v="Coordinación General de Ganadería"/>
        <s v="Delegación en el Distrito Federal"/>
        <s v="Subsecretaría de Fomento a los Agronegocios"/>
        <s v="Dirección General de Administración de Riesgos y Proyectos de Inversión"/>
        <s v="Subsecretaría de Agricultura"/>
        <s v="Dirección General de Fomento a la Agricultura"/>
        <s v="Dirección General de Vinculación y Desarrollo Tecnológico"/>
        <s v="Subsecretaría de Desarrollo Rural"/>
        <s v="Dirección General de Apoyos para el Desarrollo Rural"/>
        <s v="Dirección General de Programas Regionales y Organización Rural"/>
        <s v="Dirección General de Estudios para el Desarrollo Rural"/>
        <s v="Dirección General de Servicios Profesionales para el Desarrollo Rural"/>
        <s v="Dirección General de Desarrollo Carretero"/>
        <s v="Fideicomiso de Formación y Capacitación para el Personal de la Marina Mercante Nacional"/>
        <s v="Administración Portuaria Integral de Puerto Madero, S.A. de C.V."/>
        <s v="Servicios a la Navegación en el Espacio Aéreo Mexicano"/>
        <s v="Ferrocarril del Istmo de Tehuantepec, S.A. de C.V."/>
        <s v="Servicio Postal Mexicano"/>
        <s v="Telecomunicaciones de México"/>
        <s v="Instituto Mexicano del Transporte"/>
        <s v="Dirección General de Autotransporte Federal"/>
        <s v="Dirección General de Marina Mercante"/>
        <s v="Centro SCT Baja California"/>
        <s v="Centro SCT Baja California Sur"/>
        <s v="Centro SCT Campeche"/>
        <s v="Centro SCT Chiapas"/>
        <s v="Centro SCT Guerrero"/>
        <s v="Centro SCT Jalisco"/>
        <s v="Centro SCT Nayarit"/>
        <s v="Centro SCT Oaxaca"/>
        <s v="Centro SCT Quintana Roo"/>
        <s v="Centro SCT Sonora"/>
        <s v="Centro SCT Tamaulipas"/>
        <s v="Centro SCT Veracruz"/>
        <s v="Centro SCT Yucatán"/>
        <s v="Aeropuertos y Servicios Auxiliares"/>
        <s v="Dirección General de Protección y Medicina Preventiva en el Transporte"/>
        <s v="Centro SCT Aguascalientes"/>
        <s v="Centro SCT Coahuila"/>
        <s v="Centro SCT Colima"/>
        <s v="Centro SCT Chihuahua"/>
        <s v="Centro SCT Durango"/>
        <s v="Centro SCT Guanajuato"/>
        <s v="Centro SCT Hidalgo"/>
        <s v="Centro SCT México"/>
        <s v="Centro SCT Michoacán"/>
        <s v="Centro SCT Morelos"/>
        <s v="Centro SCT Nuevo León"/>
        <s v="Centro SCT Puebla"/>
        <s v="Centro SCT Querétaro"/>
        <s v="Centro SCT San Luis Potosí"/>
        <s v="Centro SCT Sinaloa"/>
        <s v="Centro SCT Tabasco"/>
        <s v="Centro SCT Tlaxcala"/>
        <s v="Centro SCT Zacatecas"/>
        <s v="Dirección General de Aeronáutica Civil"/>
        <s v="Dirección General de Transporte Ferroviario y Multimodal"/>
        <s v="Dirección General de Puertos"/>
        <s v="Dirección General de Carreteras"/>
        <s v="Comisión Federal de Telecomunicaciones"/>
        <s v="Dirección General de Política de Telecomunicaciones y de Radiodifusión"/>
        <s v="Coordinación de la Sociedad de la Información y el Conocimiento"/>
        <s v="Dirección General de Conservación de Carreteras"/>
        <s v="Dirección General de Servicios Técnicos"/>
        <s v="Caminos y Puentes Federales de Ingresos y Servicios Conexos"/>
        <s v="Administración Portuaria Integral de Dos Bocas, S.A. de C.V."/>
        <s v="Administración Portuaria Integral de Mazatlán, S.A. de C.V."/>
        <s v="Administración Portuaria Integral de Tuxpan, S.A. de C.V."/>
        <s v="Administración Portuaria Integral de Altamira, S.A. de C.V."/>
        <s v="Administración Portuaria Integral de Coatzacoalcos, S.A. de C.V."/>
        <s v="Administración Portuaria Integral de Tampico, S.A. de C.V."/>
        <s v="Subsecretaría de Comunicaciones"/>
        <s v="Unidad de Apoyo al Cambio Estructural"/>
        <s v="Dirección General de Planeación"/>
        <s v="Coordinación General de Centros SCT"/>
        <s v="Dirección General de Evaluación"/>
        <s v="Dirección General de Recursos Materiales"/>
        <s v="Unidad de Tecnologías de Información y Comunicaciones"/>
        <s v="Subsecretaría de Infraestructura"/>
        <s v="Subsecretaría de Transporte"/>
        <s v="Unidad de la Red Privada del Gobierno Federal"/>
        <s v="Coordinación General de Puertos y Marina Mercante"/>
        <s v="Dirección General de Fomento y Administración Portuaria"/>
        <s v="Procuraduría Federal del Consumidor"/>
        <s v="Centro Nacional de Metrología"/>
        <s v="Servicio Geológico Mexicano"/>
        <s v="Coordinación General de Delegaciones Federales"/>
        <s v="Delegación en Distrito Federal"/>
        <s v="Delegación en México"/>
        <s v="Subdelegación en Tijuana"/>
        <s v="Subdelegación en Piedras Negras"/>
        <s v="Subdelegación en Torreón"/>
        <s v="Subdelegación en Tapachula"/>
        <s v="Subdelegación en Ciudad Juárez"/>
        <s v="Subdelegación en Gómez Palacio"/>
        <s v="Subdelegación en Celaya"/>
        <s v="Subdelegación en Chilpancingo"/>
        <s v="Subdelegación en Cancún"/>
        <s v="Subdelegación en Ciudad Obregón"/>
        <s v="Subdelegación en Nogales"/>
        <s v="Subdelegación en San Luis Río Colorado"/>
        <s v="Subdelegación en Matamoros"/>
        <s v="Subdelegación en Nuevo Laredo"/>
        <s v="Subdelegación en Reynosa"/>
        <s v="Subdelegación en Tampico"/>
        <s v="Subdelegación en Coatzacoalcos"/>
        <s v="Subdelegación en Poza Rica"/>
        <s v="Subdelegación en el Puerto de Veracruz"/>
        <s v="Coordinación General de Minería"/>
        <s v="Dirección General de Minas"/>
        <s v="Dirección General de Promoción Minera"/>
        <s v="ProMéxico"/>
        <s v="Dirección General de Inversión Extranjera"/>
        <s v="Dirección General de Normas"/>
        <s v="Dirección General de Normatividad Mercantil"/>
        <s v="Comisión Federal de Competencia"/>
        <s v="Comisión Federal de Mejora Regulatoria"/>
        <s v="Coordinación General del Programa Nacional de Apoyo para las Empresas de Solidaridad"/>
        <s v="Coordinación General del Programa Nacional de Financiamiento al Microempresario"/>
        <s v="Subsecretaría de Comercio Exterior"/>
        <s v="Dirección General de Negociaciones Multilaterales y Regionales"/>
        <s v="Dirección General de Consultoría Jurídica de Negociaciones"/>
        <s v="Unidad de Coordinación de Negociaciones Internacionales"/>
        <s v="Dirección General de Política Comercial"/>
        <s v="Dirección General de Evaluación y Seguimiento de Negociaciones"/>
        <s v="Unidad de Prácticas Comerciales Internacionales"/>
        <s v="Dirección General de Comercio Interior y Economía Digital"/>
        <s v="Subsecretaría de Competitividad y Normatividad"/>
        <s v="Secretariado Técnico de la Competitividad"/>
        <s v="Subsecretaría para la Pequeña y Mediana Empresa"/>
        <s v="Dirección General de Capacitación e Innovación Tecnológica"/>
        <s v="Dirección General de Promoción Empresarial"/>
        <s v="Dirección General de Desarrollo Empresarial y Oportunidades de Negocio"/>
        <s v="Dirección General de Oferta Exportable"/>
        <s v="Subsecretaría de Industria y Comercio"/>
        <s v="Dirección General de Industrias Básicas"/>
        <s v="Dirección General de Industrias Pesadas y de Alta Tecnología"/>
        <s v="Dirección General de Comercio Exterior"/>
        <s v="Comisión Nacional de Libros de Texto Gratuitos"/>
        <s v="Dirección General de Materiales Educativos"/>
        <s v="El Colegio de México, A.C."/>
        <s v="Dirección General de Evaluación de Políticas"/>
        <s v="Instituto Nacional para la Evaluación de la Educación"/>
        <s v="Dirección General de Centros de Formación para el Trabajo"/>
        <s v="Dirección General de Personal"/>
        <s v="Dirección General del Bachillerato"/>
        <s v="Universidad Nacional Autónoma de México"/>
        <s v="Colegio de Bachilleres"/>
        <s v="Comisión de Operación y Fomento de Actividades Académicas del Instituto Politécnico Nacional"/>
        <s v="Dirección General de Educación Superior Tecnológica"/>
        <s v="Subsecretaría de Educación Media Superior"/>
        <s v="Dirección General de Educación Tecnológica Agropecuaria"/>
        <s v="Dirección General de Educación Tecnológica Industrial"/>
        <s v="Dirección General de Educación en Ciencia y Tecnología del Mar"/>
        <s v="Instituto Politécnico Nacional"/>
        <s v="Centro de Enseñanza Técnica Industrial"/>
        <s v="Colegio Nacional de Educación Profesional Técnica"/>
        <s v="Coordinación General de Universidades Tecnológicas"/>
        <s v="Fideicomiso de los Sistemas Normalizado de Competencia Laboral y de Certificación de Competencia Laboral"/>
        <s v="Universidad Pedagógica Nacional"/>
        <s v="Universidad Autónoma Metropolitana"/>
        <s v="Instituto Nacional de Antropología e Historia"/>
        <s v="Centro de Investigación y de Estudios Avanzados del Instituto Politécnico Nacional"/>
        <s v="Universidad Autónoma Agraria Antonio Narro"/>
        <s v="Instituto Nacional de Bellas Artes y Literatura"/>
        <s v="Consejo Nacional para la Cultura y las Artes"/>
        <s v="Compañía Operadora del Centro Cultural y Turístico de Tijuana, S.A. de C.V."/>
        <s v="Dirección General de Televisión Educativa"/>
        <s v="XE-IPN Canal 11"/>
        <s v="Radio Educación"/>
        <s v="Instituto Mexicano de la Radio"/>
        <s v="Televisión Metropolitana, S.A. de C.V."/>
        <s v="Patronato de Obras e Instalaciones del Instituto Politécnico Nacional"/>
        <s v="Fondo de Cultura Económica"/>
        <s v="Educal, S.A. de C.V."/>
        <s v="Comisión de Apelación y Arbitraje del Deporte"/>
        <s v="Comisión Nacional de Cultura Física y Deporte"/>
        <s v="Instituto Mexicano de la Juventud"/>
        <s v="Dirección General de Desarrollo de la Gestión e Innovación Educativa"/>
        <s v="Centro de Capacitación Cinematográfica, A.C."/>
        <s v="Estudios Churubusco Azteca, S.A."/>
        <s v="Fideicomiso para la Cineteca Nacional"/>
        <s v="Instituto Mexicano de Cinematografía"/>
        <s v="Unidad de Planeación y Evaluación de Políticas Educativas"/>
        <s v="Dirección General de Profesiones"/>
        <s v="Instituto Nacional del Derecho de Autor"/>
        <s v="Instituto Nacional para la Educación de los Adultos"/>
        <s v="Subsecretaría de Educación Superior"/>
        <s v="Instituto Nacional de la Infraestructura Física Educativa"/>
        <s v="Dirección General de Educación Superior Universitaria"/>
        <s v="Subsecretaría de Educación Básica"/>
        <s v="Dirección General de Desarrollo Curricular"/>
        <s v="Dirección General de Educación Indígena"/>
        <s v="Dirección General de Formación Continua de Maestros en Servicio"/>
        <s v="Consejo Nacional de Fomento Educativo"/>
        <s v="Dirección General de Administración Presupuestal y Recursos Financieros"/>
        <s v="Dirección General de Recursos Materiales y Servicios"/>
        <s v="Dirección General de Tecnología de la Información"/>
        <s v="Dirección General de Innovación, Calidad y Organización"/>
        <s v="Instituto Nacional de Lenguas Indígenas"/>
        <s v="Dirección General de Relaciones Internacionales"/>
        <s v="Coordinación General de Oficinas de Servicios Federales de Apoyo a la Educación"/>
        <s v="Coordinación General de Educación Intercultural y Bilingüe"/>
        <s v="Coordinación Ejecutiva"/>
        <s v="Oficina de Servicios Federales de Apoyo a la Educación en el Estado de Aguascalientes"/>
        <s v="Oficina de Servicios Federales de Apoyo a la Educación en el Estado de Baja California"/>
        <s v="Oficina de Servicios Federales de Apoyo a la Educación en el Estado de Baja California Sur"/>
        <s v="Oficina de Servicios Federales de Apoyo a la Educación en el Estado de Campeche"/>
        <s v="Oficina de Servicios Federales de Apoyo a la Educación en el Estado de Coahuila"/>
        <s v="Oficina de Servicios Federales de Apoyo a la Educación en el Estado de Colima"/>
        <s v="Oficina de Servicios Federales de Apoyo a la Educación en el Estado de Chiapas"/>
        <s v="Oficina de Servicios Federales de Apoyo a la Educación en el Estado de Chihuahua"/>
        <s v="Oficina de Servicios Federales de Apoyo a la Educación en el Estado de Durango"/>
        <s v="Oficina de Servicios Federales de Apoyo a la Educación en el Estado de Guanajuato"/>
        <s v="Oficina de Servicios Federales de Apoyo a la Educación en el Estado de Guerrero"/>
        <s v="Oficina de Servicios Federales de Apoyo a la Educación en el Estado de Hidalgo"/>
        <s v="Oficina de Servicios Federales de Apoyo a la Educación en el Estado de Jalisco"/>
        <s v="Oficina de Servicios Federales de Apoyo a la Educación en el Estado de México"/>
        <s v="Oficina de Servicios Federales de Apoyo a la Educación en el Estado de Michoacán"/>
        <s v="Oficina de Servicios Federales de Apoyo a la Educación en el Estado de Morelos"/>
        <s v="Oficina de Servicios Federales de Apoyo a la Educación en el Estado de Nayarit"/>
        <s v="Oficina de Servicios Federales de Apoyo a la Educación en el Estado de Nuevo León"/>
        <s v="Oficina de Servicios Federales de Apoyo a la Educación en el Estado de Oaxaca"/>
        <s v="Oficina de Servicios Federales de Apoyo a la Educación en el Estado de Puebla"/>
        <s v="Oficina de Servicios Federales de Apoyo a la Educación en el Estado de Querétaro"/>
        <s v="Oficina de Servicios Federales de Apoyo a la Educación en el Estado de Quintana Roo"/>
        <s v="Oficina de Servicios Federales de Apoyo a la Educación en el Estado de San Luis Potosí"/>
        <s v="Oficina de Servicios Federales de Apoyo a la Educación en el Estado de Sinaloa"/>
        <s v="Oficina de Servicios Federales de Apoyo a la Educación en el Estado de Sonora"/>
        <s v="Oficina de Servicios Federales de Apoyo a la Educación en el Estado de Tabasco"/>
        <s v="Oficina de Servicios Federales de Apoyo a la Educación en el Estado de Tamaulipas"/>
        <s v="Oficina de Servicios Federales de Apoyo a la Educación en el Estado de Tlaxcala"/>
        <s v="Oficina de Servicios Federales de Apoyo a la Educación en el Estado de Veracruz"/>
        <s v="Oficina de Servicios Federales de Apoyo a la Educación en el Estado de Yucatán"/>
        <s v="Oficina de Servicios Federales de Apoyo a la Educación en el Estado de Zacatecas"/>
        <s v="Dirección General de Planeación y Programación"/>
        <s v="Dirección General de Acreditación, Incorporación y Revalidación"/>
        <s v="Coordinación de Órganos Desconcentrados y del Sector Paraestatal"/>
        <s v="Coordinación Nacional de Carrera Magisterial"/>
        <s v="Dirección General de Educación Superior para Profesionales de la Educación"/>
        <m/>
        <s v="Comisión Coordinadora de Institutos Nacionales de Salud y Hospitales de Alta Especialidad"/>
        <s v="Dirección General de Calidad y Educación en Salud"/>
        <s v="Centro Regional de Alta Especialidad de Chiapas"/>
        <s v="Instituto Nacional de Psiquiatría Ramón de la Fuente Muñiz"/>
        <s v="Centros de Integración Juvenil, A.C."/>
        <s v="Servicios de Atención Psiquiátrica"/>
        <s v="Hospital Juárez de México"/>
        <s v="Hospital General &quot;Dr. Manuel Gea González&quot;"/>
        <s v="Hospital General de México"/>
        <s v="Hospital Infantil de México Federico Gómez"/>
        <s v="Instituto Nacional de Cancerología"/>
        <s v="Instituto Nacional de Cardiología Ignacio Chávez"/>
        <s v="Instituto Nacional de Enfermedades Respiratorias Ismael Cosío Villegas"/>
        <s v="Instituto Nacional de Ciencias Médicas y Nutrición Salvador Zubirán"/>
        <s v="Instituto Nacional de Medicina Genómica"/>
        <s v="Instituto Nacional de Neurología y Neurocirugía Manuel Velasco Suárez"/>
        <s v="Instituto Nacional de Pediatría"/>
        <s v="Instituto Nacional de Perinatología Isidro Espinosa de los Reyes"/>
        <s v="Instituto Nacional de Rehabilitación"/>
        <s v="Instituto Nacional de Salud Pública"/>
        <s v="Sistema Nacional para el Desarrollo Integral de la Familia"/>
        <s v="Instituto de Geriatría"/>
        <s v="Dirección General de Desarrollo de la Infraestructura Física"/>
        <s v="Centro Nacional de la Transfusión Sanguínea"/>
        <s v="Centro Nacional para la Prevención y el Control del VIH/SIDA"/>
        <s v="Comisión Nacional de Arbitraje Médico"/>
        <s v="Hospital Regional de Alta Especialidad del Bajío"/>
        <s v="Hospital Regional de Alta Especialidad de Oaxaca"/>
        <s v="Hospital Regional de Alta Especialidad de la Península de Yucatán"/>
        <s v="Centro Nacional de Programas Preventivos y Control de Enfermedades"/>
        <s v="Centro Nacional de Trasplantes"/>
        <s v="Centro Nacional para la Salud de la Infancia y la Adolescencia"/>
        <s v="Comisión Federal para la Protección contra Riesgos Sanitarios"/>
        <s v="Comisión Nacional de Protección Social en Salud"/>
        <s v="Hospital Regional de Alta Especialidad de Ciudad Victoria &quot;Bicentenario 2010&quot;_x001d_"/>
        <s v="Secretariado Técnico del Consejo Nacional Contra las Adicciones"/>
        <s v="Laboratorios de Biológicos y Reactivos de México, S.A. de C.V."/>
        <s v="Unidad de Análisis Económico"/>
        <s v="Unidad Coordinadora de Vinculación y Participación Social"/>
        <s v="Secretariado Técnico del Consejo Nacional de Salud"/>
        <s v="Subsecretaría de Prevención y Promoción de la Salud"/>
        <s v="Dirección General de Promoción de la Salud"/>
        <s v="Secretariado Técnico del Consejo Nacional de Salud Mental"/>
        <s v="Secretariado Técnico del Consejo Nacional para las Personas con Discapacidad"/>
        <s v="Centro Nacional para la Prevención de Accidentes"/>
        <s v="Subsecretaría de Administración y Finanzas (Oficialía Mayor)"/>
        <s v="Subsecretaría de Innovación y Calidad"/>
        <s v="Dirección General de Planeación y Desarrollo en Salud"/>
        <s v="Dirección General de Información en Salud"/>
        <s v="Dirección General de Evaluación del Desempeño"/>
        <s v="Administración del Patrimonio de la Beneficencia Pública"/>
        <s v="Centro Nacional de Equidad de Género y Salud Reproductiva"/>
        <s v="Centro Nacional de Excelencia Tecnológica en Salud"/>
        <s v="Comisión Nacional de Bioética"/>
        <s v="Fuerzas, Regiones, Zonas y Sectores Navales"/>
        <s v="Dirección General de Servicios"/>
        <s v="Dirección General de Administración y Finanzas"/>
        <s v="Dirección General de Investigación y Desarrollo"/>
        <s v="Dirección General de Construcciones Navales"/>
        <s v="Inspección y Contraloría General de Marina"/>
        <s v="Junta de Almirantes"/>
        <s v="Junta Naval"/>
        <s v="Estado Mayor General de la Armada"/>
        <s v="Unidad Jurídica"/>
        <s v="Subsecretaría"/>
        <s v="Junta Federal de Conciliación y Arbitraje"/>
        <s v="Procuraduría Federal de la Defensa del Trabajo"/>
        <s v="Delegación Federal del Trabajo en Aguascalientes"/>
        <s v="Delegación Federal del Trabajo en Baja California"/>
        <s v="Delegación Federal del Trabajo en Baja California Sur"/>
        <s v="Delegación Federal del Trabajo en Campeche"/>
        <s v="Delegación Federal del Trabajo en Coahuila"/>
        <s v="Delegación Federal del Trabajo en Colima"/>
        <s v="Delegación Federal del Trabajo en Chiapas"/>
        <s v="Delegación Federal del Trabajo en Chihuahua"/>
        <s v="Delegación Federal del Trabajo en Durango"/>
        <s v="Delegación Federal del Trabajo en Guanajuato"/>
        <s v="Delegación Federal del Trabajo en Guerrero"/>
        <s v="Delegación Federal del Trabajo en Hidalgo"/>
        <s v="Delegación Federal del Trabajo en Jalisco"/>
        <s v="Delegación Federal del Trabajo en México"/>
        <s v="Delegación Federal del Trabajo en Michoacán"/>
        <s v="Delegación Federal del Trabajo en Morelos"/>
        <s v="Delegación Federal del Trabajo en Nayarit"/>
        <s v="Delegación Federal del Trabajo en Nuevo León"/>
        <s v="Delegación Federal del Trabajo en Oaxaca"/>
        <s v="Delegación Federal del Trabajo en Puebla"/>
        <s v="Delegación Federal del Trabajo en Querétaro"/>
        <s v="Delegación Federal del Trabajo en Quintana Roo"/>
        <s v="Delegación Federal del Trabajo en San Luis Potosí"/>
        <s v="Delegación Federal del Trabajo en Sinaloa"/>
        <s v="Delegación Federal del Trabajo en Sonora"/>
        <s v="Delegación Federal del Trabajo en Tabasco"/>
        <s v="Delegación Federal del Trabajo en Tamaulipas"/>
        <s v="Delegación Federal del Trabajo en Tlaxcala"/>
        <s v="Delegación Federal del Trabajo en Veracruz"/>
        <s v="Delegación Federal del Trabajo en Yucatán"/>
        <s v="Delegación Federal del Trabajo en Zacatecas"/>
        <s v="Delegación Federal del Trabajo en el Distrito Federal"/>
        <s v="Dirección General de Capacitación"/>
        <s v="Dirección General para la Innovación Laboral"/>
        <s v="Dirección General para la Igualdad Laboral"/>
        <s v="Dirección General de Seguridad y Salud en el Trabajo"/>
        <s v="Comité Nacional Mixto de Protección al Salario"/>
        <s v="Unidad de Funcionarios Conciliadores"/>
        <s v="Coordinación General del Servicio Nacional de Empleo"/>
        <s v="Dirección General de Registro de Asociaciones"/>
        <s v="Unidad de Delegaciones Federales del Trabajo"/>
        <s v="Unidad de Asuntos Internacionales"/>
        <s v="Dirección General de Planeación, Evaluación y Política Sectorial"/>
        <s v="Subsecretaría del Trabajo"/>
        <s v="Dirección General de Inspección Federal del Trabajo"/>
        <s v="Subsecretaría de Empleo y Productividad Laboral"/>
        <s v="Dirección General de Productividad Laboral"/>
        <s v="Dirección General de Investigación y Estadísticas del Trabajo"/>
        <s v="Dirección General de Fomento de la Empleabilidad"/>
        <s v="Subsecretario de Inclusión Laboral"/>
        <s v="Comisión Nacional de los Salarios Mínimos"/>
        <s v="Procuraduría Agraria"/>
        <s v="Dirección General de Concertación Agraria"/>
        <s v="Dirección General de Ordenamiento y Regularización"/>
        <s v="Dirección General Técnica Operativa"/>
        <s v="Registro Agrario Nacional"/>
        <s v="Fideicomiso Fondo Nacional de Fomento Ejidal"/>
        <s v="Dirección General de Política y Planeación Agraria"/>
        <s v="Jefatura de Unidad de Asuntos Jurídicos"/>
        <s v="Dirección General de Coordinación de Delegaciones"/>
        <s v="Delegación Estatal en Aguascalientes"/>
        <s v="Delegación Estatal en Baja California"/>
        <s v="Delegación Estatal en Baja California Sur"/>
        <s v="Delegación Estatal en Campeche"/>
        <s v="Delegación Estatal en Coahuila"/>
        <s v="Delegación Estatal en Colima"/>
        <s v="Delegación Estatal en Chiapas"/>
        <s v="Delegación Estatal en Chihuahua"/>
        <s v="Delegación Estatal en el Distrito Federal"/>
        <s v="Delegación Estatal en Durango"/>
        <s v="Delegación Estatal en Guanajuato"/>
        <s v="Delegación Estatal en Guerrero"/>
        <s v="Delegación Estatal en Hidalgo"/>
        <s v="Delegación Estatal en Jalisco"/>
        <s v="Delegación Estatal en México"/>
        <s v="Delegación Estatal en Michoacán"/>
        <s v="Delegación Estatal en Morelos"/>
        <s v="Delegación Estatal en Nayarit"/>
        <s v="Delegación Estatal en Nuevo León"/>
        <s v="Delegación Estatal en Oaxaca"/>
        <s v="Delegación Estatal en Puebla"/>
        <s v="Delegación Estatal en Querétaro"/>
        <s v="Delegación Estatal en Quintana Roo"/>
        <s v="Delegación Estatal en San Luis Potosí"/>
        <s v="Delegación Estatal en Sinaloa"/>
        <s v="Delegación Estatal en Sonora"/>
        <s v="Delegación Estatal en Tabasco"/>
        <s v="Delegación Estatal en Tamaulipas"/>
        <s v="Delegación Estatal en Tlaxcala"/>
        <s v="Delegación Estatal en Veracruz"/>
        <s v="Delegación Estatal en Yucatán"/>
        <s v="Delegación Estatal en Zacatecas"/>
        <s v="Subsecretaría de Ordenamiento de la Propiedad Rural"/>
        <s v="Subsecretaría de Política Sectorial"/>
        <s v="Dirección General de Coordinación"/>
        <s v="Organismo de Cuenca Aguas del Valle de México"/>
        <s v="Dirección Local Guerrero"/>
        <s v="Centro de Educación y Capacitación para el Desarrollo Sustentable"/>
        <s v="Delegación Federal en Baja California"/>
        <s v="Delegación Federal en Campeche"/>
        <s v="Delegación Federal en Chiapas"/>
        <s v="Delegación Federal en Guanajuato"/>
        <s v="Delegación Federal en Guerrero"/>
        <s v="Delegación Federal en Hidalgo"/>
        <s v="Delegación Federal en Nayarit"/>
        <s v="Delegación Federal en Oaxaca"/>
        <s v="Delegación Federal en Querétaro"/>
        <s v="Delegación Federal en Veracruz"/>
        <s v="Comisión Nacional Forestal"/>
        <s v="Subdirección General de Administración"/>
        <s v="Subdirección General Técnica"/>
        <s v="Coordinación General de Atención de Emergencias y Consejos de Cuenca"/>
        <s v="Coordinación General de Atención Institucional, Comunicación y Cultura del Agua"/>
        <s v="Organismo de Cuenca Balsas"/>
        <s v="Organismo de Cuenca Frontera Sur"/>
        <s v="Organismo de Cuenca Golfo Centro"/>
        <s v="Organismo de Cuenca Golfo Norte"/>
        <s v="Organismo de Cuenca Lerma Santiago Pacífico"/>
        <s v="Organismo de Cuenca Pacífico Norte"/>
        <s v="Organismo de Cuenca Pacífico Sur"/>
        <s v="Organismo de Cuenca Península de Baja California"/>
        <s v="Organismo de Cuenca Península de Yucatán"/>
        <s v="Organismo de Cuenca Río Bravo"/>
        <s v="Dirección Local Aguascalientes"/>
        <s v="Dirección Local Baja California Sur"/>
        <s v="Dirección Local Campeche"/>
        <s v="Dirección Local Chihuahua"/>
        <s v="Dirección Local Coahuila"/>
        <s v="Dirección Local Colima"/>
        <s v="Dirección Local Durango"/>
        <s v="Dirección Local Hidalgo"/>
        <s v="Dirección Local Estado de México"/>
        <s v="Dirección Local Michoacán"/>
        <s v="Dirección Local Nayarit"/>
        <s v="Dirección Local Puebla"/>
        <s v="Dirección Local Querétaro"/>
        <s v="Dirección Local Quintana Roo"/>
        <s v="Dirección Local San Luis Potosí"/>
        <s v="Dirección Local Tabasco"/>
        <s v="Dirección Local Tlaxcala"/>
        <s v="Dirección Local Zacatecas"/>
        <s v="Coordinación General del Servicio Meteorológico Nacional"/>
        <s v="Subdirección General de Agua Potable, Drenaje y Saneamiento"/>
        <s v="Instituto Nacional de Ecología"/>
        <s v="Instituto Mexicano de Tecnología del Agua"/>
        <s v="Subdirección General de Administración del Agua"/>
        <s v="Organismo de Cuenca Cuencas Centrales del Norte"/>
        <s v="Organismo de Cuenca Noroeste"/>
        <s v="Dirección Local Guanajuato"/>
        <s v="Delegación Federal en Aguascalientes"/>
        <s v="Delegación Federal en Baja California Sur"/>
        <s v="Delegación Federal en Coahuila"/>
        <s v="Delegación Federal en Colima"/>
        <s v="Delegación Federal en Chihuahua"/>
        <s v="Delegación Federal en Durango"/>
        <s v="Delegación Federal en Jalisco"/>
        <s v="Delegación Federal en México"/>
        <s v="Delegación Federal en Michoacán"/>
        <s v="Delegación Federal en Morelos"/>
        <s v="Delegación Federal en Nuevo León"/>
        <s v="Delegación Federal en Puebla"/>
        <s v="Delegación Federal en Quintana Roo"/>
        <s v="Delegación Federal en San Luis Potosí"/>
        <s v="Delegación Federal en Sinaloa"/>
        <s v="Delegación Federal en Sonora"/>
        <s v="Delegación Federal en Tabasco"/>
        <s v="Delegación Federal en Tamaulipas"/>
        <s v="Delegación Federal en Tlaxcala"/>
        <s v="Delegación Federal en Yucatán"/>
        <s v="Delegación Federal en Zacatecas"/>
        <s v="Dirección General de Política Ambiental e Integración Regional y Sectorial"/>
        <s v="Subsecretaría de Gestión para la Protección Ambiental"/>
        <s v="Dirección General de Gestión Integral de Materiales y Actividades Riesgosas"/>
        <s v="Dirección General de Impacto y Riesgo Ambiental"/>
        <s v="Dirección General de Gestión Forestal y de Suelos"/>
        <s v="Dirección General de Vida Silvestre"/>
        <s v="Dirección General de Zona Federal Marítimo Terrestre y Ambientes Costeros"/>
        <s v="Dirección General de Gestión de la Calidad del Aire y Registro de Emisiones y Transferencia de Contaminantes"/>
        <s v="Procuraduría Federal de Protección al Ambiente"/>
        <s v="Subdirección General de Infraestructura Hidroagrícola"/>
        <s v="Subdirección General de Programación"/>
        <s v="Subdirección General Jurídica"/>
        <s v="Comisión Nacional de Áreas Naturales Protegidas"/>
        <s v="Coordinación General de Revisión y Liquidación Fiscal"/>
        <s v="Dirección General de Recursos Materiales, Inmuebles y Servicios"/>
        <s v="Dirección General de Desarrollo Humano y Organización"/>
        <s v="Dirección General de Informática y Telecomunicaciones"/>
        <s v="Dirección General"/>
        <s v="Unidad Coordinadora de Asuntos Internacionales"/>
        <s v="Unidad Coordinadora de Participación Social y Transparencia"/>
        <s v="Subsecretaría de Planeación y Política Ambiental"/>
        <s v="Dirección General de Planeación y Evaluación"/>
        <s v="Dirección General de Estadística e Información Ambiental"/>
        <s v="Subsecretaría de Fomento y Normatividad Ambiental"/>
        <s v="Dirección General de Industria"/>
        <s v="Dirección General del Sector Primario y Recursos Naturales Renovables"/>
        <s v="Dirección General de Fomento Ambiental, Urbano y Turístico"/>
        <s v="Dirección General de Energía y Actividades Extractivas"/>
        <s v="Procuraduría General de la República"/>
        <s v="Dirección General de Coordinación de Servicios Periciales"/>
        <s v="Agencia Federal de Investigación"/>
        <s v="Subprocuraduría de Control Regional, Procedimientos Penales y Amparo"/>
        <s v="Dirección General de Control de Averiguaciones Previas"/>
        <s v="Dirección General de Control de Procesos Penales Federales"/>
        <s v="Dirección General de Amparo"/>
        <s v="Dirección General de Políticas Públicas y Coordinación Interinstitucional"/>
        <s v="Dirección General de Control y Registro de Aseguramientos Ministeriales"/>
        <s v="Centro Nacional de Planeación, Análisis e Información para el Combate a la Delincuencia"/>
        <s v="Unidad de Operaciones"/>
        <s v="Subprocuraduría de Investigación Especializada en Delincuencia Organizada"/>
        <s v="Unidad Especializada en Investigación de Terrorismo, Acopio y Tráfico de Armas"/>
        <s v="Unidad Especializada en Investigación de Delitos contra la Salud"/>
        <s v="Unidad Especializada en Investigación de Operaciones con Recursos de Procedencia Ilícita y de Falsificación o Alteración de Moneda"/>
        <s v="Unidad Especializada en Investigación de Secuestros"/>
        <s v="Unidad Especializada en Investigación de Tráfico de Menores, Indocumentados y Organos"/>
        <s v="Unidad Especializada en Investigación de Asalto y Robo de Vehículos"/>
        <s v="Dirección General de Servicios Aéreos"/>
        <s v="Centro de Evaluación y Desarrollo Humano"/>
        <s v="Subprocuraduría de Investigación Especializada en Delitos Federales"/>
        <s v="Unidad Especializada en Investigación de Delitos contra los Derechos de Autor y la Propiedad Industrial"/>
        <s v="Unidad Especializada en Investigación de Delitos Fiscales y Financieros"/>
        <s v="Unidad Especializada en Investigación de Delitos contra el Ambiente y Previstos en Leyes Especiales"/>
        <s v="Unidad Especializada en Investigación de Delitos Cometidos por Servidores Públicos y contra la Administración de Justicia"/>
        <s v="Subprocuraduría Jurídica y de Asuntos Internacionales"/>
        <s v="Dirección General de Constitucionalidad"/>
        <s v="Dirección General de Normatividad"/>
        <s v="Dirección General de Extradiciones y Asistencia Jurídica"/>
        <s v="Dirección General de Cooperación Internacional"/>
        <s v="Coordinación de Asuntos Internacionales y Agregadurías"/>
        <s v="Agregadurías"/>
        <s v="Subprocuraduría de Derechos Humanos, Atención a Víctimas y Servicios a la Comunidad"/>
        <s v="Dirección General de Promoción de la Cultura en Derechos Humanos, Atención a Quejas e Inspección"/>
        <s v="Dirección General de Atención a Recomendaciones y Amigables Conciliaciones en Derechos Humanos"/>
        <s v="Dirección General de Atención a Víctimas del Delito"/>
        <s v="Dirección General de Prevención del Delito y Servicios a la Comunidad"/>
        <s v="Instituto Nacional de Ciencias Penales"/>
        <s v="Fiscalía Especializada para la Atención de Delitos Electorales"/>
        <s v="Visitaduría General"/>
        <s v="Dirección General de Visitaduría"/>
        <s v="Dirección General de Inspección Interna"/>
        <s v="Dirección General de Supervisión e Inspección Interna para la Agencia Federal de Investigación"/>
        <s v="Dirección General de Delitos Cometidos por Servidores Públicos de la Institución"/>
        <s v="Coordinación de Planeación, Desarrollo e Innovación Institucional"/>
        <s v="Dirección General de Planeación e Innovación Institucional"/>
        <s v="Dirección General de Formación Profesional"/>
        <s v="Dirección General del Servicio de Carrera de Procuración de Justicia Federal"/>
        <s v="Dirección General de Tecnologías de Información y Comunicaciones"/>
        <s v="Instituto de Capacitación y Profesionalización en Procuración de Justicia Federal"/>
        <s v="Dirección General de Seguridad Institucional"/>
        <s v="Instituto Nacional de Investigaciones Nucleares"/>
        <s v="Instituto Mexicano del Petróleo"/>
        <s v="Instituto de Investigaciones Eléctricas"/>
        <s v="Comisión Nacional para el Uso Eficiente de la Energía"/>
        <s v="Luz y Fuerza del Centro"/>
        <s v="Dirección General de Gas L.P."/>
        <s v="Comisión Reguladora de Energía"/>
        <s v="Comisión Nacional de Seguridad Nuclear y Salvaguardias"/>
        <s v="Comisión Nacional de Hidrocarburos"/>
        <s v="Dirección General de Recursos Humanos, Innovación y Servicios"/>
        <s v="Dirección General de Asuntos Internacionales"/>
        <s v="Unidad de Comunicación Social"/>
        <s v="Subsecretaría de Planeación Energética y Desarrollo Tecnológico"/>
        <s v="Dirección General de Planeación Energética"/>
        <s v="Dirección General de Investigación, Desarrollo Tecnológico y Medio Ambiente"/>
        <s v="Subsecretaría de Electricidad"/>
        <s v="Dirección General de Generación, Conducción y Transformación de Energía Eléctrica"/>
        <s v="Dirección General de Distribución y Abastecimiento de Energía Eléctrica, y Recursos Nucleares"/>
        <s v="Subsecretaría de Hidrocarburos"/>
        <s v="Dirección General de Desarrollo Industrial de Hidrocarburos"/>
        <s v="Dirección General de Exploración y Explotación de Hidrocarburos"/>
        <s v="Delegación SEDESOL en Aguascalientes"/>
        <s v="Liconsa, S.A. de C.V."/>
        <s v="Instituto Nacional de las Personas Adultas Mayores"/>
        <s v="Instituto Nacional de Desarrollo Social"/>
        <s v="Dirección General de Organización"/>
        <s v="Coordinación Nacional del Programa de Desarrollo Humano Oportunidades"/>
        <s v="Consejo Nacional de Evaluación de la Política de Desarrollo Social"/>
        <s v="Fondo Nacional para el Fomento de las Artesanías"/>
        <s v="Subsecretaría de Desarrollo Urbano y Ordenación del Territorio"/>
        <s v="Dirección General de Equipamiento e Infraestructura en Zonas Urbano-Marginadas"/>
        <s v="Dirección General de Desarrollo Urbano y Suelo"/>
        <s v="Unidad de Programas de Atención de la Pobreza Urbana"/>
        <s v="Dirección General de Desarrollo Territorial"/>
        <s v="Unidad de Desarrollo Regional"/>
        <s v="Unidad de Coordinación de Delegaciones"/>
        <s v="Dirección General de Vinculación Interinstitucional"/>
        <s v="Delegación SEDESOL en Baja California"/>
        <s v="Delegación SEDESOL en Baja California Sur"/>
        <s v="Delegación SEDESOL en Campeche"/>
        <s v="Delegación SEDESOL en Coahuila"/>
        <s v="Delegación SEDESOL en Colima"/>
        <s v="Delegación SEDESOL en Chiapas"/>
        <s v="Delegación SEDESOL en Chihuahua"/>
        <s v="Delegación SEDESOL en el Distrito Federal"/>
        <s v="Delegación SEDESOL en Durango"/>
        <s v="Delegación SEDESOL en Guanajuato"/>
        <s v="Delegación SEDESOL en Guerrero"/>
        <s v="Delegación SEDESOL en Hidalgo"/>
        <s v="Delegación SEDESOL en Jalisco"/>
        <s v="Delegación SEDESOL en México"/>
        <s v="Delegación SEDESOL en Michoacán"/>
        <s v="Delegación SEDESOL en Morelos"/>
        <s v="Delegación SEDESOL en Nayarit"/>
        <s v="Delegación SEDESOL en Nuevo León"/>
        <s v="Delegación SEDESOL en Oaxaca"/>
        <s v="Delegación SEDESOL en Puebla"/>
        <s v="Delegación SEDESOL en Querétaro"/>
        <s v="Delegación SEDESOL en Quintana Roo"/>
        <s v="Delegación SEDESOL en San Luis Potosí"/>
        <s v="Delegación SEDESOL en Sinaloa"/>
        <s v="Delegación SEDESOL en Sonora"/>
        <s v="Delegación SEDESOL en Tabasco"/>
        <s v="Delegación SEDESOL en Tamaulipas"/>
        <s v="Delegación SEDESOL en Tlaxcala"/>
        <s v="Delegación SEDESOL en Veracruz"/>
        <s v="Delegación SEDESOL en Yucatán"/>
        <s v="Delegación SEDESOL en Zacatecas"/>
        <s v="Subsecretaría de Desarrollo Social y Humano"/>
        <s v="Dirección General de Opciones Productivas"/>
        <s v="Dirección General de Políticas Sociales"/>
        <s v="Unidad de Microrregiones"/>
        <s v="Dirección General de Atención a Grupos Prioritarios"/>
        <s v="Dirección General de Seguimiento"/>
        <s v="Unidad del Abogado General y Comisionado para la Transparencia"/>
        <s v="Dirección General de Normatividad y Asuntos Contenciosos"/>
        <s v="Subsecretaría de Prospectiva, Planeación y Evaluación"/>
        <s v="Dirección General de Evaluación y Monitoreo de los Programas Sociales"/>
        <s v="Dirección General de Análisis y Prospectiva"/>
        <s v="Dirección General de Geoestadística y Padrones de Beneficiarios"/>
        <s v="Unidad de Planeación y Relaciones Internacionales"/>
        <s v="Diconsa, S.A. de C.V."/>
        <s v="Fideicomiso Fondo Nacional de Habitaciones Populares"/>
        <s v="Corporación Ángeles Verdes"/>
        <s v="FONATUR Mantenimiento Turístico, S.A. de C.V."/>
        <s v="Consejo de Promoción Turística de México, S.A. de C.V."/>
        <s v="Fondo Nacional de Fomento al Turismo"/>
        <s v="Dirección General de Programas Regionales"/>
        <s v="Dirección General de Desarrollo de Productos Turísticos"/>
        <s v="Dirección General de Mejora Regulatoria"/>
        <s v="Subsecretaría de Innovación y Calidad (Oficialía Mayor)"/>
        <s v="Contraloría Interna"/>
        <s v="Dirección General de Desarrollo Institucional y Coordinación Sectorial"/>
        <s v="Centro de Estudios Superiores de Turismo"/>
        <s v="Subsecretaría de Operación Turística"/>
        <s v="Subsecretaría de Planeación Turística"/>
        <s v="Dirección General de Información y Análisis"/>
        <s v="Dirección General de Planeación Estratégica y Política Sectorial"/>
        <s v="Dirección General de Desarrollo de la Cultura Turística"/>
        <s v="Coordinación General de Órganos de Vigilancia y Control"/>
        <s v="Subsecretaría de Control y Auditoría de la Gestión Pública"/>
        <s v="Unidad de Control y Auditoría a Obra Pública"/>
        <s v="Unidad de Control de la Gestión Pública"/>
        <s v="Unidad de Auditoría Gubernamental"/>
        <s v="Unidad de Operación Regional y Contraloría Social"/>
        <s v="Dirección General de Auditorías Externas"/>
        <s v="Unidad de Política de Recursos Humanos de la Administración Pública Federal"/>
        <s v="Unidad de Política de Contrataciones Públicas"/>
        <s v="Unidad de Normatividad de Contrataciones Públicas"/>
        <s v="Unidad de Atención Ciudadana"/>
        <s v="Subsecretaría de la Función Pública"/>
        <s v="Unidad de Gobierno Digital"/>
        <s v="Unidad de Políticas de Mejora de la Gestión Pública"/>
        <s v="Unidad de Evaluación de la Gestión y el Desempeño Gubernamental"/>
        <s v="Dirección General de Tecnologías de Información"/>
        <s v="Dirección General de Modernización Administrativa y Procesos"/>
        <s v="Instituto Nacional de Administración Pública, A.C."/>
        <s v="Dirección General de Información e Integración"/>
        <s v="Subsecretaría de Atención Ciudadana y Normatividad"/>
        <s v="Dirección General de Responsabilidades y Situación Patrimonial"/>
        <s v="Dirección General de Controversias y Sanciones en Contrataciones Públicas"/>
        <s v="Instituto de Administración y Avalúos de Bienes Nacionales"/>
        <s v="Unidad de Políticas de Transparencia y Cooperación Internacional"/>
        <s v="Tribunales Unitarios Agrarios"/>
        <s v="Tribunal Superior Agrario"/>
        <s v="Tribunal Federal de Justicia Fiscal y Administrativa con sede en el Distrito Federal"/>
        <s v="Sala Regional del Noroeste II, con sede en Ciudad Obregón, Son."/>
        <s v="Primera Sala Regional del Norte Centro II, con sede en Torreón, Coah."/>
        <s v="Primera Sala Regional del Noreste, con sede en Garza García, N. L."/>
        <s v="Primera Sala Regional de Occidente, con sede en Guadalajara, Jal."/>
        <s v="Sala Regional del Centro III, con sede en Celaya, Gto."/>
        <s v="Primera Sala Regional de Oriente, con sede en Puebla, Pue."/>
        <s v="Primera Sala Regional del Sureste, con sede en Oaxaca, Oax."/>
        <s v="Primera Sala Regional Peninsular, con sede en Mérida, Yuc."/>
        <s v="Sala Regional del Pacífico, con sede en Acapulco, Gro."/>
        <s v="Primera Sala Regional Hidalgo-México, con sede en Tlalnepantla, Méx."/>
        <s v="Sala Regional del Pacífico-Centro, con sede en la ciudad de Morelia, Estado de Michoacán"/>
        <s v="Segunda Sala Regional Hidalgo-México, con sede en Tlalnepantla, Mex."/>
        <s v="Sala Regional del Centro II, con sede en Querétaro, Qro."/>
        <s v="Segunda Sala Regional del Noreste, con sede en Monterrey, N. L."/>
        <s v="Sala Regional del Noroeste I, con sede en Tijuana, B. C."/>
        <s v="Segunda Sala Regional de Occidente, con sede en Guadalajara, Jal."/>
        <s v="Sala Regional del Norte Centro I, con sede en Chihuahua, Chih."/>
        <s v="Segunda Sala Regional de Oriente, con sede en Puebla, Pue."/>
        <s v="Segunda Sala Regional del Golfo, con sede en la ciudad de Jalapa, Estado de Veracruz"/>
        <s v="Segunda Sala Regional del Noroeste I, con sede en la ciudad de Tijuana, Estado de Baja California"/>
        <s v="Sala Regional del Golfo, con sede en Jalapa, Ver."/>
        <s v="Sala Regional del Centro I, con sede en Aguascalientes, Ags."/>
        <s v="Sala Regional del Noroeste III, con sede en Culiacán, Sin."/>
        <s v="Segunda Sala Regional del Norte Centro II, con sede en Torreón, Coah."/>
        <s v="Tercera Sala Regional Hidalgo-México, con sede en Tlalnepantla, Mex."/>
        <s v="Sala Regional del Golfo Norte, con sede en Ciudad Victoria, Tamps."/>
        <s v="Sala Regional Chiapas-Tabasco, con sede en Tuxtla Gutiérrez, Chiapas"/>
        <s v="Sala Regional del Caribe, con sede en Cancún, Quintana Roo"/>
        <s v="Tercera Sala Regional del Norte-Centro II, con sede en la ciudad de Torreón, Estado de Coahuila"/>
        <s v="Tercera Sala Regional del Occidente, con sede en la ciudad de Guadalajara, Estado de Jalisco"/>
        <s v="Tercera Sala Regional del Oriente, con sede en la ciudad de Puebla, Estado de Puebla"/>
        <s v="Coordinación General de Asuntos Jurídicos"/>
        <s v="Unidad de Información y Análisis"/>
        <s v="Dirección General de Análisis Estadístico y Prospectiva"/>
        <s v="Dirección General de Transparencia y Mejora Regulatoria"/>
        <s v="Dirección General de Procedimientos Constitucionales"/>
        <s v="Dirección General de lo Consultivo"/>
        <s v="Dirección General de lo Contencioso"/>
        <s v="Subsecretaría de Planeación y Protección Institucional"/>
        <s v="Dirección General de Coordinación y Desarrollo de Policías Estatales y Municipales"/>
        <s v="Dirección General de Seguridad Privada"/>
        <s v="Dirección General de Sistemas Administrativos"/>
        <s v="Subsecretaría de Tecnologías de la Información"/>
        <s v="Dirección General de Profesionalización y Normatividad de Carrera Policial"/>
        <s v="Dirección General de Gestión de Servicios de Tecnologías de Información"/>
        <s v="Dirección General de Desarrollo Tecnológico"/>
        <s v="Servicio de Protección Federal"/>
        <s v="Subsecretaría de Prevención y Participación Ciudadana"/>
        <s v="Dirección General de Vinculación y Participación Ciudadana"/>
        <s v="Dirección General de Prevención del Delito y Participación Ciudadana"/>
        <s v="Centro de Investigación y Estudios en Seguridad"/>
        <s v="Policía Federal"/>
        <s v="Subsecretaría del Sistema Penitenciario Federal"/>
        <s v="Dirección General de Política Penitenciaria"/>
        <s v="Dirección General de Desarrollo Penitenciario"/>
        <s v="Prevención y Readaptación Social"/>
        <s v="Consejo de Menores"/>
        <s v="Dirección General de Obras Públicas y Servicios"/>
        <s v="Unidad de Administración e Infraestructura"/>
        <s v="Coordinación General de la Plataforma México"/>
        <s v="Dirección General de Administración y de Finanzas"/>
        <s v="Consejería Jurídica del Ejecutivo Federal"/>
        <s v="Consejería Adjunta de Consulta y Estudios Constitucionales"/>
        <s v="Consejería Adjunta de Legislación y Estudios Normativos"/>
        <s v="Consejería Adjunta de Control Constitucional y de lo Contencioso"/>
        <s v="Centro de Investigación en Geografía y Geomática, &quot;Ing. Jorge L. Tamayo&quot;, A.C."/>
        <s v="Centro de Investigación en Matemáticas, A.C."/>
        <s v="Centro de Investigación en Materiales Avanzados, S.C."/>
        <s v="Centro de Investigación y Asistencia en Tecnología y Diseño del Estado de Jalisco, A.C."/>
        <s v="Centro de Investigación y Docencia Económicas, A.C."/>
        <s v="Centro de Investigaciones Biológicas del Noroeste, S.C."/>
        <s v="Centro de Investigación Científica de Yucatán, A.C."/>
        <s v="Centro de Investigaciones en Optica, A.C."/>
        <s v="Centro de Investigaciones y Estudios Superiores en Antropología Social"/>
        <s v="El Colegio de la Frontera Norte, A.C."/>
        <s v="El Colegio de la Frontera Sur"/>
        <s v="El Colegio de Michoacán, A.C."/>
        <s v="El Colegio de San Luis, A.C."/>
        <s v="Instituto de Ecología, A.C."/>
        <s v="Instituto de Investigaciones &quot;Dr. José María Luis Mora&quot;"/>
        <s v="Instituto Nacional de Astrofísica, Optica y Electrónica"/>
        <s v="Instituto Potosino de Investigación Científica y Tecnológica, A.C."/>
        <s v="Centro de Investigación Científica y de Educación Superior de Ensenada, B.C."/>
        <s v="Centro de Investigación en Alimentación y Desarrollo, A.C."/>
        <s v="CIATEC, A.C. &quot;Centro de Innovación Aplicada en Tecnologías Competitivas&quot;"/>
        <s v="Centro de Investigación y Desarrollo Tecnológico en Electroquímica, S.C."/>
        <s v="Centro de Investigación en Química Aplicada"/>
        <s v="CIATEQ, A.C. Centro de Tecnología Avanzada"/>
        <s v="Centro de Ingeniería y Desarrollo Industrial"/>
        <s v="Consejo Nacional de Ciencia y Tecnología"/>
        <s v="Fondo para el Desarrollo de Recursos Humanos"/>
        <s v="Instituto de Seguridad y Servicios Sociales de los Trabajadores del Estado"/>
        <s v="Instituto Mexicano del Seguro Social"/>
        <s v="Instituto de Seguridad Social para las Fuerzas Armadas Mexicanas"/>
        <s v="Administración Federal de Servicios Educativos en el Distrito Federal"/>
        <s v="Comisión Federal de Electricidad"/>
        <s v="Petroleos Mexicanos"/>
      </sharedItems>
    </cacheField>
    <cacheField name="GF" numFmtId="0">
      <sharedItems containsString="0" containsBlank="1" containsNumber="1" containsInteger="1" minValue="1" maxValue="4"/>
    </cacheField>
    <cacheField name="Grupo Funcional" numFmtId="0">
      <sharedItems containsBlank="1"/>
    </cacheField>
    <cacheField name="F" numFmtId="0">
      <sharedItems containsString="0" containsBlank="1" containsNumber="1" containsInteger="1" minValue="0" maxValue="9"/>
    </cacheField>
    <cacheField name="Función" numFmtId="0">
      <sharedItems containsBlank="1"/>
    </cacheField>
    <cacheField name="SF" numFmtId="0">
      <sharedItems containsString="0" containsBlank="1" containsNumber="1" containsInteger="1" minValue="1" maxValue="9"/>
    </cacheField>
    <cacheField name="Sub función" numFmtId="0">
      <sharedItems containsBlank="1" count="87">
        <s v="Legislación"/>
        <s v="Impartición de Justicia"/>
        <s v="Organización de Procesos Electorales"/>
        <s v="Protección y Promoción de los Derechos Humanos"/>
        <s v="Servicios Estadísticos"/>
        <s v="Presidencia"/>
        <s v="Función Pública"/>
        <s v="Inteligencia para la preservación de la Seguridad Nacional"/>
        <s v="Política Interior"/>
        <s v="Política de Comunicación y Medios"/>
        <s v="Población"/>
        <s v="Sistema Nacional de Seguridad Pública"/>
        <s v="Protección Civil"/>
        <s v="Relaciones Exteriores"/>
        <s v="Otros"/>
        <s v="Tesorería"/>
        <s v="Acceso a la Información Pública Gubernamental"/>
        <s v="Servicios Financieros"/>
        <s v="Ingresos"/>
        <s v="Banca de Desarrollo"/>
        <s v="Fondos de Fomento"/>
        <s v="Indígenas"/>
        <s v="Asuntos Hacendarios"/>
        <s v="Vivienda"/>
        <s v="Gasto"/>
        <s v="Aseguradoras"/>
        <s v="Defensa"/>
        <s v="Procuración de Justicia"/>
        <s v="Educación Media Superior"/>
        <s v="Educación Superior"/>
        <s v="Prestación de Servicios de Salud a la Persona"/>
        <s v="Educación Básica"/>
        <s v="Posgrado"/>
        <s v="Investigación Científica"/>
        <s v="Apoyos a la Comercialización"/>
        <s v="Apoyos a la Producción"/>
        <s v="Acuacultura y Pesca"/>
        <s v="Carreteras"/>
        <s v="Puertos"/>
        <s v="Aeropuertos"/>
        <s v="Ferrocarriles"/>
        <s v="Comunicaciones"/>
        <s v="Desarrollo Tecnológico"/>
        <s v="Competitividad"/>
        <s v="Micro, Pequeñas y Medianas Empresas"/>
        <s v="Comercio Exterior"/>
        <s v="Servicios Científicos y Tecnológicos"/>
        <s v="Otros Servicios Educativos y Actividades Inherentes"/>
        <s v="Educación para Adultos"/>
        <s v="Cultura"/>
        <s v="Deporte"/>
        <s v="Apoyo en Servicios Educativos Concurrentes"/>
        <m/>
        <s v="Generación de Recursos para la Salud"/>
        <s v="Otros Grupos Vulnerables"/>
        <s v="Protección Social en Salud"/>
        <s v="Prestación de Servicios de Salud a la Comunidad"/>
        <s v="Rectoría del Sistema de Salud"/>
        <s v="Marina"/>
        <s v="Capacitación Laboral"/>
        <s v="Promoción del Empleo"/>
        <s v="Asuntos Agrarios"/>
        <s v="Suministro de Agua Potable, Drenaje y Alcantarillado"/>
        <s v="Protección y Conservación del Medio Ambiente y los Recursos Naturales"/>
        <s v="Forestal"/>
        <s v="Administración del Agua"/>
        <s v="Hidroagrícola"/>
        <s v="Electricidad"/>
        <s v="Hidrocarburos"/>
        <s v="Urbanización"/>
        <s v="Desarrollo Regional"/>
        <s v="Turismo"/>
        <s v="Patrimonio Nacional"/>
        <s v="Policía"/>
        <s v="Prisiones"/>
        <s v="Asuntos Jurídicos"/>
        <s v="Fomento del Desarrollo Científico y Tecnológico"/>
        <s v="Fomento y Regulación del Desarrollo Científico y Tecnológico"/>
        <s v="Edad Avanzada"/>
        <s v="Otras de Asistencia Social"/>
        <s v="Deuda Pública Interna"/>
        <s v="Deuda Pública Externa"/>
        <s v="Participaciones a Entidades Federativas"/>
        <s v="Adeudos de Ejercicios Fiscales Anteriores"/>
        <s v="Apoyos IPAB"/>
        <s v="Apoyar los Programas de Reestructura en Unidades de Inversión (UDIS)"/>
        <s v="Incapacidad"/>
      </sharedItems>
    </cacheField>
    <cacheField name="AI" numFmtId="0">
      <sharedItems containsString="0" containsBlank="1" containsNumber="1" containsInteger="1" minValue="1" maxValue="234" count="36">
        <n v="4"/>
        <n v="3"/>
        <n v="1"/>
        <n v="2"/>
        <n v="5"/>
        <n v="9"/>
        <n v="10"/>
        <n v="11"/>
        <n v="16"/>
        <n v="8"/>
        <n v="13"/>
        <n v="6"/>
        <n v="18"/>
        <n v="15"/>
        <n v="14"/>
        <n v="7"/>
        <n v="12"/>
        <n v="17"/>
        <n v="21"/>
        <n v="20"/>
        <n v="19"/>
        <m/>
        <n v="22"/>
        <n v="24"/>
        <n v="23"/>
        <n v="25"/>
        <n v="204"/>
        <n v="226"/>
        <n v="227"/>
        <n v="228"/>
        <n v="230"/>
        <n v="231"/>
        <n v="233"/>
        <n v="234"/>
        <n v="232"/>
        <n v="229"/>
      </sharedItems>
    </cacheField>
    <cacheField name="Actividad Institucional" numFmtId="0">
      <sharedItems containsBlank="1" count="252">
        <s v="Llevar a cabo el proceso Legislativo"/>
        <s v="Fiscalización de la Cuenta de la Hacienda Pública Federal"/>
        <s v="Impartir justicia en el ámbito de su competencia"/>
        <s v="Resolver impugnaciones en procesos electorales"/>
        <s v="Democracia preservada y fortalecida mediante la organización de elecciones federales, el fomento de la participación ciudadana y la promoción del desarrollo del sistema de partidos"/>
        <s v="Prerrogativas garantizadas y oportunas para los partidos políticos"/>
        <s v="Proteger los Derechos Humanos Eficaz y Eficientemente"/>
        <s v="Promover y Divulgar la Cultura de los Derechos Humanos Eficiente y Ampliamente"/>
        <s v="Administración de Recursos Eficiente y Transparente"/>
        <s v="Control y Evaluación Eficaz de la Gestión Institucional"/>
        <s v="Servicios de Apoyo a la Función Sustantiva Eficientes y Oportunos"/>
        <s v="Sistema Nacional de Información Estadística y Geográfica"/>
        <s v="Servicios de apoyo administrativo"/>
        <s v="Función pública y buen gobierno"/>
        <s v="Integración y Coordinación de las instituciones de Seguridad Nacional"/>
        <s v="Asesoría, coordinación, difusión y apoyo de las actividades del Presidente de la República"/>
        <s v="Inteligencia para la Seguridad Nacional"/>
        <s v="Acervo Documental de la Nación"/>
        <s v="Comunicación Social del Gobierno Federal"/>
        <s v="Atención a refugiados"/>
        <s v="Servicio de Migración"/>
        <s v="Justicia laboral para los trabajadores al servicio del Estado"/>
        <s v="Derechos Humanos y Prevención de la Discriminación"/>
        <s v="Sistema de Identificación Personal"/>
        <s v="Coordinación del Sistema Nacional de Seguridad Pública"/>
        <s v="Sistema Nacional de Protección Civil"/>
        <s v="Política interior y las relaciones del Ejecutivo Federal con el Congreso de la Unión, Entidades Federativas y Asociaciones Políticas y Sociales"/>
        <s v="Relación del Estado con las asociaciones religiosas"/>
        <s v="Desarrollo político y cívico social del país"/>
        <s v="Planeación Demográfica"/>
        <s v="Apoyo jurídico a la Secretaría de Gobernación"/>
        <s v="Protección, asistencia y servicios eficientes y suficientes para los mexicanos en el exterior o que viajan al exterior"/>
        <s v="Asistencia jurídica para la defensa eficiente de México y de sus nacionales"/>
        <s v="Delimitación y supervisión eficiente de la integridad territorial de México"/>
        <s v="Servicio Exterior Mexicano capacitado y actualizado"/>
        <s v="Vínculos políticos con el exterior que benefician los intereses nacionales"/>
        <s v="Vínculos económicos y de cooperación para el desarrollo que apoya la política exterior"/>
        <s v="Participación activa en los foros multilaterales que logra decisiones que favorecen los intereses nacionales"/>
        <s v="Transmisión de costumbres, valores e identidad mexicana que apoya la política exterior"/>
        <s v="Impresos y publicaciones oficiales seguros y confiables"/>
        <s v="Servicios de tesorería eficientes y transparentes"/>
        <s v="Impulso a la diversificación de los servicios informativos"/>
        <s v="Acceso a la Información Pública Gubernamental y Protección de Datos Personales en Posesión de los Particulares"/>
        <s v="Preservación y difusión del acervo patrimonial y documental a cargo de la SHCP"/>
        <s v="Sistema financiero competitivo, eficiente y con mayor cobertura"/>
        <s v="Política de ingresos equitativa y promotora de la competitividad"/>
        <s v="Financiamiento y fomento al sector rural"/>
        <s v="Ahorro y crédito popular"/>
        <s v="Promoción y Coordinación de las políticas publicas para el desarrollo de los pueblos y comunidades indígenas"/>
        <s v="Administración y enajenación de activos referidos en la Ley Federal para la Administración y Enajenación de Bienes del Sector Público"/>
        <s v="Hacienda pública responsable, eficiente y equitativa"/>
        <s v="Gasto público transparente y orientado a resultados"/>
        <s v="Actuaciones de la SHCP apegadas a certeza jurídica y legalidad"/>
        <s v="Conducción de la política nacional de vivienda"/>
        <s v="Mujeres en el Ejercicio de sus Derechos Humanos"/>
        <s v="Fomento y Desarrollo del Seguro Agropecuario"/>
        <s v="Equipo e infraestructura militares de calidad"/>
        <s v="Defensa de la integridad, la independencia, la soberanía del territorio nacional y la seguridad interior"/>
        <s v="Educación militar"/>
        <s v="Servicios de salud al personal militar"/>
        <s v="Becas para hijos de militares"/>
        <s v="Formación recursos humanos para el sector (educación media superior)"/>
        <s v="Formación recursos humanos para el sector (educación superior)"/>
        <s v="Educación agropecuaria de posgrado"/>
        <s v="Tecnificación e innovación de las actividades del sector"/>
        <s v="Elevar el ingreso de los productores y el empleo rural"/>
        <s v="Impulso a la Reconversión Productiva en Materia Agrícola, Pecuaria y Pesquera"/>
        <s v="Acuacultura y Pesca"/>
        <s v="Carreteras eficientes, seguras y suficientes"/>
        <s v="Puertos eficientes y competitivos"/>
        <s v="Aeropuertos eficientes y competitivos"/>
        <s v="Ferrocarriles eficientes y competitivos"/>
        <s v="Telecomunicaciones eficientes y competitivas"/>
        <s v="Desarrollo tecnológico en materia de transporte"/>
        <s v="Regulación eficiente de las comunicaciones y los transportes"/>
        <s v="Carreteras Alimentadoras y Caminos Rurales eficientes, seguras y suficientes"/>
        <s v="Equidad en las relaciones de consumo"/>
        <s v="Normalización y metrología"/>
        <s v="Información geológica"/>
        <s v="Micro, Pequeñas y Medianas Empresas productivas y competitivas"/>
        <s v="Libre Comercio con el exterior e inversión extranjera"/>
        <s v="Seguridad técnica y jurídica mercantil"/>
        <s v="Libre competencia económica"/>
        <s v="Comercio internacional y facilitación comercial"/>
        <s v="Sectores económicos competitivos"/>
        <s v="Política de desarrollo empresarial y competitividad"/>
        <s v="Mejora regulatoria"/>
        <s v="Educación básica de calidad"/>
        <s v="Diseño y aplicación de la política educativa"/>
        <s v="Investigación en diversas instituciones de educación superior"/>
        <s v="Complemento a los Servicios Educativos"/>
        <s v="Educación para adultos de calidad"/>
        <s v="Gestión integral de servicios"/>
        <s v="Educación media superior de calidad"/>
        <s v="Educación superior de calidad"/>
        <s v="Educación de Postgrado de calidad"/>
        <s v="Fomento y promoción de la cultura"/>
        <s v="Deporte"/>
        <s v="Juventud"/>
        <m/>
        <s v="Formación y capacitación de recursos humanos acordes a las necesidades y demandas de atención a la salud"/>
        <s v="Asistencia social, comunitaria y beneficencia pública justa y equitativa (asistencia pública)"/>
        <s v="Infraestructura suficiente, equipamiento óptimo e insumos seguros para la salud"/>
        <s v="Reforma financiera consolidada con acceso universal a los servicios de salud a la persona"/>
        <s v="Investigación en salud pertinente y de excelencia académica"/>
        <s v="Prestación de servicios del Sistema Nacional de Salud organizados e integrados"/>
        <s v="Promoción de la salud y prevención y control de enfermedades fortalecidas e integradas sectorial e intersectorialmente"/>
        <s v="Fondo de Aportaciones para los Servicios de Salud a la Comunidad con recursos financieros suficientes"/>
        <s v="Enfermedades emergentes, urgencias epidemiológicas y desastres naturales prevenidos, controlados y atendidos oportunamente"/>
        <s v="Protección contra riesgos sanitarios fortalecida y modernizada"/>
        <s v="Sistema Nacional de Salud organizado e integrado"/>
        <s v="Políticas de calidad implementadas en el Sistema Nacional de Salud"/>
        <s v="Sistema de Protección Social en Salud consolidado estratégicamente"/>
        <s v="Soberanía y seguridad nacionales en las zonas marinas mexicanas"/>
        <s v="Contribuir al desarrollo maritimo nacional"/>
        <s v="Construcción Naval y modernización de unidades operativas y establecimientos navales"/>
        <s v="Educación naval militar"/>
        <s v="Servicios de salud al personal naval militar y derechohabientes"/>
        <s v="Administrar el Poder Naval de la Federación"/>
        <s v="Impartición y procuración de la justicia laboral"/>
        <s v="Instrumentación de la política Laboral"/>
        <s v="Capacitación y Productividad"/>
        <s v="Inclusión laboral de grupos en situación de vulnerabilidad"/>
        <s v="Fomento de la previsión social"/>
        <s v="Asesoría a trabajadores y sindicatos y actualización del registro sindical"/>
        <s v="Conciliación laboral"/>
        <s v="Instrumentación de políticas, estrategias y apoyo a la generación y mantenimiento de empleo y el autoempleo en el país"/>
        <s v="Estudios económicos para determinar el incremento en el salario mínimo."/>
        <s v="Procuración de justicia agraria"/>
        <s v="Ordenamiento y Regularización de la Propiedad Rural"/>
        <s v="Inscripción de actos jurídicos sobre derechos agrarios"/>
        <s v="Impulso a la inversión para mejoramiento de los niveles de los sujetos agrarios"/>
        <s v="Manejo eficiente y sustentable del agua y prevención de inundaciones"/>
        <s v="Regulación de las actividades económicas y sociales para la protección del medio ambiente y recursos naturales."/>
        <s v="Proárbol: Bosques recuperados, protegidos y productivos"/>
        <s v="Información y educación forestal"/>
        <s v="Investigación científica y tecnológica del agua y medio ambiente"/>
        <s v="Desarrollo tecnológico del agua y medio ambiente"/>
        <s v="Conservación de la biodiversidad en ecosistemas saludables"/>
        <s v="Investigación del delito federal"/>
        <s v="Representación jurídica de la Federación en el ámbito interno e internacional"/>
        <s v="Investigación y desarrollo tecnológico y de capital humano en energía nuclear"/>
        <s v="Investigación y desarrollo tecnológico en materia petrolera"/>
        <s v="Investigación y desarrollo tecnológico y de capital humano en energía eléctrica"/>
        <s v="Gestión de la eficiencia energética"/>
        <s v="Distribución y Comercialización de Energía Eléctrica"/>
        <s v="Pomoción, vinculación e innovación en la eficiencia energética"/>
        <s v="Regulación eficiente del sector energético"/>
        <s v="Supervisar la normatividad en eficiencia energética"/>
        <s v="Seguimiento y evaluación a los programas, politicas e información en eficiencia energética"/>
        <s v="Apoyo en zonas urbanas marginadas"/>
        <s v="Atención de la población urbana y rural en pobreza"/>
        <s v="Apoyo al ingreso, a la salud y a la educación de las familias en pobreza"/>
        <s v="Apoyo a las inversiones sociales de los gobiernos locales, de las organizaciones sociales y de la población rural"/>
        <s v="Planeación de proyectos urbanos para estados y municipios"/>
        <s v="Definición, conducción y evaluación de la política de desarrollo social y el ordenamiento urbano y regional"/>
        <s v="Oferta de productos básicos a precios competitivos"/>
        <s v="Apoyo a artesanos tradicionales, desempleados y jornaleros agrícolas en pobreza"/>
        <s v="Apoyo a la Vivienda Social"/>
        <s v="Apoyo a las madres trabajadoras en el cuidado de sus hijos"/>
        <s v="Apoyo a adultos mayores en pobreza"/>
        <s v="Ordenación y regularización de la propiedad rural y urbana"/>
        <s v="Apoyo a pequeñas comunidades rurales"/>
        <s v="Atención y trato a los turistas"/>
        <s v="Turismo con sello propio de calidad hospitalidad y seguridad"/>
        <s v="Incremento de la oferta turística orientada a proyectos viables y sustentables"/>
        <s v="Desarrollo de destinos turísticos diversificados, sustentables y competitivos"/>
        <s v="Transparencia y Rendición de Cuentas"/>
        <s v="Mejora de la Gestión Pública"/>
        <s v="Apego a la Legalidad"/>
        <s v="Impartición de Justicia en materia agraria"/>
        <s v="Impartición de justicia en materia fiscal y administrativa"/>
        <s v="Prevención del delito con perspectiva nacional"/>
        <s v="Sistema penitenciario que garantice la ejecución de las resoluciones jurídicas y contribuya a la readaptación social"/>
        <s v="Administración de Justicia para menores"/>
        <s v="Asesoría en materia jurídica al Presidente de la República y al Gobierno Federal"/>
        <s v="Generación de conocimiento científico para el bienestar de la población y difusión de sus resultados"/>
        <s v="Generación de desarrollo e innovación tecnológica para elevar la competitividad del país y difusión de sus resultados"/>
        <s v="Fortalecimiento a la capacidad científica, tecnológica y de innovación"/>
        <s v="Formulación, articulación y conducción de la política en ciencia, tecnología e innovación"/>
        <s v="Apoyo a la formación de capital humano"/>
        <s v="Apoyo al ingreso y fomento al desarrollo de los investigadores de mérito"/>
        <s v="Formación de recursos humanos en Centros Públicos de Investigación"/>
        <s v="Desarrollo y vinculación de científicos y tecnólogos"/>
        <s v="Pensiones y Jubilaciones a cargo del Gobierno Federal"/>
        <s v="Aportaciones de seguridad social a cargo del Gobierno Federal"/>
        <s v="Pagar otras prestaciones sociales a cargo al Gobierno Federal"/>
        <s v="Administración del Programa IMSS-Oprtunidades"/>
        <s v="Provisiones económicas"/>
        <s v="Provisiones para el programa salarial"/>
        <s v="Promover actividades del Gobierno Federal y de la Administración Pública Federal"/>
        <s v="Prever recursos asociados a ingresos petroleros contemplados en la Ley de Ingresos de la Federación"/>
        <s v="Previsiones salariales y económicas"/>
        <s v="Impulsarlos fondos metropolitanos"/>
        <s v="Promover acciones de desarrollo regional"/>
        <s v="Fortalecer el Programa para la Fiscalización del Gasto Federalizado"/>
        <s v="Costo Financiero de la Deuda Pública"/>
        <s v="Servicios de educación básica en el D.F."/>
        <s v="Servicios de educación normal en el D.F."/>
        <s v="Previsión de recursos de la Administración Federal de Servicios Educativos en el Distrito Federal y de los Fondos del Ramo 33"/>
        <s v="Recursos derivados de los ingresos federales para las entidades federativas y municipios"/>
        <s v="Recursos para resarcir a las entidades federativas; mediante el Fondo de Compensación del Impuesto sobre Automóviles Nuevos"/>
        <s v="Adeudos de Ejercicios Fiscales Anteriores (ADEFAS)"/>
        <s v="Fondo de Aportaciones para la Educación Básica y Normal"/>
        <s v="Fondo de Aportaciones para los Servicios de Salud"/>
        <s v="Fondo de Infraestructura Social Estatal"/>
        <s v="Fondo de Aportaciones para la Infraestructura Social Municipal"/>
        <s v="Fondo de Aportaciones para el Fortalecimiento de los Municipios y de las Demarcaciones Territoriales del Distrito Federal"/>
        <s v="Fondo de Aportaciones Múltiples para Asistencia Social (Asistencia Pública)"/>
        <s v="Fondo de Aportaciones Múltiples para Infraestructura Educativa Básica"/>
        <s v="Fondo de Aportaciones Múltiples para Infraestructura Educativa Superior"/>
        <s v="Fondo de Aportaciones para la Educación Tecnológica y de Adultos (Tecnológica)"/>
        <s v="Fondo de Aportaciones para la Educación Tecnológica y de Adultos (Adultos)"/>
        <s v="Fondo de Aportaciones para la Seguridad Pública de los Estados y del Distrito Federal"/>
        <s v="Fondo de Aportaciones para el Fortalecimiento de las Entidades Federativas"/>
        <s v="Apoyo a Ahorradores y Deudores de la Banca"/>
        <s v="Eficacia en la atención médica preventiva"/>
        <s v="Oportunidad en la atención curativa, quirúrgica, hospitalaria y de rehabilitación"/>
        <s v="Servicios de incorporación y recaudación"/>
        <s v="Prestaciones Sociales y Culturales"/>
        <s v="Comercialización de productos básicos en Tiendas y Farmacias del ISSSTE"/>
        <s v="TURISSSTE, Agencias de Servicios Turísticos"/>
        <s v="Pago de Riesgos de Trabajo y Subsidios y Ayudas"/>
        <s v="Oportunidad en el pago de las prestaciones económicas"/>
        <s v="Prestaciones sociales eficientes"/>
        <s v="Oportunidad en la prestación del servicio de guardería"/>
        <s v="Mejoramiento de los servicios de ingreso"/>
        <s v="Préstamos Hipotecarios y FOVISSSTE"/>
        <s v="Cobertura de la Atención Médica Preventiva"/>
        <s v="Cobertura de la Atención Médica Curativa"/>
        <s v="Otros Servicios de Salud"/>
        <s v="Pago de Pensiones y Jubilaciones a la población derechohabiente del ISSSTE"/>
        <s v="Pago de Pensiones por Retiro, Cesantía en Edad Avanzada y Vejez"/>
        <s v="PENSIONISSSTE, Administración de las Cuentas Individuales de los Trabajadores"/>
        <s v="Pago de Pensiones por Invalidez y Vida"/>
        <s v="Actividades de Apoyo Administrativo"/>
        <s v="Apoyo a la Función Pública y al Mejoramiento de la Gestión"/>
        <s v="Servicios y funciones técnicas para el suministro de energía eléctrica"/>
        <s v="Generación de Energía Eléctrica"/>
        <s v="Transmisión, transformación y control de la energía eléctrica"/>
        <s v="Pensiones y jubilaciones para el personal de LyFC"/>
        <s v="Infraestructura básica en energía eléctrica"/>
        <s v="Pensiones y jubilaciones para el personal de CFE"/>
        <s v="Producción de petróleo crudo, gas, petrolíferos y petroquímicos y mantenimiento de instalaciones"/>
        <s v="Distribución de petróleo crudo, gas, petrolíferos y petroquímicos y mantenimiento de instalaciones"/>
        <s v="Comercialización de petróleo crudo, gas, petrolíferos y petroquímicos y mantenimiento de instalaciones"/>
        <s v="Entorno ecológico"/>
        <s v="Personal activo y jubilado saludable y con calidad de vida"/>
        <s v="Servicios de telecomunicaciones en PEMEX"/>
        <s v="Gestión corporativa a los organismos subsidiarios de PEMEX"/>
        <s v="Pensiones y jubilaciones"/>
        <s v="Exploraciones para descubrir yacimientos de hidrocarburos"/>
      </sharedItems>
    </cacheField>
    <cacheField name="TG" numFmtId="0">
      <sharedItems containsString="0" containsBlank="1" containsNumber="1" containsInteger="1" minValue="1" maxValue="3"/>
    </cacheField>
    <cacheField name="Tipo de Gasto" numFmtId="0">
      <sharedItems containsBlank="1"/>
    </cacheField>
    <cacheField name="Programable / No Programable" numFmtId="0">
      <sharedItems containsBlank="1" count="3">
        <s v="Programable"/>
        <m/>
        <s v="No Programable"/>
      </sharedItems>
    </cacheField>
    <cacheField name="Neteo" numFmtId="0">
      <sharedItems containsString="0" containsBlank="1" containsNumber="1" containsInteger="1" minValue="1" maxValue="1" count="2">
        <m/>
        <n v="1"/>
      </sharedItems>
    </cacheField>
    <cacheField name="Asuntos Indígenas" numFmtId="0">
      <sharedItems containsString="0" containsBlank="1" containsNumber="1" containsInteger="1" minValue="1" maxValue="1" count="2">
        <m/>
        <n v="1"/>
      </sharedItems>
    </cacheField>
    <cacheField name="Ciencia y Tecnología" numFmtId="0">
      <sharedItems containsString="0" containsBlank="1" containsNumber="1" containsInteger="1" minValue="1" maxValue="1" count="2">
        <m/>
        <n v="1"/>
      </sharedItems>
    </cacheField>
    <cacheField name="PEC" numFmtId="0">
      <sharedItems containsString="0" containsBlank="1" containsNumber="1" containsInteger="1" minValue="1" maxValue="1" count="2">
        <m/>
        <n v="1"/>
      </sharedItems>
    </cacheField>
    <cacheField name="Grupos Vulnerables" numFmtId="0">
      <sharedItems containsString="0" containsBlank="1" containsNumber="1" containsInteger="1" minValue="1" maxValue="1" count="2">
        <m/>
        <n v="1"/>
      </sharedItems>
    </cacheField>
    <cacheField name="Equidad de Género" numFmtId="0">
      <sharedItems containsString="0" containsBlank="1" containsNumber="1" containsInteger="1" minValue="1" maxValue="1" count="2">
        <m/>
        <n v="1"/>
      </sharedItems>
    </cacheField>
    <cacheField name="Educación" numFmtId="0">
      <sharedItems containsString="0" containsBlank="1" containsNumber="1" containsInteger="1" minValue="1" maxValue="1"/>
    </cacheField>
    <cacheField name="Juventud" numFmtId="0">
      <sharedItems containsString="0" containsBlank="1" containsNumber="1" containsInteger="1" minValue="1" maxValue="1" count="2">
        <m/>
        <n v="1"/>
      </sharedItems>
    </cacheField>
    <cacheField name="Cambio Climático" numFmtId="0">
      <sharedItems containsString="0" containsBlank="1" containsNumber="1" minValue="0.2" maxValue="2" count="5">
        <m/>
        <n v="1"/>
        <n v="0.2" u="1"/>
        <n v="2" u="1"/>
        <n v="0.38675150464744351" u="1"/>
      </sharedItems>
    </cacheField>
    <cacheField name="Transición Energética" numFmtId="0">
      <sharedItems containsString="0" containsBlank="1" containsNumber="1" containsInteger="1" minValue="1" maxValue="1"/>
    </cacheField>
    <cacheField name="PPEF 2010" numFmtId="3">
      <sharedItems containsString="0" containsBlank="1" containsNumber="1" containsInteger="1" minValue="-3243000000" maxValue="342340833746"/>
    </cacheField>
    <cacheField name="Ampliación Neta DIP" numFmtId="3">
      <sharedItems containsString="0" containsBlank="1" containsNumber="1" containsInteger="1" minValue="-160000000" maxValue="13500000000"/>
    </cacheField>
    <cacheField name="Recorte SHCP" numFmtId="3">
      <sharedItems containsString="0" containsBlank="1" containsNumber="1" containsInteger="1" minValue="-35016593475" maxValue="392000000"/>
    </cacheField>
    <cacheField name="PEF 2010" numFmtId="3">
      <sharedItems containsString="0" containsBlank="1" containsNumber="1" containsInteger="1" minValue="-3243000000" maxValue="331489408019"/>
    </cacheField>
    <cacheField name="PPEF 2011" numFmtId="3">
      <sharedItems containsString="0" containsBlank="1" containsNumber="1" containsInteger="1" minValue="-4924726345" maxValue="375543067390"/>
    </cacheField>
    <cacheField name="Reducción" numFmtId="3">
      <sharedItems containsString="0" containsBlank="1" containsNumber="1" containsInteger="1" minValue="29755915" maxValue="8000000000"/>
    </cacheField>
    <cacheField name="Ampliación" numFmtId="3">
      <sharedItems containsString="0" containsBlank="1" containsNumber="1" minValue="-1166700000" maxValue="20699400000" count="230">
        <n v="200000000"/>
        <m/>
        <n v="15000000"/>
        <n v="10000000"/>
        <n v="17000000"/>
        <n v="500000000"/>
        <n v="20000000"/>
        <n v="2000000"/>
        <n v="180000000"/>
        <n v="775100000"/>
        <n v="100000000"/>
        <n v="540000000"/>
        <n v="29000000"/>
        <n v="68000000"/>
        <n v="21000000"/>
        <n v="20500000"/>
        <n v="1500000"/>
        <n v="70000000"/>
        <n v="300000000"/>
        <n v="34000000"/>
        <n v="539600000"/>
        <n v="186000000"/>
        <n v="80000000"/>
        <n v="25000000"/>
        <n v="50000000"/>
        <n v="112000000"/>
        <n v="30000000"/>
        <n v="8000000"/>
        <n v="20700000"/>
        <n v="120000000"/>
        <n v="115000000"/>
        <n v="1283600000"/>
        <n v="34200000"/>
        <n v="191700000"/>
        <n v="16000000"/>
        <n v="22800000"/>
        <n v="14800000"/>
        <n v="60000000"/>
        <n v="5000000"/>
        <n v="1473510000"/>
        <n v="487000000"/>
        <n v="3832800000"/>
        <n v="965000000"/>
        <n v="468000000"/>
        <n v="2376700000"/>
        <n v="225000000"/>
        <n v="520000000"/>
        <n v="960000000"/>
        <n v="350000000"/>
        <n v="270000000"/>
        <n v="589500000"/>
        <n v="8965800000"/>
        <n v="320000000"/>
        <n v="10823800000"/>
        <n v="-1094900000"/>
        <n v="-626000000"/>
        <n v="296000000"/>
        <n v="250000000"/>
        <n v="150000000"/>
        <n v="24750000"/>
        <n v="460000000"/>
        <n v="3000000"/>
        <n v="146085085"/>
        <n v="301558559"/>
        <n v="4211712"/>
        <n v="90000000"/>
        <n v="3743744"/>
        <n v="10014515"/>
        <n v="2246246"/>
        <n v="2527027"/>
        <n v="2901401"/>
        <n v="2620621"/>
        <n v="43291090"/>
        <n v="75000000"/>
        <n v="58000000"/>
        <n v="18000000"/>
        <n v="1045800000"/>
        <n v="155000000"/>
        <n v="45000000"/>
        <n v="1053947488"/>
        <n v="2334250000"/>
        <n v="160000000"/>
        <n v="40000000"/>
        <n v="6000000"/>
        <n v="210500000"/>
        <n v="1000000000"/>
        <n v="480000000"/>
        <n v="1808395221"/>
        <n v="17300000"/>
        <n v="47000000"/>
        <n v="4950000"/>
        <n v="64000000"/>
        <n v="2450000"/>
        <n v="4800000"/>
        <n v="22000000"/>
        <n v="9600000"/>
        <n v="7000000"/>
        <n v="9900000"/>
        <n v="36100000"/>
        <n v="5800000"/>
        <n v="9800000"/>
        <n v="61500000"/>
        <n v="470000000"/>
        <n v="310000000"/>
        <n v="154000000"/>
        <n v="184000000"/>
        <n v="76000000"/>
        <n v="38000000"/>
        <n v="23000000"/>
        <n v="48000000"/>
        <n v="859000000"/>
        <n v="4000000"/>
        <n v="1957768410"/>
        <n v="2097231590"/>
        <n v="127000000"/>
        <n v="278000000"/>
        <n v="400000000"/>
        <n v="42000000"/>
        <n v="7534999999.9983597"/>
        <n v="1650000000"/>
        <n v="9000000"/>
        <n v="750000000"/>
        <n v="515000000"/>
        <n v="182900000"/>
        <n v="1735000000"/>
        <n v="1235000000"/>
        <n v="2200000000"/>
        <n v="6000000000"/>
        <n v="220000000"/>
        <n v="330000000"/>
        <n v="445000000"/>
        <n v="4760000000"/>
        <n v="730000000"/>
        <n v="3281365547"/>
        <n v="28402614"/>
        <n v="205942386"/>
        <n v="240184877"/>
        <n v="76302732"/>
        <n v="131233200"/>
        <n v="-664200000" u="1"/>
        <n v="900000000" u="1"/>
        <n v="1110000000" u="1"/>
        <n v="2000000000" u="1"/>
        <n v="8640100000" u="1"/>
        <n v="263800000" u="1"/>
        <n v="1129619640" u="1"/>
        <n v="13923700000" u="1"/>
        <n v="490000000" u="1"/>
        <n v="1350000000" u="1"/>
        <n v="17652800000" u="1"/>
        <n v="72590000" u="1"/>
        <n v="1623100000" u="1"/>
        <n v="52100000" u="1"/>
        <n v="170000000" u="1"/>
        <n v="1808000000" u="1"/>
        <n v="327600000" u="1"/>
        <n v="360000000" u="1"/>
        <n v="1360000000" u="1"/>
        <n v="15500000" u="1"/>
        <n v="131236000" u="1"/>
        <n v="240190002" u="1"/>
        <n v="208700000" u="1"/>
        <n v="28403220" u="1"/>
        <n v="230000000" u="1"/>
        <n v="483900000" u="1"/>
        <n v="125000000" u="1"/>
        <n v="205946780" u="1"/>
        <n v="998400000" u="1"/>
        <n v="25500000" u="1"/>
        <n v="450000000" u="1"/>
        <n v="4250000000" u="1"/>
        <n v="175200000" u="1"/>
        <n v="14000000" u="1"/>
        <n v="46500000" u="1"/>
        <n v="1874800000" u="1"/>
        <n v="7760000000" u="1"/>
        <n v="10500000" u="1"/>
        <n v="8808500000" u="1"/>
        <n v="1281600000" u="1"/>
        <n v="8204940743.9983597" u="1"/>
        <n v="2055000000" u="1"/>
        <n v="7201300000" u="1"/>
        <n v="1711200000" u="1"/>
        <n v="8204940743.9983625" u="1"/>
        <n v="93740000" u="1"/>
        <n v="3182510000" u="1"/>
        <n v="7700000" u="1"/>
        <n v="4200000" u="1"/>
        <n v="76304360" u="1"/>
        <n v="650000000" u="1"/>
        <n v="106300000" u="1"/>
        <n v="237600000" u="1"/>
        <n v="62000000" u="1"/>
        <n v="1285600000" u="1"/>
        <n v="19026200000" u="1"/>
        <n v="3281300000" u="1"/>
        <n v="48100000" u="1"/>
        <n v="440000000" u="1"/>
        <n v="767000000" u="1"/>
        <n v="10291600000" u="1"/>
        <n v="538100000" u="1"/>
        <n v="1246100000" u="1"/>
        <n v="11000000" u="1"/>
        <n v="7900000" u="1"/>
        <n v="9300000" u="1"/>
        <n v="34700000" u="1"/>
        <n v="745000000" u="1"/>
        <n v="2500000" u="1"/>
        <n v="874500000" u="1"/>
        <n v="3400000" u="1"/>
        <n v="123900000" u="1"/>
        <n v="600000000" u="1"/>
        <n v="1235800000" u="1"/>
        <n v="1270200000" u="1"/>
        <n v="104000000" u="1"/>
        <n v="145000000" u="1"/>
        <n v="20699400000" u="1"/>
        <n v="9814800000" u="1"/>
        <n v="31000000" u="1"/>
        <n v="649000000" u="1"/>
        <n v="36000000" u="1"/>
        <n v="-1166700000" u="1"/>
        <n v="50400000" u="1"/>
        <n v="475000000" u="1"/>
        <n v="1056100000" u="1"/>
        <n v="990000000" u="1"/>
        <n v="2194250000" u="1"/>
        <n v="6999999999.9983597" u="1"/>
        <n v="4600000" u="1"/>
        <n v="430000000" u="1"/>
      </sharedItems>
    </cacheField>
    <cacheField name="PEF 2011" numFmtId="3">
      <sharedItems containsString="0" containsBlank="1" containsNumber="1" minValue="-4924726345" maxValue="378824432937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22">
  <r>
    <x v="0"/>
    <x v="0"/>
    <x v="0"/>
    <x v="0"/>
    <s v="Proyectos de Inversión"/>
    <x v="0"/>
    <x v="0"/>
    <x v="0"/>
    <x v="0"/>
    <n v="1"/>
    <s v="Gobierno"/>
    <n v="0"/>
    <s v="Legislación"/>
    <n v="1"/>
    <x v="0"/>
    <x v="0"/>
    <x v="0"/>
    <n v="2"/>
    <s v="Gasto de capital"/>
    <x v="0"/>
    <x v="0"/>
    <x v="0"/>
    <x v="0"/>
    <x v="0"/>
    <x v="0"/>
    <x v="0"/>
    <m/>
    <x v="0"/>
    <x v="0"/>
    <m/>
    <n v="800000000"/>
    <n v="0"/>
    <n v="-50000000"/>
    <n v="750000000"/>
    <n v="380000000"/>
    <m/>
    <x v="0"/>
    <n v="580000000"/>
  </r>
  <r>
    <x v="0"/>
    <x v="0"/>
    <x v="0"/>
    <x v="0"/>
    <s v="Proyectos de Inversión"/>
    <x v="1"/>
    <x v="1"/>
    <x v="1"/>
    <x v="1"/>
    <n v="1"/>
    <s v="Gobierno"/>
    <n v="0"/>
    <s v="Legislación"/>
    <n v="1"/>
    <x v="0"/>
    <x v="0"/>
    <x v="0"/>
    <n v="2"/>
    <s v="Gasto de capital"/>
    <x v="0"/>
    <x v="0"/>
    <x v="0"/>
    <x v="0"/>
    <x v="0"/>
    <x v="0"/>
    <x v="0"/>
    <m/>
    <x v="0"/>
    <x v="0"/>
    <m/>
    <n v="17642688"/>
    <n v="0"/>
    <n v="0"/>
    <n v="17642688"/>
    <n v="150608280"/>
    <m/>
    <x v="1"/>
    <n v="150608280"/>
  </r>
  <r>
    <x v="0"/>
    <x v="0"/>
    <x v="0"/>
    <x v="1"/>
    <s v="Específicos"/>
    <x v="2"/>
    <x v="2"/>
    <x v="1"/>
    <x v="1"/>
    <n v="1"/>
    <s v="Gobierno"/>
    <n v="0"/>
    <s v="Legislación"/>
    <n v="1"/>
    <x v="0"/>
    <x v="0"/>
    <x v="0"/>
    <n v="1"/>
    <s v="Gasto corriente"/>
    <x v="0"/>
    <x v="1"/>
    <x v="0"/>
    <x v="0"/>
    <x v="0"/>
    <x v="0"/>
    <x v="1"/>
    <m/>
    <x v="0"/>
    <x v="0"/>
    <m/>
    <n v="65125005"/>
    <n v="0"/>
    <n v="0"/>
    <n v="65125005"/>
    <n v="63951154"/>
    <n v="2000000000"/>
    <x v="1"/>
    <n v="-1936048846"/>
  </r>
  <r>
    <x v="0"/>
    <x v="0"/>
    <x v="0"/>
    <x v="1"/>
    <s v="Específicos"/>
    <x v="2"/>
    <x v="2"/>
    <x v="1"/>
    <x v="1"/>
    <n v="1"/>
    <s v="Gobierno"/>
    <n v="0"/>
    <s v="Legislación"/>
    <n v="1"/>
    <x v="0"/>
    <x v="0"/>
    <x v="0"/>
    <n v="1"/>
    <s v="Gasto corriente"/>
    <x v="0"/>
    <x v="0"/>
    <x v="0"/>
    <x v="0"/>
    <x v="0"/>
    <x v="0"/>
    <x v="1"/>
    <m/>
    <x v="0"/>
    <x v="0"/>
    <m/>
    <n v="5023855235"/>
    <n v="0"/>
    <n v="-384418952"/>
    <n v="4639436283"/>
    <n v="5031206845"/>
    <m/>
    <x v="1"/>
    <n v="5031206845"/>
  </r>
  <r>
    <x v="0"/>
    <x v="0"/>
    <x v="0"/>
    <x v="1"/>
    <s v="Específicos"/>
    <x v="2"/>
    <x v="2"/>
    <x v="1"/>
    <x v="1"/>
    <n v="1"/>
    <s v="Gobierno"/>
    <n v="0"/>
    <s v="Legislación"/>
    <n v="1"/>
    <x v="0"/>
    <x v="0"/>
    <x v="0"/>
    <n v="2"/>
    <s v="Gasto de capital"/>
    <x v="0"/>
    <x v="0"/>
    <x v="0"/>
    <x v="0"/>
    <x v="0"/>
    <x v="0"/>
    <x v="1"/>
    <m/>
    <x v="0"/>
    <x v="0"/>
    <m/>
    <n v="46893064"/>
    <n v="0"/>
    <n v="-15581048"/>
    <n v="31312016"/>
    <n v="198357929"/>
    <m/>
    <x v="1"/>
    <n v="198357929"/>
  </r>
  <r>
    <x v="0"/>
    <x v="0"/>
    <x v="0"/>
    <x v="1"/>
    <s v="Específicos"/>
    <x v="2"/>
    <x v="2"/>
    <x v="0"/>
    <x v="0"/>
    <n v="1"/>
    <s v="Gobierno"/>
    <n v="0"/>
    <s v="Legislación"/>
    <n v="1"/>
    <x v="0"/>
    <x v="0"/>
    <x v="0"/>
    <n v="1"/>
    <s v="Gasto corriente"/>
    <x v="0"/>
    <x v="1"/>
    <x v="0"/>
    <x v="0"/>
    <x v="0"/>
    <x v="0"/>
    <x v="0"/>
    <m/>
    <x v="0"/>
    <x v="0"/>
    <m/>
    <n v="14389550"/>
    <n v="0"/>
    <n v="0"/>
    <n v="14389550"/>
    <n v="14389550"/>
    <m/>
    <x v="1"/>
    <n v="14389550"/>
  </r>
  <r>
    <x v="0"/>
    <x v="0"/>
    <x v="0"/>
    <x v="1"/>
    <s v="Específicos"/>
    <x v="2"/>
    <x v="2"/>
    <x v="0"/>
    <x v="0"/>
    <n v="1"/>
    <s v="Gobierno"/>
    <n v="0"/>
    <s v="Legislación"/>
    <n v="1"/>
    <x v="0"/>
    <x v="0"/>
    <x v="0"/>
    <n v="1"/>
    <s v="Gasto corriente"/>
    <x v="0"/>
    <x v="0"/>
    <x v="0"/>
    <x v="0"/>
    <x v="0"/>
    <x v="0"/>
    <x v="0"/>
    <m/>
    <x v="0"/>
    <x v="0"/>
    <m/>
    <n v="2926158363"/>
    <n v="0"/>
    <n v="-155000000"/>
    <n v="2771158363"/>
    <n v="2924358363"/>
    <n v="500000000"/>
    <x v="1"/>
    <n v="2424358363"/>
  </r>
  <r>
    <x v="0"/>
    <x v="0"/>
    <x v="0"/>
    <x v="1"/>
    <s v="Específicos"/>
    <x v="2"/>
    <x v="2"/>
    <x v="0"/>
    <x v="0"/>
    <n v="1"/>
    <s v="Gobierno"/>
    <n v="0"/>
    <s v="Legislación"/>
    <n v="1"/>
    <x v="0"/>
    <x v="0"/>
    <x v="0"/>
    <n v="2"/>
    <s v="Gasto de capital"/>
    <x v="0"/>
    <x v="0"/>
    <x v="0"/>
    <x v="0"/>
    <x v="0"/>
    <x v="0"/>
    <x v="0"/>
    <m/>
    <x v="0"/>
    <x v="0"/>
    <m/>
    <n v="79400000"/>
    <n v="0"/>
    <n v="-45000000"/>
    <n v="34400000"/>
    <n v="66300000"/>
    <m/>
    <x v="1"/>
    <n v="66300000"/>
  </r>
  <r>
    <x v="0"/>
    <x v="0"/>
    <x v="0"/>
    <x v="1"/>
    <s v="Específicos"/>
    <x v="3"/>
    <x v="3"/>
    <x v="2"/>
    <x v="2"/>
    <n v="1"/>
    <s v="Gobierno"/>
    <n v="0"/>
    <s v="Legislación"/>
    <n v="1"/>
    <x v="0"/>
    <x v="1"/>
    <x v="1"/>
    <n v="1"/>
    <s v="Gasto corriente"/>
    <x v="0"/>
    <x v="1"/>
    <x v="0"/>
    <x v="0"/>
    <x v="0"/>
    <x v="0"/>
    <x v="1"/>
    <m/>
    <x v="0"/>
    <x v="0"/>
    <m/>
    <n v="28949660"/>
    <n v="0"/>
    <n v="0"/>
    <n v="28949660"/>
    <n v="26565468"/>
    <m/>
    <x v="1"/>
    <n v="26565468"/>
  </r>
  <r>
    <x v="0"/>
    <x v="0"/>
    <x v="0"/>
    <x v="1"/>
    <s v="Específicos"/>
    <x v="3"/>
    <x v="3"/>
    <x v="2"/>
    <x v="2"/>
    <n v="1"/>
    <s v="Gobierno"/>
    <n v="0"/>
    <s v="Legislación"/>
    <n v="1"/>
    <x v="0"/>
    <x v="1"/>
    <x v="1"/>
    <n v="1"/>
    <s v="Gasto corriente"/>
    <x v="0"/>
    <x v="0"/>
    <x v="0"/>
    <x v="0"/>
    <x v="0"/>
    <x v="0"/>
    <x v="1"/>
    <m/>
    <x v="0"/>
    <x v="0"/>
    <m/>
    <n v="1174950340"/>
    <n v="0"/>
    <n v="600905"/>
    <n v="1175551245"/>
    <n v="1340599744"/>
    <n v="76600000"/>
    <x v="1"/>
    <n v="1263999744"/>
  </r>
  <r>
    <x v="0"/>
    <x v="0"/>
    <x v="0"/>
    <x v="1"/>
    <s v="Específicos"/>
    <x v="3"/>
    <x v="3"/>
    <x v="2"/>
    <x v="2"/>
    <n v="1"/>
    <s v="Gobierno"/>
    <n v="0"/>
    <s v="Legislación"/>
    <n v="1"/>
    <x v="0"/>
    <x v="1"/>
    <x v="1"/>
    <n v="2"/>
    <s v="Gasto de capital"/>
    <x v="0"/>
    <x v="0"/>
    <x v="0"/>
    <x v="0"/>
    <x v="0"/>
    <x v="0"/>
    <x v="1"/>
    <m/>
    <x v="0"/>
    <x v="0"/>
    <m/>
    <n v="22600000"/>
    <n v="0"/>
    <n v="-600905"/>
    <n v="21999095"/>
    <n v="41529464"/>
    <m/>
    <x v="1"/>
    <n v="41529464"/>
  </r>
  <r>
    <x v="0"/>
    <x v="1"/>
    <x v="1"/>
    <x v="1"/>
    <s v="Específicos"/>
    <x v="2"/>
    <x v="4"/>
    <x v="1"/>
    <x v="3"/>
    <n v="1"/>
    <s v="Gobierno"/>
    <n v="6"/>
    <s v="Orden, Seguridad y Justicia"/>
    <n v="4"/>
    <x v="1"/>
    <x v="1"/>
    <x v="2"/>
    <n v="1"/>
    <s v="Gasto corriente"/>
    <x v="0"/>
    <x v="1"/>
    <x v="0"/>
    <x v="0"/>
    <x v="0"/>
    <x v="0"/>
    <x v="1"/>
    <m/>
    <x v="0"/>
    <x v="0"/>
    <m/>
    <n v="69724163"/>
    <n v="0"/>
    <n v="0"/>
    <n v="69724163"/>
    <n v="95382953"/>
    <m/>
    <x v="1"/>
    <n v="95382953"/>
  </r>
  <r>
    <x v="0"/>
    <x v="1"/>
    <x v="1"/>
    <x v="1"/>
    <s v="Específicos"/>
    <x v="2"/>
    <x v="4"/>
    <x v="1"/>
    <x v="3"/>
    <n v="1"/>
    <s v="Gobierno"/>
    <n v="6"/>
    <s v="Orden, Seguridad y Justicia"/>
    <n v="4"/>
    <x v="1"/>
    <x v="1"/>
    <x v="2"/>
    <n v="1"/>
    <s v="Gasto corriente"/>
    <x v="0"/>
    <x v="0"/>
    <x v="0"/>
    <x v="0"/>
    <x v="0"/>
    <x v="0"/>
    <x v="1"/>
    <m/>
    <x v="0"/>
    <x v="0"/>
    <m/>
    <n v="3706785977"/>
    <n v="0"/>
    <n v="0"/>
    <n v="3706785977"/>
    <n v="3784728730"/>
    <m/>
    <x v="1"/>
    <n v="3784728730"/>
  </r>
  <r>
    <x v="0"/>
    <x v="1"/>
    <x v="1"/>
    <x v="1"/>
    <s v="Específicos"/>
    <x v="2"/>
    <x v="4"/>
    <x v="1"/>
    <x v="3"/>
    <n v="1"/>
    <s v="Gobierno"/>
    <n v="6"/>
    <s v="Orden, Seguridad y Justicia"/>
    <n v="4"/>
    <x v="1"/>
    <x v="1"/>
    <x v="2"/>
    <n v="2"/>
    <s v="Gasto de capital"/>
    <x v="0"/>
    <x v="0"/>
    <x v="0"/>
    <x v="0"/>
    <x v="0"/>
    <x v="0"/>
    <x v="1"/>
    <m/>
    <x v="0"/>
    <x v="0"/>
    <m/>
    <n v="699665991"/>
    <n v="0"/>
    <n v="0"/>
    <n v="699665991"/>
    <n v="773768640"/>
    <m/>
    <x v="1"/>
    <n v="773768640"/>
  </r>
  <r>
    <x v="0"/>
    <x v="1"/>
    <x v="1"/>
    <x v="1"/>
    <s v="Específicos"/>
    <x v="2"/>
    <x v="4"/>
    <x v="3"/>
    <x v="4"/>
    <n v="1"/>
    <s v="Gobierno"/>
    <n v="6"/>
    <s v="Orden, Seguridad y Justicia"/>
    <n v="4"/>
    <x v="1"/>
    <x v="1"/>
    <x v="2"/>
    <n v="1"/>
    <s v="Gasto corriente"/>
    <x v="0"/>
    <x v="1"/>
    <x v="0"/>
    <x v="0"/>
    <x v="0"/>
    <x v="0"/>
    <x v="1"/>
    <m/>
    <x v="0"/>
    <x v="0"/>
    <m/>
    <n v="774150828"/>
    <n v="0"/>
    <n v="0"/>
    <n v="774150828"/>
    <n v="832448868"/>
    <m/>
    <x v="1"/>
    <n v="832448868"/>
  </r>
  <r>
    <x v="0"/>
    <x v="1"/>
    <x v="1"/>
    <x v="1"/>
    <s v="Específicos"/>
    <x v="2"/>
    <x v="4"/>
    <x v="3"/>
    <x v="4"/>
    <n v="1"/>
    <s v="Gobierno"/>
    <n v="6"/>
    <s v="Orden, Seguridad y Justicia"/>
    <n v="4"/>
    <x v="1"/>
    <x v="1"/>
    <x v="2"/>
    <n v="1"/>
    <s v="Gasto corriente"/>
    <x v="0"/>
    <x v="0"/>
    <x v="0"/>
    <x v="0"/>
    <x v="0"/>
    <x v="0"/>
    <x v="1"/>
    <m/>
    <x v="0"/>
    <x v="0"/>
    <m/>
    <n v="29579869605"/>
    <n v="0"/>
    <n v="-2787187124"/>
    <n v="26792682481"/>
    <n v="32500028394"/>
    <n v="3487000000"/>
    <x v="1"/>
    <n v="29013028394"/>
  </r>
  <r>
    <x v="0"/>
    <x v="1"/>
    <x v="1"/>
    <x v="1"/>
    <s v="Específicos"/>
    <x v="2"/>
    <x v="4"/>
    <x v="3"/>
    <x v="4"/>
    <n v="1"/>
    <s v="Gobierno"/>
    <n v="6"/>
    <s v="Orden, Seguridad y Justicia"/>
    <n v="4"/>
    <x v="1"/>
    <x v="1"/>
    <x v="2"/>
    <n v="2"/>
    <s v="Gasto de capital"/>
    <x v="0"/>
    <x v="0"/>
    <x v="0"/>
    <x v="0"/>
    <x v="0"/>
    <x v="0"/>
    <x v="1"/>
    <m/>
    <x v="0"/>
    <x v="0"/>
    <m/>
    <n v="3283435453"/>
    <n v="0"/>
    <n v="-3212812876"/>
    <n v="70622577"/>
    <n v="1537545321"/>
    <m/>
    <x v="1"/>
    <n v="1537545321"/>
  </r>
  <r>
    <x v="0"/>
    <x v="1"/>
    <x v="1"/>
    <x v="1"/>
    <s v="Específicos"/>
    <x v="2"/>
    <x v="4"/>
    <x v="4"/>
    <x v="5"/>
    <n v="1"/>
    <s v="Gobierno"/>
    <n v="6"/>
    <s v="Orden, Seguridad y Justicia"/>
    <n v="4"/>
    <x v="1"/>
    <x v="0"/>
    <x v="3"/>
    <n v="1"/>
    <s v="Gasto corriente"/>
    <x v="0"/>
    <x v="1"/>
    <x v="0"/>
    <x v="0"/>
    <x v="0"/>
    <x v="0"/>
    <x v="1"/>
    <m/>
    <x v="0"/>
    <x v="0"/>
    <m/>
    <n v="18217464"/>
    <n v="0"/>
    <n v="0"/>
    <n v="18217464"/>
    <n v="18858588"/>
    <m/>
    <x v="1"/>
    <n v="18858588"/>
  </r>
  <r>
    <x v="0"/>
    <x v="1"/>
    <x v="1"/>
    <x v="1"/>
    <s v="Específicos"/>
    <x v="2"/>
    <x v="4"/>
    <x v="4"/>
    <x v="5"/>
    <n v="1"/>
    <s v="Gobierno"/>
    <n v="6"/>
    <s v="Orden, Seguridad y Justicia"/>
    <n v="4"/>
    <x v="1"/>
    <x v="0"/>
    <x v="3"/>
    <n v="1"/>
    <s v="Gasto corriente"/>
    <x v="0"/>
    <x v="0"/>
    <x v="0"/>
    <x v="0"/>
    <x v="0"/>
    <x v="0"/>
    <x v="1"/>
    <m/>
    <x v="0"/>
    <x v="0"/>
    <m/>
    <n v="1313056218"/>
    <n v="0"/>
    <n v="-290082"/>
    <n v="1312766136"/>
    <n v="1354940299"/>
    <m/>
    <x v="1"/>
    <n v="1354940299"/>
  </r>
  <r>
    <x v="0"/>
    <x v="1"/>
    <x v="1"/>
    <x v="1"/>
    <s v="Específicos"/>
    <x v="2"/>
    <x v="4"/>
    <x v="4"/>
    <x v="5"/>
    <n v="1"/>
    <s v="Gobierno"/>
    <n v="6"/>
    <s v="Orden, Seguridad y Justicia"/>
    <n v="4"/>
    <x v="1"/>
    <x v="0"/>
    <x v="3"/>
    <n v="2"/>
    <s v="Gasto de capital"/>
    <x v="0"/>
    <x v="0"/>
    <x v="0"/>
    <x v="0"/>
    <x v="0"/>
    <x v="0"/>
    <x v="1"/>
    <m/>
    <x v="0"/>
    <x v="0"/>
    <m/>
    <n v="154025302"/>
    <n v="0"/>
    <n v="-108947400"/>
    <n v="45077902"/>
    <n v="36921263"/>
    <m/>
    <x v="1"/>
    <n v="36921263"/>
  </r>
  <r>
    <x v="0"/>
    <x v="1"/>
    <x v="1"/>
    <x v="1"/>
    <s v="Específicos"/>
    <x v="2"/>
    <x v="4"/>
    <x v="5"/>
    <x v="6"/>
    <n v="1"/>
    <s v="Gobierno"/>
    <n v="6"/>
    <s v="Orden, Seguridad y Justicia"/>
    <n v="4"/>
    <x v="1"/>
    <x v="0"/>
    <x v="3"/>
    <n v="1"/>
    <s v="Gasto corriente"/>
    <x v="0"/>
    <x v="1"/>
    <x v="0"/>
    <x v="0"/>
    <x v="0"/>
    <x v="0"/>
    <x v="0"/>
    <m/>
    <x v="0"/>
    <x v="0"/>
    <m/>
    <n v="7022340"/>
    <n v="0"/>
    <n v="0"/>
    <n v="7022340"/>
    <n v="8052564"/>
    <m/>
    <x v="1"/>
    <n v="8052564"/>
  </r>
  <r>
    <x v="0"/>
    <x v="1"/>
    <x v="1"/>
    <x v="1"/>
    <s v="Específicos"/>
    <x v="2"/>
    <x v="4"/>
    <x v="5"/>
    <x v="6"/>
    <n v="1"/>
    <s v="Gobierno"/>
    <n v="6"/>
    <s v="Orden, Seguridad y Justicia"/>
    <n v="4"/>
    <x v="1"/>
    <x v="0"/>
    <x v="3"/>
    <n v="1"/>
    <s v="Gasto corriente"/>
    <x v="0"/>
    <x v="0"/>
    <x v="0"/>
    <x v="0"/>
    <x v="0"/>
    <x v="0"/>
    <x v="0"/>
    <m/>
    <x v="0"/>
    <x v="0"/>
    <m/>
    <n v="431019747"/>
    <n v="0"/>
    <n v="13204727"/>
    <n v="444224474"/>
    <n v="534220269"/>
    <m/>
    <x v="1"/>
    <n v="534220269"/>
  </r>
  <r>
    <x v="0"/>
    <x v="1"/>
    <x v="1"/>
    <x v="1"/>
    <s v="Específicos"/>
    <x v="2"/>
    <x v="4"/>
    <x v="5"/>
    <x v="6"/>
    <n v="1"/>
    <s v="Gobierno"/>
    <n v="6"/>
    <s v="Orden, Seguridad y Justicia"/>
    <n v="4"/>
    <x v="1"/>
    <x v="0"/>
    <x v="3"/>
    <n v="2"/>
    <s v="Gasto de capital"/>
    <x v="0"/>
    <x v="0"/>
    <x v="0"/>
    <x v="0"/>
    <x v="0"/>
    <x v="0"/>
    <x v="0"/>
    <m/>
    <x v="0"/>
    <x v="0"/>
    <m/>
    <n v="71597129"/>
    <n v="0"/>
    <n v="11002755"/>
    <n v="82599884"/>
    <n v="45862117"/>
    <m/>
    <x v="1"/>
    <n v="45862117"/>
  </r>
  <r>
    <x v="0"/>
    <x v="2"/>
    <x v="2"/>
    <x v="2"/>
    <s v="Apoyo al proceso presupuestario y para mejorar la eficiencia institucional"/>
    <x v="2"/>
    <x v="5"/>
    <x v="6"/>
    <x v="7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5924948"/>
    <n v="0"/>
    <n v="0"/>
    <n v="15924948"/>
    <n v="16677919"/>
    <m/>
    <x v="1"/>
    <n v="16677919"/>
  </r>
  <r>
    <x v="0"/>
    <x v="2"/>
    <x v="2"/>
    <x v="2"/>
    <s v="Apoyo al proceso presupuestario y para mejorar la eficiencia institucional"/>
    <x v="2"/>
    <x v="5"/>
    <x v="6"/>
    <x v="7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473344238"/>
    <n v="0"/>
    <n v="-42918687"/>
    <n v="430425551"/>
    <n v="482452696"/>
    <m/>
    <x v="1"/>
    <n v="482452696"/>
  </r>
  <r>
    <x v="0"/>
    <x v="2"/>
    <x v="2"/>
    <x v="2"/>
    <s v="Apoyo al proceso presupuestario y para mejorar la eficiencia institucional"/>
    <x v="2"/>
    <x v="5"/>
    <x v="6"/>
    <x v="7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3442788"/>
    <n v="0"/>
    <n v="-3130973"/>
    <n v="311815"/>
    <n v="160761518"/>
    <m/>
    <x v="1"/>
    <n v="160761518"/>
  </r>
  <r>
    <x v="0"/>
    <x v="2"/>
    <x v="2"/>
    <x v="2"/>
    <s v="Apoyo al proceso presupuestario y para mejorar la eficiencia institucional"/>
    <x v="2"/>
    <x v="5"/>
    <x v="0"/>
    <x v="8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6275048"/>
    <n v="0"/>
    <n v="0"/>
    <n v="6275048"/>
    <n v="6261722"/>
    <m/>
    <x v="1"/>
    <n v="6261722"/>
  </r>
  <r>
    <x v="0"/>
    <x v="2"/>
    <x v="2"/>
    <x v="2"/>
    <s v="Apoyo al proceso presupuestario y para mejorar la eficiencia institucional"/>
    <x v="2"/>
    <x v="5"/>
    <x v="0"/>
    <x v="8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262764226"/>
    <n v="0"/>
    <n v="-28191548"/>
    <n v="234572678"/>
    <n v="267962402"/>
    <m/>
    <x v="1"/>
    <n v="267962402"/>
  </r>
  <r>
    <x v="0"/>
    <x v="2"/>
    <x v="2"/>
    <x v="2"/>
    <s v="Apoyo al proceso presupuestario y para mejorar la eficiencia institucional"/>
    <x v="2"/>
    <x v="5"/>
    <x v="0"/>
    <x v="8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359103"/>
    <n v="0"/>
    <n v="-248485"/>
    <n v="110618"/>
    <n v="75035488"/>
    <m/>
    <x v="1"/>
    <n v="75035488"/>
  </r>
  <r>
    <x v="0"/>
    <x v="2"/>
    <x v="2"/>
    <x v="2"/>
    <s v="Apoyo al proceso presupuestario y para mejorar la eficiencia institucional"/>
    <x v="2"/>
    <x v="5"/>
    <x v="7"/>
    <x v="9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9640388"/>
    <n v="0"/>
    <n v="0"/>
    <n v="9640388"/>
    <n v="9510221"/>
    <m/>
    <x v="1"/>
    <n v="9510221"/>
  </r>
  <r>
    <x v="0"/>
    <x v="2"/>
    <x v="2"/>
    <x v="2"/>
    <s v="Apoyo al proceso presupuestario y para mejorar la eficiencia institucional"/>
    <x v="2"/>
    <x v="5"/>
    <x v="7"/>
    <x v="9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502806204"/>
    <n v="0"/>
    <n v="-66824333"/>
    <n v="435981871"/>
    <n v="624121379"/>
    <m/>
    <x v="1"/>
    <n v="624121379"/>
  </r>
  <r>
    <x v="0"/>
    <x v="2"/>
    <x v="2"/>
    <x v="2"/>
    <s v="Apoyo al proceso presupuestario y para mejorar la eficiencia institucional"/>
    <x v="2"/>
    <x v="5"/>
    <x v="7"/>
    <x v="9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5217543"/>
    <n v="0"/>
    <n v="-5115569"/>
    <n v="101974"/>
    <n v="64299"/>
    <m/>
    <x v="1"/>
    <n v="64299"/>
  </r>
  <r>
    <x v="0"/>
    <x v="2"/>
    <x v="2"/>
    <x v="3"/>
    <s v="Apoyo a la función pública y al mejoramiento de la gestión"/>
    <x v="2"/>
    <x v="6"/>
    <x v="8"/>
    <x v="10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2272779"/>
    <n v="0"/>
    <n v="0"/>
    <n v="2272779"/>
    <n v="2069504"/>
    <m/>
    <x v="1"/>
    <n v="2069504"/>
  </r>
  <r>
    <x v="0"/>
    <x v="2"/>
    <x v="2"/>
    <x v="3"/>
    <s v="Apoyo a la función pública y al mejoramiento de la gestión"/>
    <x v="2"/>
    <x v="6"/>
    <x v="8"/>
    <x v="10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124853570"/>
    <n v="0"/>
    <n v="-7588236"/>
    <n v="117265334"/>
    <n v="109671988"/>
    <m/>
    <x v="1"/>
    <n v="109671988"/>
  </r>
  <r>
    <x v="0"/>
    <x v="2"/>
    <x v="2"/>
    <x v="3"/>
    <s v="Apoyo a la función pública y al mejoramiento de la gestión"/>
    <x v="2"/>
    <x v="6"/>
    <x v="8"/>
    <x v="10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163850"/>
    <n v="0"/>
    <n v="-3850"/>
    <n v="160000"/>
    <n v="103506"/>
    <m/>
    <x v="1"/>
    <n v="103506"/>
  </r>
  <r>
    <x v="0"/>
    <x v="2"/>
    <x v="2"/>
    <x v="1"/>
    <s v="Específicos"/>
    <x v="2"/>
    <x v="7"/>
    <x v="2"/>
    <x v="11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793109"/>
    <n v="0"/>
    <n v="0"/>
    <n v="793109"/>
    <n v="627478"/>
    <m/>
    <x v="1"/>
    <n v="627478"/>
  </r>
  <r>
    <x v="0"/>
    <x v="2"/>
    <x v="2"/>
    <x v="1"/>
    <s v="Específicos"/>
    <x v="2"/>
    <x v="7"/>
    <x v="2"/>
    <x v="11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42955565"/>
    <n v="0"/>
    <n v="-2104635"/>
    <n v="40850930"/>
    <n v="38276898"/>
    <m/>
    <x v="1"/>
    <n v="38276898"/>
  </r>
  <r>
    <x v="0"/>
    <x v="2"/>
    <x v="2"/>
    <x v="1"/>
    <s v="Específicos"/>
    <x v="2"/>
    <x v="7"/>
    <x v="2"/>
    <x v="11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3434"/>
    <n v="0"/>
    <n v="-3434"/>
    <n v="0"/>
    <m/>
    <m/>
    <x v="1"/>
    <n v="0"/>
  </r>
  <r>
    <x v="0"/>
    <x v="2"/>
    <x v="2"/>
    <x v="1"/>
    <s v="Específicos"/>
    <x v="2"/>
    <x v="7"/>
    <x v="9"/>
    <x v="12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2129063"/>
    <n v="0"/>
    <n v="0"/>
    <n v="2129063"/>
    <n v="1742270"/>
    <m/>
    <x v="1"/>
    <n v="1742270"/>
  </r>
  <r>
    <x v="0"/>
    <x v="2"/>
    <x v="2"/>
    <x v="1"/>
    <s v="Específicos"/>
    <x v="2"/>
    <x v="7"/>
    <x v="9"/>
    <x v="12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107594663"/>
    <n v="0"/>
    <n v="-3050006"/>
    <n v="104544657"/>
    <n v="106268445"/>
    <m/>
    <x v="1"/>
    <n v="106268445"/>
  </r>
  <r>
    <x v="0"/>
    <x v="2"/>
    <x v="2"/>
    <x v="1"/>
    <s v="Específicos"/>
    <x v="2"/>
    <x v="7"/>
    <x v="10"/>
    <x v="13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917709"/>
    <n v="0"/>
    <n v="0"/>
    <n v="1917709"/>
    <n v="1530067"/>
    <m/>
    <x v="1"/>
    <n v="1530067"/>
  </r>
  <r>
    <x v="0"/>
    <x v="2"/>
    <x v="2"/>
    <x v="1"/>
    <s v="Específicos"/>
    <x v="2"/>
    <x v="7"/>
    <x v="10"/>
    <x v="13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110743871"/>
    <n v="0"/>
    <n v="-3362649"/>
    <n v="107381222"/>
    <n v="94768040"/>
    <m/>
    <x v="1"/>
    <n v="94768040"/>
  </r>
  <r>
    <x v="0"/>
    <x v="2"/>
    <x v="2"/>
    <x v="1"/>
    <s v="Específicos"/>
    <x v="2"/>
    <x v="7"/>
    <x v="11"/>
    <x v="14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797808"/>
    <n v="0"/>
    <n v="0"/>
    <n v="797808"/>
    <n v="734973"/>
    <m/>
    <x v="1"/>
    <n v="734973"/>
  </r>
  <r>
    <x v="0"/>
    <x v="2"/>
    <x v="2"/>
    <x v="1"/>
    <s v="Específicos"/>
    <x v="2"/>
    <x v="7"/>
    <x v="11"/>
    <x v="14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45619444"/>
    <n v="0"/>
    <n v="-3612201"/>
    <n v="42007243"/>
    <n v="62475494"/>
    <m/>
    <x v="1"/>
    <n v="62475494"/>
  </r>
  <r>
    <x v="0"/>
    <x v="2"/>
    <x v="2"/>
    <x v="1"/>
    <s v="Específicos"/>
    <x v="2"/>
    <x v="7"/>
    <x v="11"/>
    <x v="14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5000"/>
    <n v="0"/>
    <n v="-5000"/>
    <n v="0"/>
    <n v="573204"/>
    <m/>
    <x v="1"/>
    <n v="573204"/>
  </r>
  <r>
    <x v="0"/>
    <x v="2"/>
    <x v="2"/>
    <x v="1"/>
    <s v="Específicos"/>
    <x v="2"/>
    <x v="7"/>
    <x v="12"/>
    <x v="15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276033"/>
    <n v="0"/>
    <n v="0"/>
    <n v="276033"/>
    <n v="400703"/>
    <m/>
    <x v="1"/>
    <n v="400703"/>
  </r>
  <r>
    <x v="0"/>
    <x v="2"/>
    <x v="2"/>
    <x v="1"/>
    <s v="Específicos"/>
    <x v="2"/>
    <x v="7"/>
    <x v="12"/>
    <x v="15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20517483"/>
    <n v="0"/>
    <n v="-1691325"/>
    <n v="18826158"/>
    <n v="31779945"/>
    <m/>
    <x v="1"/>
    <n v="31779945"/>
  </r>
  <r>
    <x v="0"/>
    <x v="2"/>
    <x v="2"/>
    <x v="1"/>
    <s v="Específicos"/>
    <x v="2"/>
    <x v="7"/>
    <x v="12"/>
    <x v="15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m/>
    <n v="0"/>
    <n v="0"/>
    <m/>
    <n v="318038"/>
    <m/>
    <x v="1"/>
    <n v="318038"/>
  </r>
  <r>
    <x v="0"/>
    <x v="2"/>
    <x v="2"/>
    <x v="1"/>
    <s v="Específicos"/>
    <x v="2"/>
    <x v="7"/>
    <x v="13"/>
    <x v="16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854181"/>
    <n v="0"/>
    <n v="0"/>
    <n v="854181"/>
    <n v="878511"/>
    <m/>
    <x v="1"/>
    <n v="878511"/>
  </r>
  <r>
    <x v="0"/>
    <x v="2"/>
    <x v="2"/>
    <x v="1"/>
    <s v="Específicos"/>
    <x v="2"/>
    <x v="7"/>
    <x v="13"/>
    <x v="16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37259964"/>
    <n v="0"/>
    <n v="-1717551"/>
    <n v="35542413"/>
    <n v="46808925"/>
    <m/>
    <x v="1"/>
    <n v="46808925"/>
  </r>
  <r>
    <x v="0"/>
    <x v="2"/>
    <x v="2"/>
    <x v="1"/>
    <s v="Específicos"/>
    <x v="2"/>
    <x v="7"/>
    <x v="13"/>
    <x v="16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267658"/>
    <n v="0"/>
    <n v="-138301"/>
    <n v="129357"/>
    <n v="125825"/>
    <m/>
    <x v="1"/>
    <n v="125825"/>
  </r>
  <r>
    <x v="0"/>
    <x v="2"/>
    <x v="2"/>
    <x v="1"/>
    <s v="Específicos"/>
    <x v="2"/>
    <x v="7"/>
    <x v="14"/>
    <x v="17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662100"/>
    <n v="0"/>
    <n v="0"/>
    <n v="1662100"/>
    <n v="1567260"/>
    <m/>
    <x v="1"/>
    <n v="1567260"/>
  </r>
  <r>
    <x v="0"/>
    <x v="2"/>
    <x v="2"/>
    <x v="1"/>
    <s v="Específicos"/>
    <x v="2"/>
    <x v="7"/>
    <x v="14"/>
    <x v="17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66335201"/>
    <n v="0"/>
    <n v="-2082017"/>
    <n v="64253184"/>
    <n v="79089247"/>
    <m/>
    <x v="1"/>
    <n v="79089247"/>
  </r>
  <r>
    <x v="0"/>
    <x v="2"/>
    <x v="2"/>
    <x v="1"/>
    <s v="Específicos"/>
    <x v="2"/>
    <x v="7"/>
    <x v="15"/>
    <x v="18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786986"/>
    <n v="0"/>
    <n v="0"/>
    <n v="1786986"/>
    <n v="1723795"/>
    <m/>
    <x v="1"/>
    <n v="1723795"/>
  </r>
  <r>
    <x v="0"/>
    <x v="2"/>
    <x v="2"/>
    <x v="1"/>
    <s v="Específicos"/>
    <x v="2"/>
    <x v="7"/>
    <x v="15"/>
    <x v="18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268134916"/>
    <n v="0"/>
    <n v="-61615553"/>
    <n v="206519363"/>
    <n v="360200386"/>
    <m/>
    <x v="1"/>
    <n v="360200386"/>
  </r>
  <r>
    <x v="0"/>
    <x v="2"/>
    <x v="2"/>
    <x v="1"/>
    <s v="Específicos"/>
    <x v="2"/>
    <x v="7"/>
    <x v="15"/>
    <x v="18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3680000"/>
    <n v="0"/>
    <n v="-2880000"/>
    <n v="800000"/>
    <n v="30710896"/>
    <m/>
    <x v="1"/>
    <n v="30710896"/>
  </r>
  <r>
    <x v="0"/>
    <x v="2"/>
    <x v="2"/>
    <x v="1"/>
    <s v="Específicos"/>
    <x v="2"/>
    <x v="7"/>
    <x v="3"/>
    <x v="19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545732"/>
    <n v="0"/>
    <n v="0"/>
    <n v="545732"/>
    <n v="491909"/>
    <m/>
    <x v="1"/>
    <n v="491909"/>
  </r>
  <r>
    <x v="0"/>
    <x v="2"/>
    <x v="2"/>
    <x v="1"/>
    <s v="Específicos"/>
    <x v="2"/>
    <x v="7"/>
    <x v="3"/>
    <x v="19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39266011"/>
    <n v="0"/>
    <n v="-3472515"/>
    <n v="35793496"/>
    <n v="38994911"/>
    <m/>
    <x v="1"/>
    <n v="38994911"/>
  </r>
  <r>
    <x v="0"/>
    <x v="2"/>
    <x v="2"/>
    <x v="1"/>
    <s v="Específicos"/>
    <x v="2"/>
    <x v="7"/>
    <x v="3"/>
    <x v="19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44000"/>
    <n v="0"/>
    <n v="0"/>
    <n v="44000"/>
    <n v="20000"/>
    <m/>
    <x v="1"/>
    <n v="20000"/>
  </r>
  <r>
    <x v="0"/>
    <x v="2"/>
    <x v="2"/>
    <x v="1"/>
    <s v="Específicos"/>
    <x v="2"/>
    <x v="7"/>
    <x v="16"/>
    <x v="20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476534"/>
    <n v="0"/>
    <n v="0"/>
    <n v="476534"/>
    <n v="490698"/>
    <m/>
    <x v="1"/>
    <n v="490698"/>
  </r>
  <r>
    <x v="0"/>
    <x v="2"/>
    <x v="2"/>
    <x v="1"/>
    <s v="Específicos"/>
    <x v="2"/>
    <x v="7"/>
    <x v="16"/>
    <x v="20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22234367"/>
    <n v="0"/>
    <n v="-1429981"/>
    <n v="20804386"/>
    <n v="33664173"/>
    <m/>
    <x v="1"/>
    <n v="33664173"/>
  </r>
  <r>
    <x v="0"/>
    <x v="2"/>
    <x v="2"/>
    <x v="1"/>
    <s v="Específicos"/>
    <x v="2"/>
    <x v="7"/>
    <x v="16"/>
    <x v="20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m/>
    <n v="0"/>
    <n v="0"/>
    <m/>
    <n v="329722"/>
    <m/>
    <x v="1"/>
    <n v="329722"/>
  </r>
  <r>
    <x v="0"/>
    <x v="2"/>
    <x v="2"/>
    <x v="1"/>
    <s v="Específicos"/>
    <x v="2"/>
    <x v="7"/>
    <x v="17"/>
    <x v="21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m/>
    <m/>
    <m/>
    <m/>
    <n v="166856"/>
    <m/>
    <x v="1"/>
    <n v="166856"/>
  </r>
  <r>
    <x v="0"/>
    <x v="2"/>
    <x v="2"/>
    <x v="1"/>
    <s v="Específicos"/>
    <x v="2"/>
    <x v="7"/>
    <x v="17"/>
    <x v="21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m/>
    <m/>
    <m/>
    <m/>
    <n v="23273604"/>
    <m/>
    <x v="1"/>
    <n v="23273604"/>
  </r>
  <r>
    <x v="0"/>
    <x v="2"/>
    <x v="2"/>
    <x v="1"/>
    <s v="Específicos"/>
    <x v="2"/>
    <x v="7"/>
    <x v="17"/>
    <x v="21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m/>
    <m/>
    <m/>
    <m/>
    <n v="439042"/>
    <m/>
    <x v="1"/>
    <n v="439042"/>
  </r>
  <r>
    <x v="0"/>
    <x v="2"/>
    <x v="2"/>
    <x v="1"/>
    <s v="Específicos"/>
    <x v="2"/>
    <x v="7"/>
    <x v="18"/>
    <x v="22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m/>
    <m/>
    <m/>
    <m/>
    <n v="277925"/>
    <m/>
    <x v="1"/>
    <n v="277925"/>
  </r>
  <r>
    <x v="0"/>
    <x v="2"/>
    <x v="2"/>
    <x v="1"/>
    <s v="Específicos"/>
    <x v="2"/>
    <x v="7"/>
    <x v="18"/>
    <x v="22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m/>
    <m/>
    <m/>
    <m/>
    <n v="38479913"/>
    <m/>
    <x v="1"/>
    <n v="38479913"/>
  </r>
  <r>
    <x v="0"/>
    <x v="2"/>
    <x v="2"/>
    <x v="1"/>
    <s v="Específicos"/>
    <x v="2"/>
    <x v="7"/>
    <x v="18"/>
    <x v="22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m/>
    <m/>
    <m/>
    <m/>
    <n v="2475600"/>
    <m/>
    <x v="1"/>
    <n v="2475600"/>
  </r>
  <r>
    <x v="0"/>
    <x v="2"/>
    <x v="2"/>
    <x v="1"/>
    <s v="Específicos"/>
    <x v="2"/>
    <x v="7"/>
    <x v="0"/>
    <x v="8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4342558"/>
    <n v="0"/>
    <n v="0"/>
    <n v="4342558"/>
    <n v="4958415"/>
    <m/>
    <x v="1"/>
    <n v="4958415"/>
  </r>
  <r>
    <x v="0"/>
    <x v="2"/>
    <x v="2"/>
    <x v="1"/>
    <s v="Específicos"/>
    <x v="2"/>
    <x v="7"/>
    <x v="0"/>
    <x v="8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157147172"/>
    <n v="0"/>
    <n v="-1773008"/>
    <n v="155374164"/>
    <n v="167119065"/>
    <m/>
    <x v="1"/>
    <n v="167119065"/>
  </r>
  <r>
    <x v="0"/>
    <x v="2"/>
    <x v="2"/>
    <x v="1"/>
    <s v="Específicos"/>
    <x v="2"/>
    <x v="7"/>
    <x v="7"/>
    <x v="9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4457755"/>
    <n v="0"/>
    <n v="0"/>
    <n v="14457755"/>
    <n v="15785514"/>
    <m/>
    <x v="1"/>
    <n v="15785514"/>
  </r>
  <r>
    <x v="0"/>
    <x v="2"/>
    <x v="2"/>
    <x v="1"/>
    <s v="Específicos"/>
    <x v="2"/>
    <x v="7"/>
    <x v="7"/>
    <x v="9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458659648"/>
    <n v="0"/>
    <n v="-6738456"/>
    <n v="451921192"/>
    <n v="468812463"/>
    <m/>
    <x v="1"/>
    <n v="468812463"/>
  </r>
  <r>
    <x v="0"/>
    <x v="2"/>
    <x v="2"/>
    <x v="1"/>
    <s v="Específicos"/>
    <x v="2"/>
    <x v="7"/>
    <x v="7"/>
    <x v="9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94985"/>
    <n v="0"/>
    <n v="-28485"/>
    <n v="66500"/>
    <m/>
    <m/>
    <x v="1"/>
    <n v="0"/>
  </r>
  <r>
    <x v="0"/>
    <x v="2"/>
    <x v="2"/>
    <x v="1"/>
    <s v="Específicos"/>
    <x v="3"/>
    <x v="8"/>
    <x v="19"/>
    <x v="23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755020"/>
    <n v="0"/>
    <n v="0"/>
    <n v="1755020"/>
    <n v="1659777"/>
    <m/>
    <x v="1"/>
    <n v="1659777"/>
  </r>
  <r>
    <x v="0"/>
    <x v="2"/>
    <x v="2"/>
    <x v="1"/>
    <s v="Específicos"/>
    <x v="3"/>
    <x v="8"/>
    <x v="19"/>
    <x v="23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77135781"/>
    <n v="0"/>
    <n v="-5173791"/>
    <n v="71961990"/>
    <n v="149437406"/>
    <m/>
    <x v="1"/>
    <n v="149437406"/>
  </r>
  <r>
    <x v="0"/>
    <x v="2"/>
    <x v="2"/>
    <x v="1"/>
    <s v="Específicos"/>
    <x v="3"/>
    <x v="8"/>
    <x v="19"/>
    <x v="23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223157"/>
    <n v="0"/>
    <n v="-6267"/>
    <n v="216890"/>
    <n v="3623054"/>
    <m/>
    <x v="1"/>
    <n v="3623054"/>
  </r>
  <r>
    <x v="0"/>
    <x v="2"/>
    <x v="2"/>
    <x v="1"/>
    <s v="Específicos"/>
    <x v="3"/>
    <x v="8"/>
    <x v="0"/>
    <x v="8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199970"/>
    <n v="0"/>
    <n v="0"/>
    <n v="1199970"/>
    <n v="1363036"/>
    <m/>
    <x v="1"/>
    <n v="1363036"/>
  </r>
  <r>
    <x v="0"/>
    <x v="2"/>
    <x v="2"/>
    <x v="1"/>
    <s v="Específicos"/>
    <x v="3"/>
    <x v="8"/>
    <x v="0"/>
    <x v="8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63909956"/>
    <n v="0"/>
    <n v="-6715280"/>
    <n v="57194676"/>
    <n v="81456027"/>
    <m/>
    <x v="1"/>
    <n v="81456027"/>
  </r>
  <r>
    <x v="0"/>
    <x v="2"/>
    <x v="2"/>
    <x v="1"/>
    <s v="Específicos"/>
    <x v="3"/>
    <x v="8"/>
    <x v="0"/>
    <x v="8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26300"/>
    <n v="0"/>
    <n v="-4089"/>
    <n v="22211"/>
    <m/>
    <m/>
    <x v="1"/>
    <n v="0"/>
  </r>
  <r>
    <x v="0"/>
    <x v="2"/>
    <x v="2"/>
    <x v="1"/>
    <s v="Específicos"/>
    <x v="3"/>
    <x v="8"/>
    <x v="7"/>
    <x v="9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6441218"/>
    <n v="0"/>
    <n v="0"/>
    <n v="6441218"/>
    <n v="6924524"/>
    <m/>
    <x v="1"/>
    <n v="6924524"/>
  </r>
  <r>
    <x v="0"/>
    <x v="2"/>
    <x v="2"/>
    <x v="1"/>
    <s v="Específicos"/>
    <x v="3"/>
    <x v="8"/>
    <x v="7"/>
    <x v="9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216972775"/>
    <n v="0"/>
    <n v="-3928788"/>
    <n v="213043987"/>
    <n v="251915304"/>
    <m/>
    <x v="1"/>
    <n v="251915304"/>
  </r>
  <r>
    <x v="0"/>
    <x v="2"/>
    <x v="2"/>
    <x v="1"/>
    <s v="Específicos"/>
    <x v="3"/>
    <x v="8"/>
    <x v="7"/>
    <x v="9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19585"/>
    <n v="0"/>
    <n v="-9585"/>
    <n v="10000"/>
    <n v="52290"/>
    <m/>
    <x v="1"/>
    <n v="52290"/>
  </r>
  <r>
    <x v="0"/>
    <x v="2"/>
    <x v="2"/>
    <x v="1"/>
    <s v="Específicos"/>
    <x v="4"/>
    <x v="9"/>
    <x v="20"/>
    <x v="24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1"/>
    <m/>
    <x v="0"/>
    <x v="0"/>
    <m/>
    <n v="1630479"/>
    <n v="0"/>
    <n v="0"/>
    <n v="1630479"/>
    <n v="1466322"/>
    <m/>
    <x v="1"/>
    <n v="1466322"/>
  </r>
  <r>
    <x v="0"/>
    <x v="2"/>
    <x v="2"/>
    <x v="1"/>
    <s v="Específicos"/>
    <x v="4"/>
    <x v="9"/>
    <x v="20"/>
    <x v="24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1"/>
    <m/>
    <x v="0"/>
    <x v="0"/>
    <m/>
    <n v="139571671"/>
    <n v="0"/>
    <n v="-8094578"/>
    <n v="131477093"/>
    <n v="260259204"/>
    <m/>
    <x v="1"/>
    <n v="260259204"/>
  </r>
  <r>
    <x v="0"/>
    <x v="2"/>
    <x v="2"/>
    <x v="1"/>
    <s v="Específicos"/>
    <x v="4"/>
    <x v="9"/>
    <x v="20"/>
    <x v="24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1"/>
    <m/>
    <x v="0"/>
    <x v="0"/>
    <m/>
    <n v="328000"/>
    <n v="0"/>
    <n v="-120000"/>
    <n v="208000"/>
    <n v="440840"/>
    <m/>
    <x v="1"/>
    <n v="440840"/>
  </r>
  <r>
    <x v="0"/>
    <x v="2"/>
    <x v="2"/>
    <x v="1"/>
    <s v="Específicos"/>
    <x v="4"/>
    <x v="9"/>
    <x v="0"/>
    <x v="8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263952"/>
    <n v="0"/>
    <n v="0"/>
    <n v="1263952"/>
    <n v="1363866"/>
    <m/>
    <x v="1"/>
    <n v="1363866"/>
  </r>
  <r>
    <x v="0"/>
    <x v="2"/>
    <x v="2"/>
    <x v="1"/>
    <s v="Específicos"/>
    <x v="4"/>
    <x v="9"/>
    <x v="0"/>
    <x v="8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49987080"/>
    <n v="0"/>
    <n v="-1736617"/>
    <n v="48250463"/>
    <n v="48581406"/>
    <m/>
    <x v="1"/>
    <n v="48581406"/>
  </r>
  <r>
    <x v="0"/>
    <x v="2"/>
    <x v="2"/>
    <x v="1"/>
    <s v="Específicos"/>
    <x v="4"/>
    <x v="9"/>
    <x v="0"/>
    <x v="8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330000"/>
    <n v="0"/>
    <n v="-330000"/>
    <n v="0"/>
    <m/>
    <m/>
    <x v="1"/>
    <n v="0"/>
  </r>
  <r>
    <x v="0"/>
    <x v="2"/>
    <x v="2"/>
    <x v="1"/>
    <s v="Específicos"/>
    <x v="4"/>
    <x v="9"/>
    <x v="7"/>
    <x v="9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6462148"/>
    <n v="0"/>
    <n v="0"/>
    <n v="6462148"/>
    <n v="6811768"/>
    <m/>
    <x v="1"/>
    <n v="6811768"/>
  </r>
  <r>
    <x v="0"/>
    <x v="2"/>
    <x v="2"/>
    <x v="1"/>
    <s v="Específicos"/>
    <x v="4"/>
    <x v="9"/>
    <x v="7"/>
    <x v="9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230205874"/>
    <n v="0"/>
    <n v="-6540872"/>
    <n v="223665002"/>
    <n v="224355734"/>
    <m/>
    <x v="1"/>
    <n v="224355734"/>
  </r>
  <r>
    <x v="0"/>
    <x v="2"/>
    <x v="2"/>
    <x v="1"/>
    <s v="Específicos"/>
    <x v="4"/>
    <x v="9"/>
    <x v="7"/>
    <x v="9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2700000"/>
    <n v="0"/>
    <n v="-2700000"/>
    <n v="0"/>
    <n v="2574"/>
    <m/>
    <x v="1"/>
    <n v="2574"/>
  </r>
  <r>
    <x v="0"/>
    <x v="2"/>
    <x v="2"/>
    <x v="1"/>
    <s v="Específicos"/>
    <x v="5"/>
    <x v="10"/>
    <x v="21"/>
    <x v="25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184086"/>
    <n v="0"/>
    <n v="0"/>
    <n v="1184086"/>
    <n v="1115987"/>
    <m/>
    <x v="1"/>
    <n v="1115987"/>
  </r>
  <r>
    <x v="0"/>
    <x v="2"/>
    <x v="2"/>
    <x v="1"/>
    <s v="Específicos"/>
    <x v="5"/>
    <x v="10"/>
    <x v="21"/>
    <x v="25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67940453"/>
    <n v="0"/>
    <n v="-7859245"/>
    <n v="60081208"/>
    <n v="65616744"/>
    <m/>
    <x v="1"/>
    <n v="65616744"/>
  </r>
  <r>
    <x v="0"/>
    <x v="2"/>
    <x v="2"/>
    <x v="1"/>
    <s v="Específicos"/>
    <x v="5"/>
    <x v="10"/>
    <x v="21"/>
    <x v="25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725528"/>
    <n v="0"/>
    <n v="-50528"/>
    <n v="675000"/>
    <n v="35000"/>
    <m/>
    <x v="1"/>
    <n v="35000"/>
  </r>
  <r>
    <x v="0"/>
    <x v="2"/>
    <x v="2"/>
    <x v="1"/>
    <s v="Específicos"/>
    <x v="6"/>
    <x v="11"/>
    <x v="22"/>
    <x v="26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0739981"/>
    <n v="0"/>
    <n v="0"/>
    <n v="10739981"/>
    <n v="10493819"/>
    <m/>
    <x v="1"/>
    <n v="10493819"/>
  </r>
  <r>
    <x v="0"/>
    <x v="2"/>
    <x v="2"/>
    <x v="1"/>
    <s v="Específicos"/>
    <x v="6"/>
    <x v="11"/>
    <x v="22"/>
    <x v="26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735978967"/>
    <n v="0"/>
    <n v="-92181439"/>
    <n v="643797528"/>
    <n v="842454833"/>
    <m/>
    <x v="1"/>
    <n v="842454833"/>
  </r>
  <r>
    <x v="0"/>
    <x v="2"/>
    <x v="2"/>
    <x v="1"/>
    <s v="Específicos"/>
    <x v="6"/>
    <x v="11"/>
    <x v="22"/>
    <x v="26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70444206"/>
    <n v="0"/>
    <n v="-70444206"/>
    <n v="0"/>
    <n v="3212000"/>
    <m/>
    <x v="1"/>
    <n v="3212000"/>
  </r>
  <r>
    <x v="0"/>
    <x v="2"/>
    <x v="2"/>
    <x v="1"/>
    <s v="Específicos"/>
    <x v="6"/>
    <x v="11"/>
    <x v="0"/>
    <x v="8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9467934"/>
    <n v="0"/>
    <n v="0"/>
    <n v="9467934"/>
    <n v="9975090"/>
    <m/>
    <x v="1"/>
    <n v="9975090"/>
  </r>
  <r>
    <x v="0"/>
    <x v="2"/>
    <x v="2"/>
    <x v="1"/>
    <s v="Específicos"/>
    <x v="6"/>
    <x v="11"/>
    <x v="0"/>
    <x v="8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547495282"/>
    <n v="0"/>
    <n v="-92512631"/>
    <n v="454982651"/>
    <n v="343212943"/>
    <m/>
    <x v="1"/>
    <n v="343212943"/>
  </r>
  <r>
    <x v="0"/>
    <x v="2"/>
    <x v="2"/>
    <x v="1"/>
    <s v="Específicos"/>
    <x v="6"/>
    <x v="11"/>
    <x v="0"/>
    <x v="8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21178"/>
    <n v="0"/>
    <n v="-21178"/>
    <n v="0"/>
    <m/>
    <m/>
    <x v="1"/>
    <n v="0"/>
  </r>
  <r>
    <x v="0"/>
    <x v="2"/>
    <x v="2"/>
    <x v="1"/>
    <s v="Específicos"/>
    <x v="6"/>
    <x v="11"/>
    <x v="7"/>
    <x v="9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33378530"/>
    <n v="0"/>
    <n v="0"/>
    <n v="33378530"/>
    <n v="34870131"/>
    <m/>
    <x v="1"/>
    <n v="34870131"/>
  </r>
  <r>
    <x v="0"/>
    <x v="2"/>
    <x v="2"/>
    <x v="1"/>
    <s v="Específicos"/>
    <x v="6"/>
    <x v="11"/>
    <x v="7"/>
    <x v="9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722420635"/>
    <n v="0"/>
    <n v="-26951615"/>
    <n v="695469020"/>
    <n v="1089538855"/>
    <m/>
    <x v="1"/>
    <n v="1089538855"/>
  </r>
  <r>
    <x v="0"/>
    <x v="2"/>
    <x v="2"/>
    <x v="1"/>
    <s v="Específicos"/>
    <x v="6"/>
    <x v="11"/>
    <x v="7"/>
    <x v="9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47085"/>
    <n v="0"/>
    <n v="-22683"/>
    <n v="24402"/>
    <n v="15766"/>
    <m/>
    <x v="1"/>
    <n v="15766"/>
  </r>
  <r>
    <x v="0"/>
    <x v="2"/>
    <x v="2"/>
    <x v="1"/>
    <s v="Específicos"/>
    <x v="7"/>
    <x v="12"/>
    <x v="23"/>
    <x v="27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2907634"/>
    <n v="0"/>
    <n v="0"/>
    <n v="2907634"/>
    <n v="2779597"/>
    <m/>
    <x v="1"/>
    <n v="2779597"/>
  </r>
  <r>
    <x v="0"/>
    <x v="2"/>
    <x v="2"/>
    <x v="1"/>
    <s v="Específicos"/>
    <x v="7"/>
    <x v="12"/>
    <x v="23"/>
    <x v="27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200611839"/>
    <n v="0"/>
    <n v="-13423276"/>
    <n v="187188563"/>
    <n v="135225180"/>
    <m/>
    <x v="1"/>
    <n v="135225180"/>
  </r>
  <r>
    <x v="0"/>
    <x v="2"/>
    <x v="2"/>
    <x v="1"/>
    <s v="Específicos"/>
    <x v="7"/>
    <x v="12"/>
    <x v="23"/>
    <x v="27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0"/>
    <m/>
    <x v="0"/>
    <x v="0"/>
    <m/>
    <n v="2611789"/>
    <n v="0"/>
    <n v="-891789"/>
    <n v="1720000"/>
    <n v="26619464"/>
    <m/>
    <x v="1"/>
    <n v="26619464"/>
  </r>
  <r>
    <x v="0"/>
    <x v="2"/>
    <x v="2"/>
    <x v="1"/>
    <s v="Específicos"/>
    <x v="7"/>
    <x v="12"/>
    <x v="23"/>
    <x v="27"/>
    <n v="1"/>
    <s v="Gobierno"/>
    <n v="4"/>
    <s v="Gobernación"/>
    <n v="1"/>
    <x v="2"/>
    <x v="3"/>
    <x v="5"/>
    <n v="1"/>
    <s v="Gasto corriente"/>
    <x v="0"/>
    <x v="0"/>
    <x v="0"/>
    <x v="0"/>
    <x v="0"/>
    <x v="0"/>
    <x v="0"/>
    <m/>
    <x v="0"/>
    <x v="0"/>
    <m/>
    <n v="3012039788"/>
    <n v="0"/>
    <n v="0"/>
    <n v="3012039788"/>
    <n v="3335562630"/>
    <m/>
    <x v="1"/>
    <n v="3335562630"/>
  </r>
  <r>
    <x v="0"/>
    <x v="2"/>
    <x v="2"/>
    <x v="1"/>
    <s v="Específicos"/>
    <x v="7"/>
    <x v="12"/>
    <x v="0"/>
    <x v="8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660272"/>
    <n v="0"/>
    <n v="0"/>
    <n v="660272"/>
    <n v="459817"/>
    <m/>
    <x v="1"/>
    <n v="459817"/>
  </r>
  <r>
    <x v="0"/>
    <x v="2"/>
    <x v="2"/>
    <x v="1"/>
    <s v="Específicos"/>
    <x v="7"/>
    <x v="12"/>
    <x v="0"/>
    <x v="8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17788369"/>
    <n v="0"/>
    <n v="-326690"/>
    <n v="17461679"/>
    <n v="13150018"/>
    <m/>
    <x v="1"/>
    <n v="13150018"/>
  </r>
  <r>
    <x v="0"/>
    <x v="2"/>
    <x v="2"/>
    <x v="1"/>
    <s v="Específicos"/>
    <x v="7"/>
    <x v="12"/>
    <x v="7"/>
    <x v="9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0"/>
    <m/>
    <x v="0"/>
    <x v="0"/>
    <m/>
    <n v="1747194"/>
    <n v="0"/>
    <n v="0"/>
    <n v="1747194"/>
    <n v="1124185"/>
    <m/>
    <x v="1"/>
    <n v="1124185"/>
  </r>
  <r>
    <x v="0"/>
    <x v="2"/>
    <x v="2"/>
    <x v="1"/>
    <s v="Específicos"/>
    <x v="7"/>
    <x v="12"/>
    <x v="7"/>
    <x v="9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0"/>
    <m/>
    <x v="0"/>
    <x v="0"/>
    <m/>
    <n v="46972098"/>
    <n v="0"/>
    <n v="-1659650"/>
    <n v="45312448"/>
    <n v="28413424"/>
    <m/>
    <x v="1"/>
    <n v="28413424"/>
  </r>
  <r>
    <x v="0"/>
    <x v="2"/>
    <x v="2"/>
    <x v="1"/>
    <s v="Específicos"/>
    <x v="8"/>
    <x v="13"/>
    <x v="24"/>
    <x v="28"/>
    <n v="1"/>
    <s v="Gobierno"/>
    <n v="4"/>
    <s v="Gobernación"/>
    <n v="1"/>
    <x v="2"/>
    <x v="2"/>
    <x v="4"/>
    <n v="1"/>
    <s v="Gasto corriente"/>
    <x v="0"/>
    <x v="1"/>
    <x v="0"/>
    <x v="0"/>
    <x v="0"/>
    <x v="0"/>
    <x v="1"/>
    <m/>
    <x v="0"/>
    <x v="0"/>
    <m/>
    <n v="2816855"/>
    <n v="0"/>
    <n v="0"/>
    <n v="2816855"/>
    <n v="2374204"/>
    <m/>
    <x v="1"/>
    <n v="2374204"/>
  </r>
  <r>
    <x v="0"/>
    <x v="2"/>
    <x v="2"/>
    <x v="1"/>
    <s v="Específicos"/>
    <x v="8"/>
    <x v="13"/>
    <x v="24"/>
    <x v="28"/>
    <n v="1"/>
    <s v="Gobierno"/>
    <n v="4"/>
    <s v="Gobernación"/>
    <n v="1"/>
    <x v="2"/>
    <x v="2"/>
    <x v="4"/>
    <n v="1"/>
    <s v="Gasto corriente"/>
    <x v="0"/>
    <x v="0"/>
    <x v="0"/>
    <x v="0"/>
    <x v="0"/>
    <x v="0"/>
    <x v="1"/>
    <m/>
    <x v="0"/>
    <x v="0"/>
    <m/>
    <n v="125078465"/>
    <n v="0"/>
    <n v="-8549638"/>
    <n v="116528827"/>
    <n v="101879093"/>
    <m/>
    <x v="1"/>
    <n v="101879093"/>
  </r>
  <r>
    <x v="0"/>
    <x v="2"/>
    <x v="2"/>
    <x v="1"/>
    <s v="Específicos"/>
    <x v="8"/>
    <x v="13"/>
    <x v="24"/>
    <x v="28"/>
    <n v="1"/>
    <s v="Gobierno"/>
    <n v="4"/>
    <s v="Gobernación"/>
    <n v="1"/>
    <x v="2"/>
    <x v="2"/>
    <x v="4"/>
    <n v="2"/>
    <s v="Gasto de capital"/>
    <x v="0"/>
    <x v="0"/>
    <x v="0"/>
    <x v="0"/>
    <x v="0"/>
    <x v="0"/>
    <x v="1"/>
    <m/>
    <x v="0"/>
    <x v="0"/>
    <m/>
    <n v="850818"/>
    <n v="0"/>
    <n v="-18767"/>
    <n v="832051"/>
    <n v="91601"/>
    <m/>
    <x v="1"/>
    <n v="91601"/>
  </r>
  <r>
    <x v="0"/>
    <x v="3"/>
    <x v="3"/>
    <x v="4"/>
    <s v="Prestación de Servicios Públicos"/>
    <x v="2"/>
    <x v="14"/>
    <x v="1"/>
    <x v="29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181258"/>
    <n v="0"/>
    <n v="-10260"/>
    <n v="170998"/>
    <n v="197292"/>
    <m/>
    <x v="1"/>
    <n v="197292"/>
  </r>
  <r>
    <x v="0"/>
    <x v="3"/>
    <x v="3"/>
    <x v="4"/>
    <s v="Prestación de Servicios Públicos"/>
    <x v="2"/>
    <x v="14"/>
    <x v="1"/>
    <x v="29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4748203"/>
    <n v="0"/>
    <n v="-1097711"/>
    <n v="13650492"/>
    <n v="15188151"/>
    <m/>
    <x v="1"/>
    <n v="15188151"/>
  </r>
  <r>
    <x v="0"/>
    <x v="3"/>
    <x v="3"/>
    <x v="4"/>
    <s v="Prestación de Servicios Públicos"/>
    <x v="3"/>
    <x v="15"/>
    <x v="15"/>
    <x v="30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711025"/>
    <n v="0"/>
    <n v="-40248"/>
    <n v="670777"/>
    <n v="901541"/>
    <m/>
    <x v="1"/>
    <n v="901541"/>
  </r>
  <r>
    <x v="0"/>
    <x v="3"/>
    <x v="3"/>
    <x v="4"/>
    <s v="Prestación de Servicios Públicos"/>
    <x v="3"/>
    <x v="15"/>
    <x v="15"/>
    <x v="30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28273729"/>
    <n v="0"/>
    <n v="-1587343"/>
    <n v="26686386"/>
    <n v="37616347"/>
    <m/>
    <x v="1"/>
    <n v="37616347"/>
  </r>
  <r>
    <x v="0"/>
    <x v="3"/>
    <x v="3"/>
    <x v="4"/>
    <s v="Prestación de Servicios Públicos"/>
    <x v="4"/>
    <x v="16"/>
    <x v="6"/>
    <x v="31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249667"/>
    <n v="0"/>
    <n v="-14136"/>
    <n v="235531"/>
    <n v="454360"/>
    <m/>
    <x v="1"/>
    <n v="454360"/>
  </r>
  <r>
    <x v="0"/>
    <x v="3"/>
    <x v="3"/>
    <x v="4"/>
    <s v="Prestación de Servicios Públicos"/>
    <x v="4"/>
    <x v="16"/>
    <x v="6"/>
    <x v="31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6965627"/>
    <n v="0"/>
    <n v="-1795232"/>
    <n v="15170395"/>
    <n v="27511803"/>
    <m/>
    <x v="1"/>
    <n v="27511803"/>
  </r>
  <r>
    <x v="0"/>
    <x v="3"/>
    <x v="3"/>
    <x v="4"/>
    <s v="Prestación de Servicios Públicos"/>
    <x v="4"/>
    <x v="16"/>
    <x v="6"/>
    <x v="31"/>
    <n v="1"/>
    <s v="Gobierno"/>
    <n v="6"/>
    <s v="Orden, Seguridad y Justicia"/>
    <n v="5"/>
    <x v="3"/>
    <x v="1"/>
    <x v="6"/>
    <n v="2"/>
    <s v="Gasto de capital"/>
    <x v="0"/>
    <x v="0"/>
    <x v="0"/>
    <x v="0"/>
    <x v="0"/>
    <x v="0"/>
    <x v="0"/>
    <m/>
    <x v="0"/>
    <x v="0"/>
    <m/>
    <n v="39600"/>
    <n v="0"/>
    <n v="-11500"/>
    <n v="28100"/>
    <n v="84000"/>
    <m/>
    <x v="1"/>
    <n v="84000"/>
  </r>
  <r>
    <x v="0"/>
    <x v="3"/>
    <x v="3"/>
    <x v="4"/>
    <s v="Prestación de Servicios Públicos"/>
    <x v="5"/>
    <x v="17"/>
    <x v="2"/>
    <x v="32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1159121"/>
    <n v="0"/>
    <n v="-65605"/>
    <n v="1093516"/>
    <n v="1664856"/>
    <m/>
    <x v="1"/>
    <n v="1664856"/>
  </r>
  <r>
    <x v="0"/>
    <x v="3"/>
    <x v="3"/>
    <x v="4"/>
    <s v="Prestación de Servicios Públicos"/>
    <x v="5"/>
    <x v="17"/>
    <x v="2"/>
    <x v="32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54364307"/>
    <n v="0"/>
    <n v="-3548004"/>
    <n v="50816303"/>
    <n v="78366613"/>
    <m/>
    <x v="1"/>
    <n v="78366613"/>
  </r>
  <r>
    <x v="0"/>
    <x v="3"/>
    <x v="3"/>
    <x v="4"/>
    <s v="Prestación de Servicios Públicos"/>
    <x v="5"/>
    <x v="17"/>
    <x v="9"/>
    <x v="33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1019730"/>
    <n v="0"/>
    <n v="-57721"/>
    <n v="962009"/>
    <n v="1669922"/>
    <m/>
    <x v="1"/>
    <n v="1669922"/>
  </r>
  <r>
    <x v="0"/>
    <x v="3"/>
    <x v="3"/>
    <x v="4"/>
    <s v="Prestación de Servicios Públicos"/>
    <x v="5"/>
    <x v="17"/>
    <x v="9"/>
    <x v="33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49647104"/>
    <n v="0"/>
    <n v="-4208167"/>
    <n v="45438937"/>
    <n v="82491206"/>
    <m/>
    <x v="1"/>
    <n v="82491206"/>
  </r>
  <r>
    <x v="0"/>
    <x v="3"/>
    <x v="3"/>
    <x v="4"/>
    <s v="Prestación de Servicios Públicos"/>
    <x v="5"/>
    <x v="17"/>
    <x v="10"/>
    <x v="34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307496"/>
    <n v="0"/>
    <n v="-17400"/>
    <n v="290096"/>
    <n v="337009"/>
    <m/>
    <x v="1"/>
    <n v="337009"/>
  </r>
  <r>
    <x v="0"/>
    <x v="3"/>
    <x v="3"/>
    <x v="4"/>
    <s v="Prestación de Servicios Públicos"/>
    <x v="5"/>
    <x v="17"/>
    <x v="10"/>
    <x v="34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6297992"/>
    <n v="0"/>
    <n v="-900897"/>
    <n v="15397095"/>
    <n v="16568201"/>
    <m/>
    <x v="1"/>
    <n v="16568201"/>
  </r>
  <r>
    <x v="0"/>
    <x v="3"/>
    <x v="3"/>
    <x v="4"/>
    <s v="Prestación de Servicios Públicos"/>
    <x v="5"/>
    <x v="17"/>
    <x v="11"/>
    <x v="35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390390"/>
    <n v="0"/>
    <n v="-22102"/>
    <n v="368288"/>
    <n v="412380"/>
    <m/>
    <x v="1"/>
    <n v="412380"/>
  </r>
  <r>
    <x v="0"/>
    <x v="3"/>
    <x v="3"/>
    <x v="4"/>
    <s v="Prestación de Servicios Públicos"/>
    <x v="5"/>
    <x v="17"/>
    <x v="11"/>
    <x v="35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21550350"/>
    <n v="0"/>
    <n v="-1458808"/>
    <n v="20091542"/>
    <n v="21833098"/>
    <m/>
    <x v="1"/>
    <n v="21833098"/>
  </r>
  <r>
    <x v="0"/>
    <x v="3"/>
    <x v="3"/>
    <x v="4"/>
    <s v="Prestación de Servicios Públicos"/>
    <x v="5"/>
    <x v="17"/>
    <x v="6"/>
    <x v="31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1384023"/>
    <n v="0"/>
    <n v="-78339"/>
    <n v="1305684"/>
    <n v="2079641"/>
    <m/>
    <x v="1"/>
    <n v="2079641"/>
  </r>
  <r>
    <x v="0"/>
    <x v="3"/>
    <x v="3"/>
    <x v="4"/>
    <s v="Prestación de Servicios Públicos"/>
    <x v="5"/>
    <x v="17"/>
    <x v="6"/>
    <x v="31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74455369"/>
    <n v="0"/>
    <n v="-4655706"/>
    <n v="69799663"/>
    <n v="116846804"/>
    <m/>
    <x v="1"/>
    <n v="116846804"/>
  </r>
  <r>
    <x v="0"/>
    <x v="3"/>
    <x v="3"/>
    <x v="4"/>
    <s v="Prestación de Servicios Públicos"/>
    <x v="5"/>
    <x v="17"/>
    <x v="6"/>
    <x v="31"/>
    <n v="1"/>
    <s v="Gobierno"/>
    <n v="6"/>
    <s v="Orden, Seguridad y Justicia"/>
    <n v="5"/>
    <x v="3"/>
    <x v="1"/>
    <x v="6"/>
    <n v="2"/>
    <s v="Gasto de capital"/>
    <x v="0"/>
    <x v="0"/>
    <x v="0"/>
    <x v="0"/>
    <x v="0"/>
    <x v="0"/>
    <x v="0"/>
    <m/>
    <x v="0"/>
    <x v="0"/>
    <m/>
    <m/>
    <m/>
    <m/>
    <m/>
    <n v="1591000"/>
    <m/>
    <x v="1"/>
    <n v="1591000"/>
  </r>
  <r>
    <x v="0"/>
    <x v="3"/>
    <x v="3"/>
    <x v="4"/>
    <s v="Prestación de Servicios Públicos"/>
    <x v="6"/>
    <x v="18"/>
    <x v="2"/>
    <x v="32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50173"/>
    <n v="0"/>
    <n v="-2833"/>
    <n v="47340"/>
    <n v="51673"/>
    <m/>
    <x v="1"/>
    <n v="51673"/>
  </r>
  <r>
    <x v="0"/>
    <x v="3"/>
    <x v="3"/>
    <x v="4"/>
    <s v="Prestación de Servicios Públicos"/>
    <x v="6"/>
    <x v="18"/>
    <x v="2"/>
    <x v="32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3133072"/>
    <n v="0"/>
    <n v="-417212"/>
    <n v="2715860"/>
    <n v="2901913"/>
    <m/>
    <x v="1"/>
    <n v="2901913"/>
  </r>
  <r>
    <x v="0"/>
    <x v="3"/>
    <x v="3"/>
    <x v="4"/>
    <s v="Prestación de Servicios Públicos"/>
    <x v="6"/>
    <x v="18"/>
    <x v="9"/>
    <x v="33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85689"/>
    <n v="0"/>
    <n v="-4858"/>
    <n v="80831"/>
    <n v="106848"/>
    <m/>
    <x v="1"/>
    <n v="106848"/>
  </r>
  <r>
    <x v="0"/>
    <x v="3"/>
    <x v="3"/>
    <x v="4"/>
    <s v="Prestación de Servicios Públicos"/>
    <x v="6"/>
    <x v="18"/>
    <x v="9"/>
    <x v="33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4223984"/>
    <n v="0"/>
    <n v="-388527"/>
    <n v="3835457"/>
    <n v="4793208"/>
    <m/>
    <x v="1"/>
    <n v="4793208"/>
  </r>
  <r>
    <x v="0"/>
    <x v="3"/>
    <x v="3"/>
    <x v="4"/>
    <s v="Prestación de Servicios Públicos"/>
    <x v="6"/>
    <x v="18"/>
    <x v="10"/>
    <x v="34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44295"/>
    <n v="0"/>
    <n v="-2498"/>
    <n v="41797"/>
    <n v="35415"/>
    <m/>
    <x v="1"/>
    <n v="35415"/>
  </r>
  <r>
    <x v="0"/>
    <x v="3"/>
    <x v="3"/>
    <x v="4"/>
    <s v="Prestación de Servicios Públicos"/>
    <x v="6"/>
    <x v="18"/>
    <x v="10"/>
    <x v="34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872982"/>
    <n v="0"/>
    <n v="-175245"/>
    <n v="1697737"/>
    <n v="1626649"/>
    <m/>
    <x v="1"/>
    <n v="1626649"/>
  </r>
  <r>
    <x v="0"/>
    <x v="3"/>
    <x v="3"/>
    <x v="4"/>
    <s v="Prestación de Servicios Públicos"/>
    <x v="6"/>
    <x v="18"/>
    <x v="11"/>
    <x v="35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26606"/>
    <n v="0"/>
    <n v="-1502"/>
    <n v="25104"/>
    <n v="27312"/>
    <m/>
    <x v="1"/>
    <n v="27312"/>
  </r>
  <r>
    <x v="0"/>
    <x v="3"/>
    <x v="3"/>
    <x v="4"/>
    <s v="Prestación de Servicios Públicos"/>
    <x v="6"/>
    <x v="18"/>
    <x v="11"/>
    <x v="35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342545"/>
    <n v="0"/>
    <n v="-144435"/>
    <n v="1198110"/>
    <n v="1350451"/>
    <m/>
    <x v="1"/>
    <n v="1350451"/>
  </r>
  <r>
    <x v="0"/>
    <x v="3"/>
    <x v="3"/>
    <x v="4"/>
    <s v="Prestación de Servicios Públicos"/>
    <x v="6"/>
    <x v="18"/>
    <x v="6"/>
    <x v="31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45335"/>
    <n v="0"/>
    <n v="-2568"/>
    <n v="42767"/>
    <n v="45913"/>
    <m/>
    <x v="1"/>
    <n v="45913"/>
  </r>
  <r>
    <x v="0"/>
    <x v="3"/>
    <x v="3"/>
    <x v="4"/>
    <s v="Prestación de Servicios Públicos"/>
    <x v="6"/>
    <x v="18"/>
    <x v="6"/>
    <x v="31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2916119"/>
    <n v="0"/>
    <n v="-165071"/>
    <n v="2751048"/>
    <n v="2922866"/>
    <m/>
    <x v="1"/>
    <n v="2922866"/>
  </r>
  <r>
    <x v="0"/>
    <x v="3"/>
    <x v="3"/>
    <x v="4"/>
    <s v="Prestación de Servicios Públicos"/>
    <x v="7"/>
    <x v="19"/>
    <x v="2"/>
    <x v="32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295169"/>
    <n v="0"/>
    <n v="-16705"/>
    <n v="278464"/>
    <n v="255863"/>
    <m/>
    <x v="1"/>
    <n v="255863"/>
  </r>
  <r>
    <x v="0"/>
    <x v="3"/>
    <x v="3"/>
    <x v="4"/>
    <s v="Prestación de Servicios Públicos"/>
    <x v="7"/>
    <x v="19"/>
    <x v="2"/>
    <x v="32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5462750"/>
    <n v="0"/>
    <n v="-1385870"/>
    <n v="14076880"/>
    <n v="13804773"/>
    <m/>
    <x v="1"/>
    <n v="13804773"/>
  </r>
  <r>
    <x v="0"/>
    <x v="3"/>
    <x v="3"/>
    <x v="4"/>
    <s v="Prestación de Servicios Públicos"/>
    <x v="8"/>
    <x v="20"/>
    <x v="2"/>
    <x v="32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238074"/>
    <n v="0"/>
    <n v="-13476"/>
    <n v="224598"/>
    <n v="212749"/>
    <m/>
    <x v="1"/>
    <n v="212749"/>
  </r>
  <r>
    <x v="0"/>
    <x v="3"/>
    <x v="3"/>
    <x v="4"/>
    <s v="Prestación de Servicios Públicos"/>
    <x v="8"/>
    <x v="20"/>
    <x v="2"/>
    <x v="32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1612216"/>
    <n v="0"/>
    <n v="-843123"/>
    <n v="10769093"/>
    <n v="11223172"/>
    <m/>
    <x v="1"/>
    <n v="11223172"/>
  </r>
  <r>
    <x v="0"/>
    <x v="3"/>
    <x v="3"/>
    <x v="4"/>
    <s v="Prestación de Servicios Públicos"/>
    <x v="9"/>
    <x v="21"/>
    <x v="10"/>
    <x v="34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341182"/>
    <n v="0"/>
    <n v="-19320"/>
    <n v="321862"/>
    <n v="268400"/>
    <m/>
    <x v="1"/>
    <n v="268400"/>
  </r>
  <r>
    <x v="0"/>
    <x v="3"/>
    <x v="3"/>
    <x v="4"/>
    <s v="Prestación de Servicios Públicos"/>
    <x v="9"/>
    <x v="21"/>
    <x v="10"/>
    <x v="34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7983209"/>
    <n v="0"/>
    <n v="-1360285"/>
    <n v="16622924"/>
    <n v="14471333"/>
    <m/>
    <x v="1"/>
    <n v="14471333"/>
  </r>
  <r>
    <x v="0"/>
    <x v="3"/>
    <x v="3"/>
    <x v="4"/>
    <s v="Prestación de Servicios Públicos"/>
    <x v="10"/>
    <x v="22"/>
    <x v="10"/>
    <x v="34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n v="38914"/>
    <n v="0"/>
    <n v="-2197"/>
    <n v="36717"/>
    <n v="22128"/>
    <m/>
    <x v="1"/>
    <n v="22128"/>
  </r>
  <r>
    <x v="0"/>
    <x v="3"/>
    <x v="3"/>
    <x v="4"/>
    <s v="Prestación de Servicios Públicos"/>
    <x v="10"/>
    <x v="22"/>
    <x v="10"/>
    <x v="34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n v="1266668"/>
    <n v="0"/>
    <n v="-124776"/>
    <n v="1141892"/>
    <n v="1015181"/>
    <m/>
    <x v="1"/>
    <n v="1015181"/>
  </r>
  <r>
    <x v="0"/>
    <x v="3"/>
    <x v="3"/>
    <x v="4"/>
    <s v="Prestación de Servicios Públicos"/>
    <x v="11"/>
    <x v="23"/>
    <x v="11"/>
    <x v="35"/>
    <n v="1"/>
    <s v="Gobierno"/>
    <n v="6"/>
    <s v="Orden, Seguridad y Justicia"/>
    <n v="5"/>
    <x v="3"/>
    <x v="1"/>
    <x v="6"/>
    <n v="1"/>
    <s v="Gasto corriente"/>
    <x v="0"/>
    <x v="1"/>
    <x v="1"/>
    <x v="0"/>
    <x v="0"/>
    <x v="0"/>
    <x v="0"/>
    <m/>
    <x v="0"/>
    <x v="0"/>
    <m/>
    <n v="25873"/>
    <n v="0"/>
    <n v="0"/>
    <n v="25873"/>
    <n v="25632"/>
    <m/>
    <x v="1"/>
    <n v="25632"/>
  </r>
  <r>
    <x v="0"/>
    <x v="3"/>
    <x v="3"/>
    <x v="4"/>
    <s v="Prestación de Servicios Públicos"/>
    <x v="11"/>
    <x v="23"/>
    <x v="11"/>
    <x v="35"/>
    <n v="1"/>
    <s v="Gobierno"/>
    <n v="6"/>
    <s v="Orden, Seguridad y Justicia"/>
    <n v="5"/>
    <x v="3"/>
    <x v="1"/>
    <x v="6"/>
    <n v="1"/>
    <s v="Gasto corriente"/>
    <x v="0"/>
    <x v="0"/>
    <x v="1"/>
    <x v="0"/>
    <x v="0"/>
    <x v="0"/>
    <x v="0"/>
    <m/>
    <x v="0"/>
    <x v="0"/>
    <m/>
    <n v="1658579"/>
    <n v="0"/>
    <n v="0"/>
    <n v="1658579"/>
    <n v="1819349"/>
    <m/>
    <x v="1"/>
    <n v="1819349"/>
  </r>
  <r>
    <x v="0"/>
    <x v="3"/>
    <x v="3"/>
    <x v="4"/>
    <s v="Prestación de Servicios Públicos"/>
    <x v="12"/>
    <x v="24"/>
    <x v="2"/>
    <x v="32"/>
    <n v="1"/>
    <s v="Gobierno"/>
    <n v="6"/>
    <s v="Orden, Seguridad y Justicia"/>
    <n v="5"/>
    <x v="3"/>
    <x v="0"/>
    <x v="7"/>
    <n v="1"/>
    <s v="Gasto corriente"/>
    <x v="0"/>
    <x v="1"/>
    <x v="0"/>
    <x v="0"/>
    <x v="0"/>
    <x v="0"/>
    <x v="0"/>
    <m/>
    <x v="0"/>
    <x v="0"/>
    <m/>
    <n v="87194"/>
    <n v="0"/>
    <n v="0"/>
    <n v="87194"/>
    <n v="86387"/>
    <m/>
    <x v="1"/>
    <n v="86387"/>
  </r>
  <r>
    <x v="0"/>
    <x v="3"/>
    <x v="3"/>
    <x v="4"/>
    <s v="Prestación de Servicios Públicos"/>
    <x v="12"/>
    <x v="24"/>
    <x v="2"/>
    <x v="32"/>
    <n v="1"/>
    <s v="Gobierno"/>
    <n v="6"/>
    <s v="Orden, Seguridad y Justicia"/>
    <n v="5"/>
    <x v="3"/>
    <x v="0"/>
    <x v="7"/>
    <n v="1"/>
    <s v="Gasto corriente"/>
    <x v="0"/>
    <x v="0"/>
    <x v="0"/>
    <x v="0"/>
    <x v="0"/>
    <x v="0"/>
    <x v="0"/>
    <m/>
    <x v="0"/>
    <x v="0"/>
    <m/>
    <n v="4135673"/>
    <n v="0"/>
    <n v="0"/>
    <n v="4135673"/>
    <n v="3696053"/>
    <m/>
    <x v="1"/>
    <n v="3696053"/>
  </r>
  <r>
    <x v="0"/>
    <x v="3"/>
    <x v="3"/>
    <x v="4"/>
    <s v="Prestación de Servicios Públicos"/>
    <x v="13"/>
    <x v="25"/>
    <x v="2"/>
    <x v="32"/>
    <n v="1"/>
    <s v="Gobierno"/>
    <n v="6"/>
    <s v="Orden, Seguridad y Justicia"/>
    <n v="5"/>
    <x v="3"/>
    <x v="0"/>
    <x v="7"/>
    <n v="1"/>
    <s v="Gasto corriente"/>
    <x v="0"/>
    <x v="1"/>
    <x v="0"/>
    <x v="0"/>
    <x v="0"/>
    <x v="0"/>
    <x v="0"/>
    <m/>
    <x v="0"/>
    <x v="0"/>
    <m/>
    <n v="65212"/>
    <n v="0"/>
    <n v="-3686"/>
    <n v="61526"/>
    <n v="47051"/>
    <m/>
    <x v="1"/>
    <n v="47051"/>
  </r>
  <r>
    <x v="0"/>
    <x v="3"/>
    <x v="3"/>
    <x v="4"/>
    <s v="Prestación de Servicios Públicos"/>
    <x v="13"/>
    <x v="25"/>
    <x v="2"/>
    <x v="32"/>
    <n v="1"/>
    <s v="Gobierno"/>
    <n v="6"/>
    <s v="Orden, Seguridad y Justicia"/>
    <n v="5"/>
    <x v="3"/>
    <x v="0"/>
    <x v="7"/>
    <n v="1"/>
    <s v="Gasto corriente"/>
    <x v="0"/>
    <x v="0"/>
    <x v="0"/>
    <x v="0"/>
    <x v="0"/>
    <x v="0"/>
    <x v="0"/>
    <m/>
    <x v="0"/>
    <x v="0"/>
    <m/>
    <n v="3441976"/>
    <n v="0"/>
    <n v="-544004"/>
    <n v="2897972"/>
    <n v="2683027"/>
    <m/>
    <x v="1"/>
    <n v="2683027"/>
  </r>
  <r>
    <x v="0"/>
    <x v="3"/>
    <x v="3"/>
    <x v="4"/>
    <s v="Prestación de Servicios Públicos"/>
    <x v="14"/>
    <x v="26"/>
    <x v="9"/>
    <x v="33"/>
    <n v="1"/>
    <s v="Gobierno"/>
    <n v="6"/>
    <s v="Orden, Seguridad y Justicia"/>
    <n v="5"/>
    <x v="3"/>
    <x v="0"/>
    <x v="7"/>
    <n v="1"/>
    <s v="Gasto corriente"/>
    <x v="0"/>
    <x v="1"/>
    <x v="0"/>
    <x v="0"/>
    <x v="0"/>
    <x v="0"/>
    <x v="1"/>
    <m/>
    <x v="0"/>
    <x v="0"/>
    <m/>
    <n v="160063"/>
    <n v="0"/>
    <n v="0"/>
    <n v="160063"/>
    <n v="200120"/>
    <m/>
    <x v="1"/>
    <n v="200120"/>
  </r>
  <r>
    <x v="0"/>
    <x v="3"/>
    <x v="3"/>
    <x v="4"/>
    <s v="Prestación de Servicios Públicos"/>
    <x v="14"/>
    <x v="26"/>
    <x v="9"/>
    <x v="33"/>
    <n v="1"/>
    <s v="Gobierno"/>
    <n v="6"/>
    <s v="Orden, Seguridad y Justicia"/>
    <n v="5"/>
    <x v="3"/>
    <x v="0"/>
    <x v="7"/>
    <n v="1"/>
    <s v="Gasto corriente"/>
    <x v="0"/>
    <x v="0"/>
    <x v="0"/>
    <x v="0"/>
    <x v="0"/>
    <x v="0"/>
    <x v="1"/>
    <m/>
    <x v="0"/>
    <x v="0"/>
    <m/>
    <n v="12848823"/>
    <n v="0"/>
    <n v="0"/>
    <n v="12848823"/>
    <n v="15257753"/>
    <m/>
    <x v="1"/>
    <n v="15257753"/>
  </r>
  <r>
    <x v="0"/>
    <x v="3"/>
    <x v="3"/>
    <x v="4"/>
    <s v="Prestación de Servicios Públicos"/>
    <x v="15"/>
    <x v="27"/>
    <x v="6"/>
    <x v="31"/>
    <n v="1"/>
    <s v="Gobierno"/>
    <n v="6"/>
    <s v="Orden, Seguridad y Justicia"/>
    <n v="5"/>
    <x v="3"/>
    <x v="0"/>
    <x v="7"/>
    <n v="1"/>
    <s v="Gasto corriente"/>
    <x v="0"/>
    <x v="1"/>
    <x v="0"/>
    <x v="0"/>
    <x v="0"/>
    <x v="0"/>
    <x v="0"/>
    <m/>
    <x v="0"/>
    <x v="0"/>
    <m/>
    <n v="279860"/>
    <n v="0"/>
    <n v="-15841"/>
    <n v="264019"/>
    <n v="155388"/>
    <m/>
    <x v="1"/>
    <n v="155388"/>
  </r>
  <r>
    <x v="0"/>
    <x v="3"/>
    <x v="3"/>
    <x v="4"/>
    <s v="Prestación de Servicios Públicos"/>
    <x v="15"/>
    <x v="27"/>
    <x v="6"/>
    <x v="31"/>
    <n v="1"/>
    <s v="Gobierno"/>
    <n v="6"/>
    <s v="Orden, Seguridad y Justicia"/>
    <n v="5"/>
    <x v="3"/>
    <x v="0"/>
    <x v="7"/>
    <n v="1"/>
    <s v="Gasto corriente"/>
    <x v="0"/>
    <x v="0"/>
    <x v="0"/>
    <x v="0"/>
    <x v="0"/>
    <x v="0"/>
    <x v="0"/>
    <m/>
    <x v="0"/>
    <x v="0"/>
    <m/>
    <n v="22599601"/>
    <n v="0"/>
    <n v="-4205271"/>
    <n v="18394330"/>
    <n v="10332949"/>
    <m/>
    <x v="1"/>
    <n v="10332949"/>
  </r>
  <r>
    <x v="0"/>
    <x v="3"/>
    <x v="3"/>
    <x v="4"/>
    <s v="Prestación de Servicios Públicos"/>
    <x v="16"/>
    <x v="28"/>
    <x v="12"/>
    <x v="36"/>
    <n v="1"/>
    <s v="Gobierno"/>
    <n v="6"/>
    <s v="Orden, Seguridad y Justicia"/>
    <n v="5"/>
    <x v="3"/>
    <x v="0"/>
    <x v="7"/>
    <n v="1"/>
    <s v="Gasto corriente"/>
    <x v="0"/>
    <x v="1"/>
    <x v="0"/>
    <x v="0"/>
    <x v="0"/>
    <x v="0"/>
    <x v="0"/>
    <m/>
    <x v="0"/>
    <x v="0"/>
    <m/>
    <n v="826640"/>
    <n v="0"/>
    <n v="-46788"/>
    <n v="779852"/>
    <n v="800012"/>
    <m/>
    <x v="1"/>
    <n v="800012"/>
  </r>
  <r>
    <x v="0"/>
    <x v="3"/>
    <x v="3"/>
    <x v="4"/>
    <s v="Prestación de Servicios Públicos"/>
    <x v="16"/>
    <x v="28"/>
    <x v="12"/>
    <x v="36"/>
    <n v="1"/>
    <s v="Gobierno"/>
    <n v="6"/>
    <s v="Orden, Seguridad y Justicia"/>
    <n v="5"/>
    <x v="3"/>
    <x v="0"/>
    <x v="7"/>
    <n v="1"/>
    <s v="Gasto corriente"/>
    <x v="0"/>
    <x v="0"/>
    <x v="0"/>
    <x v="0"/>
    <x v="0"/>
    <x v="0"/>
    <x v="0"/>
    <m/>
    <x v="0"/>
    <x v="0"/>
    <m/>
    <n v="50410763"/>
    <n v="0"/>
    <n v="-6263740"/>
    <n v="44147023"/>
    <n v="45182697"/>
    <m/>
    <x v="1"/>
    <n v="45182697"/>
  </r>
  <r>
    <x v="0"/>
    <x v="3"/>
    <x v="3"/>
    <x v="4"/>
    <s v="Prestación de Servicios Públicos"/>
    <x v="17"/>
    <x v="29"/>
    <x v="13"/>
    <x v="13"/>
    <n v="1"/>
    <s v="Gobierno"/>
    <n v="6"/>
    <s v="Orden, Seguridad y Justicia"/>
    <n v="5"/>
    <x v="3"/>
    <x v="0"/>
    <x v="7"/>
    <n v="1"/>
    <s v="Gasto corriente"/>
    <x v="0"/>
    <x v="1"/>
    <x v="0"/>
    <x v="0"/>
    <x v="0"/>
    <x v="0"/>
    <x v="0"/>
    <m/>
    <x v="0"/>
    <x v="0"/>
    <m/>
    <n v="565900"/>
    <n v="0"/>
    <n v="-32028"/>
    <n v="533872"/>
    <n v="558593"/>
    <m/>
    <x v="1"/>
    <n v="558593"/>
  </r>
  <r>
    <x v="0"/>
    <x v="3"/>
    <x v="3"/>
    <x v="4"/>
    <s v="Prestación de Servicios Públicos"/>
    <x v="17"/>
    <x v="29"/>
    <x v="13"/>
    <x v="13"/>
    <n v="1"/>
    <s v="Gobierno"/>
    <n v="6"/>
    <s v="Orden, Seguridad y Justicia"/>
    <n v="5"/>
    <x v="3"/>
    <x v="0"/>
    <x v="7"/>
    <n v="1"/>
    <s v="Gasto corriente"/>
    <x v="0"/>
    <x v="0"/>
    <x v="0"/>
    <x v="0"/>
    <x v="0"/>
    <x v="0"/>
    <x v="0"/>
    <m/>
    <x v="0"/>
    <x v="0"/>
    <m/>
    <n v="30469778"/>
    <n v="0"/>
    <n v="-2052417"/>
    <n v="28417361"/>
    <n v="29801521"/>
    <m/>
    <x v="1"/>
    <n v="29801521"/>
  </r>
  <r>
    <x v="0"/>
    <x v="3"/>
    <x v="3"/>
    <x v="4"/>
    <s v="Prestación de Servicios Públicos"/>
    <x v="18"/>
    <x v="30"/>
    <x v="8"/>
    <x v="37"/>
    <n v="1"/>
    <s v="Gobierno"/>
    <n v="6"/>
    <s v="Orden, Seguridad y Justicia"/>
    <n v="5"/>
    <x v="3"/>
    <x v="0"/>
    <x v="7"/>
    <n v="1"/>
    <s v="Gasto corriente"/>
    <x v="0"/>
    <x v="1"/>
    <x v="0"/>
    <x v="0"/>
    <x v="0"/>
    <x v="0"/>
    <x v="0"/>
    <m/>
    <x v="0"/>
    <x v="0"/>
    <m/>
    <n v="530822"/>
    <n v="0"/>
    <n v="-30049"/>
    <n v="500773"/>
    <n v="526193"/>
    <m/>
    <x v="1"/>
    <n v="526193"/>
  </r>
  <r>
    <x v="0"/>
    <x v="3"/>
    <x v="3"/>
    <x v="4"/>
    <s v="Prestación de Servicios Públicos"/>
    <x v="18"/>
    <x v="30"/>
    <x v="8"/>
    <x v="37"/>
    <n v="1"/>
    <s v="Gobierno"/>
    <n v="6"/>
    <s v="Orden, Seguridad y Justicia"/>
    <n v="5"/>
    <x v="3"/>
    <x v="0"/>
    <x v="7"/>
    <n v="1"/>
    <s v="Gasto corriente"/>
    <x v="0"/>
    <x v="0"/>
    <x v="0"/>
    <x v="0"/>
    <x v="0"/>
    <x v="0"/>
    <x v="0"/>
    <m/>
    <x v="0"/>
    <x v="0"/>
    <m/>
    <n v="40437616"/>
    <n v="0"/>
    <n v="-2066086"/>
    <n v="38371530"/>
    <n v="39625325"/>
    <m/>
    <x v="1"/>
    <n v="39625325"/>
  </r>
  <r>
    <x v="0"/>
    <x v="3"/>
    <x v="3"/>
    <x v="4"/>
    <s v="Prestación de Servicios Públicos"/>
    <x v="19"/>
    <x v="31"/>
    <x v="14"/>
    <x v="38"/>
    <n v="1"/>
    <s v="Gobierno"/>
    <n v="6"/>
    <s v="Orden, Seguridad y Justicia"/>
    <n v="5"/>
    <x v="3"/>
    <x v="0"/>
    <x v="7"/>
    <n v="1"/>
    <s v="Gasto corriente"/>
    <x v="0"/>
    <x v="1"/>
    <x v="0"/>
    <x v="0"/>
    <x v="0"/>
    <x v="0"/>
    <x v="0"/>
    <m/>
    <x v="0"/>
    <x v="0"/>
    <m/>
    <n v="675744"/>
    <n v="0"/>
    <n v="-38246"/>
    <n v="637498"/>
    <n v="678492"/>
    <m/>
    <x v="1"/>
    <n v="678492"/>
  </r>
  <r>
    <x v="0"/>
    <x v="3"/>
    <x v="3"/>
    <x v="4"/>
    <s v="Prestación de Servicios Públicos"/>
    <x v="19"/>
    <x v="31"/>
    <x v="14"/>
    <x v="38"/>
    <n v="1"/>
    <s v="Gobierno"/>
    <n v="6"/>
    <s v="Orden, Seguridad y Justicia"/>
    <n v="5"/>
    <x v="3"/>
    <x v="0"/>
    <x v="7"/>
    <n v="1"/>
    <s v="Gasto corriente"/>
    <x v="0"/>
    <x v="0"/>
    <x v="0"/>
    <x v="0"/>
    <x v="0"/>
    <x v="0"/>
    <x v="0"/>
    <m/>
    <x v="0"/>
    <x v="0"/>
    <m/>
    <n v="42763924"/>
    <n v="0"/>
    <n v="-1732957"/>
    <n v="41030967"/>
    <n v="43260159"/>
    <m/>
    <x v="1"/>
    <n v="43260159"/>
  </r>
  <r>
    <x v="0"/>
    <x v="3"/>
    <x v="3"/>
    <x v="4"/>
    <s v="Prestación de Servicios Públicos"/>
    <x v="20"/>
    <x v="32"/>
    <x v="11"/>
    <x v="35"/>
    <n v="1"/>
    <s v="Gobierno"/>
    <n v="6"/>
    <s v="Orden, Seguridad y Justicia"/>
    <n v="5"/>
    <x v="3"/>
    <x v="0"/>
    <x v="7"/>
    <n v="1"/>
    <s v="Gasto corriente"/>
    <x v="0"/>
    <x v="1"/>
    <x v="1"/>
    <x v="0"/>
    <x v="0"/>
    <x v="0"/>
    <x v="0"/>
    <m/>
    <x v="0"/>
    <x v="0"/>
    <m/>
    <n v="60912"/>
    <n v="0"/>
    <n v="0"/>
    <n v="60912"/>
    <n v="60347"/>
    <m/>
    <x v="1"/>
    <n v="60347"/>
  </r>
  <r>
    <x v="0"/>
    <x v="3"/>
    <x v="3"/>
    <x v="4"/>
    <s v="Prestación de Servicios Públicos"/>
    <x v="20"/>
    <x v="32"/>
    <x v="11"/>
    <x v="35"/>
    <n v="1"/>
    <s v="Gobierno"/>
    <n v="6"/>
    <s v="Orden, Seguridad y Justicia"/>
    <n v="5"/>
    <x v="3"/>
    <x v="0"/>
    <x v="7"/>
    <n v="1"/>
    <s v="Gasto corriente"/>
    <x v="0"/>
    <x v="0"/>
    <x v="1"/>
    <x v="0"/>
    <x v="0"/>
    <x v="0"/>
    <x v="0"/>
    <m/>
    <x v="0"/>
    <x v="0"/>
    <m/>
    <n v="5586241"/>
    <n v="0"/>
    <n v="0"/>
    <n v="5586241"/>
    <n v="5193537"/>
    <m/>
    <x v="1"/>
    <n v="5193537"/>
  </r>
  <r>
    <x v="0"/>
    <x v="3"/>
    <x v="3"/>
    <x v="4"/>
    <s v="Prestación de Servicios Públicos"/>
    <x v="21"/>
    <x v="33"/>
    <x v="10"/>
    <x v="34"/>
    <n v="1"/>
    <s v="Gobierno"/>
    <n v="6"/>
    <s v="Orden, Seguridad y Justicia"/>
    <n v="5"/>
    <x v="3"/>
    <x v="1"/>
    <x v="6"/>
    <n v="1"/>
    <s v="Gasto corriente"/>
    <x v="0"/>
    <x v="1"/>
    <x v="0"/>
    <x v="0"/>
    <x v="0"/>
    <x v="0"/>
    <x v="0"/>
    <m/>
    <x v="0"/>
    <x v="0"/>
    <m/>
    <m/>
    <m/>
    <m/>
    <m/>
    <n v="59568"/>
    <m/>
    <x v="1"/>
    <n v="59568"/>
  </r>
  <r>
    <x v="0"/>
    <x v="3"/>
    <x v="3"/>
    <x v="4"/>
    <s v="Prestación de Servicios Públicos"/>
    <x v="21"/>
    <x v="33"/>
    <x v="10"/>
    <x v="34"/>
    <n v="1"/>
    <s v="Gobierno"/>
    <n v="6"/>
    <s v="Orden, Seguridad y Justicia"/>
    <n v="5"/>
    <x v="3"/>
    <x v="1"/>
    <x v="6"/>
    <n v="1"/>
    <s v="Gasto corriente"/>
    <x v="0"/>
    <x v="0"/>
    <x v="0"/>
    <x v="0"/>
    <x v="0"/>
    <x v="0"/>
    <x v="0"/>
    <m/>
    <x v="0"/>
    <x v="0"/>
    <m/>
    <m/>
    <m/>
    <m/>
    <m/>
    <n v="3667154"/>
    <m/>
    <x v="1"/>
    <n v="3667154"/>
  </r>
  <r>
    <x v="0"/>
    <x v="3"/>
    <x v="3"/>
    <x v="2"/>
    <s v="Apoyo al proceso presupuestario y para mejorar la eficiencia institucional"/>
    <x v="2"/>
    <x v="34"/>
    <x v="23"/>
    <x v="39"/>
    <n v="1"/>
    <s v="Gobierno"/>
    <n v="6"/>
    <s v="Orden, Seguridad y Justicia"/>
    <n v="5"/>
    <x v="3"/>
    <x v="3"/>
    <x v="8"/>
    <n v="1"/>
    <s v="Gasto corriente"/>
    <x v="0"/>
    <x v="1"/>
    <x v="0"/>
    <x v="0"/>
    <x v="0"/>
    <x v="0"/>
    <x v="0"/>
    <m/>
    <x v="0"/>
    <x v="0"/>
    <m/>
    <n v="2451948"/>
    <n v="0"/>
    <n v="-138785"/>
    <n v="2313163"/>
    <n v="2395776"/>
    <m/>
    <x v="1"/>
    <n v="2395776"/>
  </r>
  <r>
    <x v="0"/>
    <x v="3"/>
    <x v="3"/>
    <x v="2"/>
    <s v="Apoyo al proceso presupuestario y para mejorar la eficiencia institucional"/>
    <x v="2"/>
    <x v="34"/>
    <x v="23"/>
    <x v="39"/>
    <n v="1"/>
    <s v="Gobierno"/>
    <n v="6"/>
    <s v="Orden, Seguridad y Justicia"/>
    <n v="5"/>
    <x v="3"/>
    <x v="3"/>
    <x v="8"/>
    <n v="1"/>
    <s v="Gasto corriente"/>
    <x v="0"/>
    <x v="0"/>
    <x v="0"/>
    <x v="0"/>
    <x v="0"/>
    <x v="0"/>
    <x v="0"/>
    <m/>
    <x v="0"/>
    <x v="0"/>
    <m/>
    <n v="334171723"/>
    <n v="0"/>
    <n v="-32097789"/>
    <n v="302073934"/>
    <n v="333974049"/>
    <m/>
    <x v="1"/>
    <n v="333974049"/>
  </r>
  <r>
    <x v="0"/>
    <x v="3"/>
    <x v="3"/>
    <x v="2"/>
    <s v="Apoyo al proceso presupuestario y para mejorar la eficiencia institucional"/>
    <x v="2"/>
    <x v="34"/>
    <x v="23"/>
    <x v="39"/>
    <n v="1"/>
    <s v="Gobierno"/>
    <n v="6"/>
    <s v="Orden, Seguridad y Justicia"/>
    <n v="5"/>
    <x v="3"/>
    <x v="3"/>
    <x v="8"/>
    <n v="2"/>
    <s v="Gasto de capital"/>
    <x v="0"/>
    <x v="0"/>
    <x v="0"/>
    <x v="0"/>
    <x v="0"/>
    <x v="0"/>
    <x v="0"/>
    <m/>
    <x v="0"/>
    <x v="0"/>
    <m/>
    <n v="30327000"/>
    <n v="0"/>
    <n v="-21941000"/>
    <n v="8386000"/>
    <n v="40788937"/>
    <m/>
    <x v="1"/>
    <n v="40788937"/>
  </r>
  <r>
    <x v="0"/>
    <x v="3"/>
    <x v="3"/>
    <x v="3"/>
    <s v="Apoyo a la función pública y al mejoramiento de la gestión"/>
    <x v="2"/>
    <x v="35"/>
    <x v="19"/>
    <x v="40"/>
    <n v="1"/>
    <s v="Gobierno"/>
    <n v="6"/>
    <s v="Orden, Seguridad y Justicia"/>
    <n v="5"/>
    <x v="3"/>
    <x v="2"/>
    <x v="9"/>
    <n v="1"/>
    <s v="Gasto corriente"/>
    <x v="0"/>
    <x v="1"/>
    <x v="0"/>
    <x v="0"/>
    <x v="0"/>
    <x v="0"/>
    <x v="0"/>
    <m/>
    <x v="0"/>
    <x v="0"/>
    <m/>
    <n v="476519"/>
    <n v="0"/>
    <n v="-26974"/>
    <n v="449545"/>
    <n v="470918"/>
    <m/>
    <x v="1"/>
    <n v="470918"/>
  </r>
  <r>
    <x v="0"/>
    <x v="3"/>
    <x v="3"/>
    <x v="3"/>
    <s v="Apoyo a la función pública y al mejoramiento de la gestión"/>
    <x v="2"/>
    <x v="35"/>
    <x v="19"/>
    <x v="40"/>
    <n v="1"/>
    <s v="Gobierno"/>
    <n v="6"/>
    <s v="Orden, Seguridad y Justicia"/>
    <n v="5"/>
    <x v="3"/>
    <x v="2"/>
    <x v="9"/>
    <n v="1"/>
    <s v="Gasto corriente"/>
    <x v="0"/>
    <x v="0"/>
    <x v="0"/>
    <x v="0"/>
    <x v="0"/>
    <x v="0"/>
    <x v="0"/>
    <m/>
    <x v="0"/>
    <x v="0"/>
    <m/>
    <n v="25519351"/>
    <n v="0"/>
    <n v="-1206806"/>
    <n v="24312545"/>
    <n v="25380608"/>
    <m/>
    <x v="1"/>
    <n v="25380608"/>
  </r>
  <r>
    <x v="0"/>
    <x v="3"/>
    <x v="3"/>
    <x v="5"/>
    <s v="Planeación, seguimiento y evaluación de políticas públicas"/>
    <x v="22"/>
    <x v="36"/>
    <x v="3"/>
    <x v="41"/>
    <n v="1"/>
    <s v="Gobierno"/>
    <n v="6"/>
    <s v="Orden, Seguridad y Justicia"/>
    <n v="5"/>
    <x v="3"/>
    <x v="4"/>
    <x v="10"/>
    <n v="1"/>
    <s v="Gasto corriente"/>
    <x v="0"/>
    <x v="1"/>
    <x v="0"/>
    <x v="0"/>
    <x v="0"/>
    <x v="0"/>
    <x v="0"/>
    <m/>
    <x v="0"/>
    <x v="0"/>
    <m/>
    <n v="225630"/>
    <n v="0"/>
    <n v="-12768"/>
    <n v="212862"/>
    <n v="205619"/>
    <m/>
    <x v="1"/>
    <n v="205619"/>
  </r>
  <r>
    <x v="0"/>
    <x v="3"/>
    <x v="3"/>
    <x v="5"/>
    <s v="Planeación, seguimiento y evaluación de políticas públicas"/>
    <x v="22"/>
    <x v="36"/>
    <x v="3"/>
    <x v="41"/>
    <n v="1"/>
    <s v="Gobierno"/>
    <n v="6"/>
    <s v="Orden, Seguridad y Justicia"/>
    <n v="5"/>
    <x v="3"/>
    <x v="4"/>
    <x v="10"/>
    <n v="1"/>
    <s v="Gasto corriente"/>
    <x v="0"/>
    <x v="0"/>
    <x v="0"/>
    <x v="0"/>
    <x v="0"/>
    <x v="0"/>
    <x v="0"/>
    <m/>
    <x v="0"/>
    <x v="0"/>
    <m/>
    <n v="13031357"/>
    <n v="0"/>
    <n v="-1190833"/>
    <n v="11840524"/>
    <n v="12161502"/>
    <m/>
    <x v="1"/>
    <n v="12161502"/>
  </r>
  <r>
    <x v="0"/>
    <x v="3"/>
    <x v="3"/>
    <x v="1"/>
    <s v="Específicos"/>
    <x v="23"/>
    <x v="37"/>
    <x v="22"/>
    <x v="42"/>
    <n v="1"/>
    <s v="Gobierno"/>
    <n v="6"/>
    <s v="Orden, Seguridad y Justicia"/>
    <n v="5"/>
    <x v="3"/>
    <x v="4"/>
    <x v="10"/>
    <n v="1"/>
    <s v="Gasto corriente"/>
    <x v="0"/>
    <x v="1"/>
    <x v="0"/>
    <x v="0"/>
    <x v="0"/>
    <x v="0"/>
    <x v="0"/>
    <m/>
    <x v="0"/>
    <x v="0"/>
    <m/>
    <n v="290509"/>
    <n v="0"/>
    <n v="-16441"/>
    <n v="274068"/>
    <n v="266060"/>
    <m/>
    <x v="1"/>
    <n v="266060"/>
  </r>
  <r>
    <x v="0"/>
    <x v="3"/>
    <x v="3"/>
    <x v="1"/>
    <s v="Específicos"/>
    <x v="23"/>
    <x v="37"/>
    <x v="22"/>
    <x v="42"/>
    <n v="1"/>
    <s v="Gobierno"/>
    <n v="6"/>
    <s v="Orden, Seguridad y Justicia"/>
    <n v="5"/>
    <x v="3"/>
    <x v="4"/>
    <x v="10"/>
    <n v="1"/>
    <s v="Gasto corriente"/>
    <x v="0"/>
    <x v="0"/>
    <x v="0"/>
    <x v="0"/>
    <x v="0"/>
    <x v="0"/>
    <x v="0"/>
    <m/>
    <x v="0"/>
    <x v="0"/>
    <m/>
    <n v="14041360"/>
    <n v="0"/>
    <n v="-733870"/>
    <n v="13307490"/>
    <n v="13243519"/>
    <m/>
    <x v="1"/>
    <n v="13243519"/>
  </r>
  <r>
    <x v="0"/>
    <x v="3"/>
    <x v="3"/>
    <x v="1"/>
    <s v="Específicos"/>
    <x v="24"/>
    <x v="38"/>
    <x v="20"/>
    <x v="43"/>
    <n v="1"/>
    <s v="Gobierno"/>
    <n v="6"/>
    <s v="Orden, Seguridad y Justicia"/>
    <n v="5"/>
    <x v="3"/>
    <x v="4"/>
    <x v="10"/>
    <n v="1"/>
    <s v="Gasto corriente"/>
    <x v="0"/>
    <x v="1"/>
    <x v="0"/>
    <x v="0"/>
    <x v="0"/>
    <x v="0"/>
    <x v="0"/>
    <m/>
    <x v="0"/>
    <x v="0"/>
    <m/>
    <n v="165445"/>
    <n v="0"/>
    <n v="-9370"/>
    <n v="156075"/>
    <n v="170629"/>
    <m/>
    <x v="1"/>
    <n v="170629"/>
  </r>
  <r>
    <x v="0"/>
    <x v="3"/>
    <x v="3"/>
    <x v="1"/>
    <s v="Específicos"/>
    <x v="24"/>
    <x v="38"/>
    <x v="20"/>
    <x v="43"/>
    <n v="1"/>
    <s v="Gobierno"/>
    <n v="6"/>
    <s v="Orden, Seguridad y Justicia"/>
    <n v="5"/>
    <x v="3"/>
    <x v="4"/>
    <x v="10"/>
    <n v="1"/>
    <s v="Gasto corriente"/>
    <x v="0"/>
    <x v="0"/>
    <x v="0"/>
    <x v="0"/>
    <x v="0"/>
    <x v="0"/>
    <x v="0"/>
    <m/>
    <x v="0"/>
    <x v="0"/>
    <m/>
    <n v="8522360"/>
    <n v="0"/>
    <n v="-954571"/>
    <n v="7567789"/>
    <n v="7992935"/>
    <m/>
    <x v="1"/>
    <n v="7992935"/>
  </r>
  <r>
    <x v="0"/>
    <x v="4"/>
    <x v="4"/>
    <x v="4"/>
    <s v="Prestación de Servicios Públicos"/>
    <x v="2"/>
    <x v="39"/>
    <x v="1"/>
    <x v="44"/>
    <n v="1"/>
    <s v="Gobierno"/>
    <n v="9"/>
    <s v="Otros Bienes y Servicios Públicos"/>
    <n v="2"/>
    <x v="4"/>
    <x v="2"/>
    <x v="11"/>
    <n v="1"/>
    <s v="Gasto corriente"/>
    <x v="0"/>
    <x v="1"/>
    <x v="0"/>
    <x v="0"/>
    <x v="1"/>
    <x v="0"/>
    <x v="0"/>
    <m/>
    <x v="0"/>
    <x v="0"/>
    <m/>
    <m/>
    <m/>
    <m/>
    <m/>
    <n v="4904726"/>
    <m/>
    <x v="1"/>
    <n v="4904726"/>
  </r>
  <r>
    <x v="0"/>
    <x v="4"/>
    <x v="4"/>
    <x v="4"/>
    <s v="Prestación de Servicios Públicos"/>
    <x v="2"/>
    <x v="39"/>
    <x v="1"/>
    <x v="44"/>
    <n v="1"/>
    <s v="Gobierno"/>
    <n v="9"/>
    <s v="Otros Bienes y Servicios Públicos"/>
    <n v="2"/>
    <x v="4"/>
    <x v="2"/>
    <x v="11"/>
    <n v="1"/>
    <s v="Gasto corriente"/>
    <x v="0"/>
    <x v="0"/>
    <x v="0"/>
    <x v="0"/>
    <x v="1"/>
    <x v="0"/>
    <x v="0"/>
    <m/>
    <x v="0"/>
    <x v="0"/>
    <m/>
    <m/>
    <m/>
    <m/>
    <m/>
    <n v="119267394"/>
    <m/>
    <x v="1"/>
    <n v="119267394"/>
  </r>
  <r>
    <x v="0"/>
    <x v="4"/>
    <x v="4"/>
    <x v="4"/>
    <s v="Prestación de Servicios Públicos"/>
    <x v="2"/>
    <x v="39"/>
    <x v="1"/>
    <x v="44"/>
    <n v="1"/>
    <s v="Gobierno"/>
    <n v="9"/>
    <s v="Otros Bienes y Servicios Públicos"/>
    <n v="2"/>
    <x v="4"/>
    <x v="2"/>
    <x v="11"/>
    <n v="2"/>
    <s v="Gasto de capital"/>
    <x v="0"/>
    <x v="0"/>
    <x v="0"/>
    <x v="0"/>
    <x v="1"/>
    <x v="0"/>
    <x v="0"/>
    <m/>
    <x v="0"/>
    <x v="0"/>
    <m/>
    <m/>
    <m/>
    <m/>
    <m/>
    <n v="2827880"/>
    <m/>
    <x v="1"/>
    <n v="2827880"/>
  </r>
  <r>
    <x v="0"/>
    <x v="4"/>
    <x v="4"/>
    <x v="4"/>
    <s v="Prestación de Servicios Públicos"/>
    <x v="3"/>
    <x v="40"/>
    <x v="1"/>
    <x v="44"/>
    <n v="1"/>
    <s v="Gobierno"/>
    <n v="9"/>
    <s v="Otros Bienes y Servicios Públicos"/>
    <n v="2"/>
    <x v="4"/>
    <x v="2"/>
    <x v="11"/>
    <n v="1"/>
    <s v="Gasto corriente"/>
    <x v="0"/>
    <x v="1"/>
    <x v="0"/>
    <x v="0"/>
    <x v="1"/>
    <x v="0"/>
    <x v="0"/>
    <m/>
    <x v="0"/>
    <x v="0"/>
    <m/>
    <n v="329864084"/>
    <n v="0"/>
    <n v="0"/>
    <n v="329864084"/>
    <n v="10059855"/>
    <m/>
    <x v="1"/>
    <n v="10059855"/>
  </r>
  <r>
    <x v="0"/>
    <x v="4"/>
    <x v="4"/>
    <x v="4"/>
    <s v="Prestación de Servicios Públicos"/>
    <x v="3"/>
    <x v="40"/>
    <x v="1"/>
    <x v="44"/>
    <n v="1"/>
    <s v="Gobierno"/>
    <n v="9"/>
    <s v="Otros Bienes y Servicios Públicos"/>
    <n v="2"/>
    <x v="4"/>
    <x v="2"/>
    <x v="11"/>
    <n v="1"/>
    <s v="Gasto corriente"/>
    <x v="0"/>
    <x v="0"/>
    <x v="0"/>
    <x v="0"/>
    <x v="1"/>
    <x v="0"/>
    <x v="0"/>
    <m/>
    <x v="0"/>
    <x v="0"/>
    <m/>
    <n v="4254807756"/>
    <n v="0"/>
    <n v="0"/>
    <n v="4254807756"/>
    <n v="214340145"/>
    <m/>
    <x v="1"/>
    <n v="214340145"/>
  </r>
  <r>
    <x v="0"/>
    <x v="4"/>
    <x v="4"/>
    <x v="4"/>
    <s v="Prestación de Servicios Públicos"/>
    <x v="3"/>
    <x v="40"/>
    <x v="1"/>
    <x v="44"/>
    <n v="1"/>
    <s v="Gobierno"/>
    <n v="9"/>
    <s v="Otros Bienes y Servicios Públicos"/>
    <n v="2"/>
    <x v="4"/>
    <x v="2"/>
    <x v="11"/>
    <n v="2"/>
    <s v="Gasto de capital"/>
    <x v="0"/>
    <x v="0"/>
    <x v="0"/>
    <x v="0"/>
    <x v="1"/>
    <x v="0"/>
    <x v="0"/>
    <m/>
    <x v="0"/>
    <x v="0"/>
    <m/>
    <n v="7390500"/>
    <n v="0"/>
    <n v="0"/>
    <n v="7390500"/>
    <m/>
    <m/>
    <x v="1"/>
    <n v="0"/>
  </r>
  <r>
    <x v="0"/>
    <x v="4"/>
    <x v="4"/>
    <x v="4"/>
    <s v="Prestación de Servicios Públicos"/>
    <x v="4"/>
    <x v="41"/>
    <x v="1"/>
    <x v="44"/>
    <n v="1"/>
    <s v="Gobierno"/>
    <n v="9"/>
    <s v="Otros Bienes y Servicios Públicos"/>
    <n v="2"/>
    <x v="4"/>
    <x v="2"/>
    <x v="11"/>
    <n v="1"/>
    <s v="Gasto corriente"/>
    <x v="0"/>
    <x v="1"/>
    <x v="0"/>
    <x v="0"/>
    <x v="1"/>
    <x v="0"/>
    <x v="0"/>
    <m/>
    <x v="0"/>
    <x v="0"/>
    <m/>
    <n v="4005337"/>
    <n v="0"/>
    <n v="0"/>
    <n v="4005337"/>
    <m/>
    <m/>
    <x v="1"/>
    <n v="0"/>
  </r>
  <r>
    <x v="0"/>
    <x v="4"/>
    <x v="4"/>
    <x v="4"/>
    <s v="Prestación de Servicios Públicos"/>
    <x v="4"/>
    <x v="41"/>
    <x v="1"/>
    <x v="44"/>
    <n v="1"/>
    <s v="Gobierno"/>
    <n v="9"/>
    <s v="Otros Bienes y Servicios Públicos"/>
    <n v="2"/>
    <x v="4"/>
    <x v="2"/>
    <x v="11"/>
    <n v="1"/>
    <s v="Gasto corriente"/>
    <x v="0"/>
    <x v="0"/>
    <x v="0"/>
    <x v="0"/>
    <x v="1"/>
    <x v="0"/>
    <x v="0"/>
    <m/>
    <x v="0"/>
    <x v="0"/>
    <m/>
    <n v="68763014"/>
    <n v="0"/>
    <n v="0"/>
    <n v="68763014"/>
    <m/>
    <m/>
    <x v="1"/>
    <n v="0"/>
  </r>
  <r>
    <x v="0"/>
    <x v="4"/>
    <x v="4"/>
    <x v="2"/>
    <s v="Apoyo al proceso presupuestario y para mejorar la eficiencia institucional"/>
    <x v="2"/>
    <x v="34"/>
    <x v="1"/>
    <x v="44"/>
    <n v="1"/>
    <s v="Gobierno"/>
    <n v="9"/>
    <s v="Otros Bienes y Servicios Públicos"/>
    <n v="2"/>
    <x v="4"/>
    <x v="2"/>
    <x v="11"/>
    <n v="1"/>
    <s v="Gasto corriente"/>
    <x v="0"/>
    <x v="1"/>
    <x v="0"/>
    <x v="0"/>
    <x v="0"/>
    <x v="0"/>
    <x v="0"/>
    <m/>
    <x v="0"/>
    <x v="0"/>
    <m/>
    <n v="11187297"/>
    <n v="0"/>
    <n v="0"/>
    <n v="11187297"/>
    <n v="12435700"/>
    <m/>
    <x v="1"/>
    <n v="12435700"/>
  </r>
  <r>
    <x v="0"/>
    <x v="4"/>
    <x v="4"/>
    <x v="2"/>
    <s v="Apoyo al proceso presupuestario y para mejorar la eficiencia institucional"/>
    <x v="2"/>
    <x v="34"/>
    <x v="1"/>
    <x v="44"/>
    <n v="1"/>
    <s v="Gobierno"/>
    <n v="9"/>
    <s v="Otros Bienes y Servicios Públicos"/>
    <n v="2"/>
    <x v="4"/>
    <x v="2"/>
    <x v="11"/>
    <n v="1"/>
    <s v="Gasto corriente"/>
    <x v="0"/>
    <x v="0"/>
    <x v="0"/>
    <x v="0"/>
    <x v="0"/>
    <x v="0"/>
    <x v="0"/>
    <m/>
    <x v="0"/>
    <x v="0"/>
    <m/>
    <n v="406767938"/>
    <n v="0"/>
    <n v="0"/>
    <n v="406767938"/>
    <n v="413015515"/>
    <m/>
    <x v="1"/>
    <n v="413015515"/>
  </r>
  <r>
    <x v="0"/>
    <x v="4"/>
    <x v="4"/>
    <x v="3"/>
    <s v="Apoyo a la función pública y al mejoramiento de la gestión"/>
    <x v="2"/>
    <x v="42"/>
    <x v="1"/>
    <x v="44"/>
    <n v="1"/>
    <s v="Gobierno"/>
    <n v="9"/>
    <s v="Otros Bienes y Servicios Públicos"/>
    <n v="2"/>
    <x v="4"/>
    <x v="2"/>
    <x v="11"/>
    <n v="1"/>
    <s v="Gasto corriente"/>
    <x v="0"/>
    <x v="1"/>
    <x v="0"/>
    <x v="0"/>
    <x v="0"/>
    <x v="0"/>
    <x v="0"/>
    <m/>
    <x v="0"/>
    <x v="0"/>
    <m/>
    <n v="2638456"/>
    <n v="0"/>
    <n v="0"/>
    <n v="2638456"/>
    <n v="2517284"/>
    <m/>
    <x v="1"/>
    <n v="2517284"/>
  </r>
  <r>
    <x v="0"/>
    <x v="4"/>
    <x v="4"/>
    <x v="3"/>
    <s v="Apoyo a la función pública y al mejoramiento de la gestión"/>
    <x v="2"/>
    <x v="42"/>
    <x v="1"/>
    <x v="44"/>
    <n v="1"/>
    <s v="Gobierno"/>
    <n v="9"/>
    <s v="Otros Bienes y Servicios Públicos"/>
    <n v="2"/>
    <x v="4"/>
    <x v="2"/>
    <x v="11"/>
    <n v="1"/>
    <s v="Gasto corriente"/>
    <x v="0"/>
    <x v="0"/>
    <x v="0"/>
    <x v="0"/>
    <x v="0"/>
    <x v="0"/>
    <x v="0"/>
    <m/>
    <x v="0"/>
    <x v="0"/>
    <m/>
    <n v="56175363"/>
    <n v="0"/>
    <n v="0"/>
    <n v="56175363"/>
    <n v="55214314"/>
    <m/>
    <x v="1"/>
    <n v="55214314"/>
  </r>
  <r>
    <x v="0"/>
    <x v="4"/>
    <x v="4"/>
    <x v="5"/>
    <s v="Planeación, seguimiento y evaluación de políticas públicas"/>
    <x v="2"/>
    <x v="43"/>
    <x v="1"/>
    <x v="44"/>
    <n v="1"/>
    <s v="Gobierno"/>
    <n v="9"/>
    <s v="Otros Bienes y Servicios Públicos"/>
    <n v="2"/>
    <x v="4"/>
    <x v="2"/>
    <x v="11"/>
    <n v="1"/>
    <s v="Gasto corriente"/>
    <x v="0"/>
    <x v="1"/>
    <x v="0"/>
    <x v="0"/>
    <x v="0"/>
    <x v="0"/>
    <x v="0"/>
    <m/>
    <x v="0"/>
    <x v="0"/>
    <m/>
    <n v="6968003"/>
    <n v="0"/>
    <n v="0"/>
    <n v="6968003"/>
    <n v="6024730"/>
    <m/>
    <x v="1"/>
    <n v="6024730"/>
  </r>
  <r>
    <x v="0"/>
    <x v="4"/>
    <x v="4"/>
    <x v="5"/>
    <s v="Planeación, seguimiento y evaluación de políticas públicas"/>
    <x v="2"/>
    <x v="43"/>
    <x v="1"/>
    <x v="44"/>
    <n v="1"/>
    <s v="Gobierno"/>
    <n v="9"/>
    <s v="Otros Bienes y Servicios Públicos"/>
    <n v="2"/>
    <x v="4"/>
    <x v="2"/>
    <x v="11"/>
    <n v="1"/>
    <s v="Gasto corriente"/>
    <x v="0"/>
    <x v="0"/>
    <x v="0"/>
    <x v="0"/>
    <x v="0"/>
    <x v="0"/>
    <x v="0"/>
    <m/>
    <x v="0"/>
    <x v="0"/>
    <m/>
    <n v="209565569"/>
    <n v="0"/>
    <n v="0"/>
    <n v="209565569"/>
    <n v="189190235"/>
    <m/>
    <x v="1"/>
    <n v="189190235"/>
  </r>
  <r>
    <x v="0"/>
    <x v="4"/>
    <x v="4"/>
    <x v="5"/>
    <s v="Planeación, seguimiento y evaluación de políticas públicas"/>
    <x v="3"/>
    <x v="44"/>
    <x v="1"/>
    <x v="44"/>
    <n v="1"/>
    <s v="Gobierno"/>
    <n v="9"/>
    <s v="Otros Bienes y Servicios Públicos"/>
    <n v="2"/>
    <x v="4"/>
    <x v="2"/>
    <x v="11"/>
    <n v="1"/>
    <s v="Gasto corriente"/>
    <x v="0"/>
    <x v="1"/>
    <x v="0"/>
    <x v="0"/>
    <x v="0"/>
    <x v="0"/>
    <x v="1"/>
    <m/>
    <x v="0"/>
    <x v="0"/>
    <m/>
    <n v="180948294"/>
    <n v="0"/>
    <n v="0"/>
    <n v="180948294"/>
    <n v="205790722"/>
    <m/>
    <x v="1"/>
    <n v="205790722"/>
  </r>
  <r>
    <x v="0"/>
    <x v="4"/>
    <x v="4"/>
    <x v="5"/>
    <s v="Planeación, seguimiento y evaluación de políticas públicas"/>
    <x v="3"/>
    <x v="44"/>
    <x v="1"/>
    <x v="44"/>
    <n v="1"/>
    <s v="Gobierno"/>
    <n v="9"/>
    <s v="Otros Bienes y Servicios Públicos"/>
    <n v="2"/>
    <x v="4"/>
    <x v="2"/>
    <x v="11"/>
    <n v="1"/>
    <s v="Gasto corriente"/>
    <x v="0"/>
    <x v="0"/>
    <x v="0"/>
    <x v="0"/>
    <x v="0"/>
    <x v="0"/>
    <x v="1"/>
    <m/>
    <x v="0"/>
    <x v="0"/>
    <m/>
    <n v="3186605802"/>
    <n v="0"/>
    <n v="0"/>
    <n v="3186605802"/>
    <n v="3502333081"/>
    <n v="288500000"/>
    <x v="2"/>
    <n v="3228833081"/>
  </r>
  <r>
    <x v="0"/>
    <x v="4"/>
    <x v="4"/>
    <x v="5"/>
    <s v="Planeación, seguimiento y evaluación de políticas públicas"/>
    <x v="3"/>
    <x v="44"/>
    <x v="1"/>
    <x v="44"/>
    <n v="1"/>
    <s v="Gobierno"/>
    <n v="9"/>
    <s v="Otros Bienes y Servicios Públicos"/>
    <n v="2"/>
    <x v="4"/>
    <x v="2"/>
    <x v="11"/>
    <n v="2"/>
    <s v="Gasto de capital"/>
    <x v="0"/>
    <x v="0"/>
    <x v="0"/>
    <x v="0"/>
    <x v="0"/>
    <x v="0"/>
    <x v="1"/>
    <m/>
    <x v="0"/>
    <x v="0"/>
    <m/>
    <n v="40000000"/>
    <n v="0"/>
    <n v="0"/>
    <n v="40000000"/>
    <n v="86678419"/>
    <m/>
    <x v="1"/>
    <n v="86678419"/>
  </r>
  <r>
    <x v="1"/>
    <x v="5"/>
    <x v="5"/>
    <x v="2"/>
    <s v="Apoyo al proceso presupuestario y para mejorar la eficiencia institucional"/>
    <x v="2"/>
    <x v="34"/>
    <x v="19"/>
    <x v="45"/>
    <n v="1"/>
    <s v="Gobierno"/>
    <n v="8"/>
    <s v="Administración Pública"/>
    <n v="4"/>
    <x v="5"/>
    <x v="3"/>
    <x v="12"/>
    <n v="1"/>
    <s v="Gasto corriente"/>
    <x v="0"/>
    <x v="1"/>
    <x v="0"/>
    <x v="0"/>
    <x v="0"/>
    <x v="0"/>
    <x v="0"/>
    <m/>
    <x v="0"/>
    <x v="0"/>
    <m/>
    <n v="4026202"/>
    <n v="0"/>
    <n v="0"/>
    <n v="4026202"/>
    <n v="3423034"/>
    <m/>
    <x v="1"/>
    <n v="3423034"/>
  </r>
  <r>
    <x v="1"/>
    <x v="5"/>
    <x v="5"/>
    <x v="2"/>
    <s v="Apoyo al proceso presupuestario y para mejorar la eficiencia institucional"/>
    <x v="2"/>
    <x v="34"/>
    <x v="19"/>
    <x v="45"/>
    <n v="1"/>
    <s v="Gobierno"/>
    <n v="8"/>
    <s v="Administración Pública"/>
    <n v="4"/>
    <x v="5"/>
    <x v="3"/>
    <x v="12"/>
    <n v="1"/>
    <s v="Gasto corriente"/>
    <x v="0"/>
    <x v="0"/>
    <x v="0"/>
    <x v="0"/>
    <x v="0"/>
    <x v="0"/>
    <x v="0"/>
    <m/>
    <x v="0"/>
    <x v="0"/>
    <m/>
    <n v="71905136"/>
    <n v="0"/>
    <n v="0"/>
    <n v="71905136"/>
    <n v="66423379"/>
    <m/>
    <x v="1"/>
    <n v="66423379"/>
  </r>
  <r>
    <x v="1"/>
    <x v="5"/>
    <x v="5"/>
    <x v="3"/>
    <s v="Apoyo a la función pública y al mejoramiento de la gestión"/>
    <x v="2"/>
    <x v="42"/>
    <x v="19"/>
    <x v="45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351398"/>
    <n v="0"/>
    <n v="0"/>
    <n v="351398"/>
    <n v="353411"/>
    <m/>
    <x v="1"/>
    <n v="353411"/>
  </r>
  <r>
    <x v="1"/>
    <x v="5"/>
    <x v="5"/>
    <x v="3"/>
    <s v="Apoyo a la función pública y al mejoramiento de la gestión"/>
    <x v="2"/>
    <x v="42"/>
    <x v="19"/>
    <x v="4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4176412"/>
    <n v="0"/>
    <n v="0"/>
    <n v="14176412"/>
    <n v="12520803"/>
    <m/>
    <x v="1"/>
    <n v="12520803"/>
  </r>
  <r>
    <x v="1"/>
    <x v="5"/>
    <x v="5"/>
    <x v="3"/>
    <s v="Apoyo a la función pública y al mejoramiento de la gestión"/>
    <x v="2"/>
    <x v="42"/>
    <x v="25"/>
    <x v="4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755753"/>
    <n v="0"/>
    <n v="0"/>
    <n v="755753"/>
    <m/>
    <m/>
    <x v="1"/>
    <n v="0"/>
  </r>
  <r>
    <x v="1"/>
    <x v="5"/>
    <x v="5"/>
    <x v="3"/>
    <s v="Apoyo a la función pública y al mejoramiento de la gestión"/>
    <x v="2"/>
    <x v="42"/>
    <x v="25"/>
    <x v="4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572"/>
    <m/>
    <m/>
    <n v="1572"/>
    <m/>
    <m/>
    <x v="1"/>
    <n v="0"/>
  </r>
  <r>
    <x v="1"/>
    <x v="5"/>
    <x v="5"/>
    <x v="5"/>
    <s v="Planeación, seguimiento y evaluación de políticas públicas"/>
    <x v="2"/>
    <x v="45"/>
    <x v="25"/>
    <x v="46"/>
    <n v="1"/>
    <s v="Gobierno"/>
    <n v="1"/>
    <s v="Seguridad Nacional"/>
    <n v="3"/>
    <x v="7"/>
    <x v="1"/>
    <x v="14"/>
    <n v="1"/>
    <s v="Gasto corriente"/>
    <x v="0"/>
    <x v="1"/>
    <x v="0"/>
    <x v="0"/>
    <x v="0"/>
    <x v="0"/>
    <x v="0"/>
    <m/>
    <x v="0"/>
    <x v="0"/>
    <m/>
    <n v="491204"/>
    <n v="0"/>
    <n v="0"/>
    <n v="491204"/>
    <n v="467070"/>
    <m/>
    <x v="1"/>
    <n v="467070"/>
  </r>
  <r>
    <x v="1"/>
    <x v="5"/>
    <x v="5"/>
    <x v="5"/>
    <s v="Planeación, seguimiento y evaluación de políticas públicas"/>
    <x v="2"/>
    <x v="45"/>
    <x v="25"/>
    <x v="46"/>
    <n v="1"/>
    <s v="Gobierno"/>
    <n v="1"/>
    <s v="Seguridad Nacional"/>
    <n v="3"/>
    <x v="7"/>
    <x v="1"/>
    <x v="14"/>
    <n v="1"/>
    <s v="Gasto corriente"/>
    <x v="0"/>
    <x v="0"/>
    <x v="0"/>
    <x v="0"/>
    <x v="0"/>
    <x v="0"/>
    <x v="0"/>
    <m/>
    <x v="0"/>
    <x v="0"/>
    <m/>
    <n v="30076415"/>
    <n v="0"/>
    <n v="0"/>
    <n v="30076415"/>
    <n v="26129468"/>
    <m/>
    <x v="1"/>
    <n v="26129468"/>
  </r>
  <r>
    <x v="1"/>
    <x v="5"/>
    <x v="5"/>
    <x v="5"/>
    <s v="Planeación, seguimiento y evaluación de políticas públicas"/>
    <x v="3"/>
    <x v="46"/>
    <x v="23"/>
    <x v="47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2449035"/>
    <n v="0"/>
    <n v="0"/>
    <n v="2449035"/>
    <n v="2477387"/>
    <m/>
    <x v="1"/>
    <n v="2477387"/>
  </r>
  <r>
    <x v="1"/>
    <x v="5"/>
    <x v="5"/>
    <x v="5"/>
    <s v="Planeación, seguimiento y evaluación de políticas públicas"/>
    <x v="3"/>
    <x v="46"/>
    <x v="23"/>
    <x v="47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111234297"/>
    <n v="0"/>
    <n v="0"/>
    <n v="111234297"/>
    <n v="129530477"/>
    <m/>
    <x v="1"/>
    <n v="129530477"/>
  </r>
  <r>
    <x v="1"/>
    <x v="5"/>
    <x v="5"/>
    <x v="5"/>
    <s v="Planeación, seguimiento y evaluación de políticas públicas"/>
    <x v="3"/>
    <x v="46"/>
    <x v="19"/>
    <x v="45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4257940"/>
    <n v="0"/>
    <n v="0"/>
    <n v="4257940"/>
    <n v="9160246"/>
    <m/>
    <x v="1"/>
    <n v="9160246"/>
  </r>
  <r>
    <x v="1"/>
    <x v="5"/>
    <x v="5"/>
    <x v="5"/>
    <s v="Planeación, seguimiento y evaluación de políticas públicas"/>
    <x v="3"/>
    <x v="46"/>
    <x v="19"/>
    <x v="45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221428698"/>
    <n v="0"/>
    <n v="0"/>
    <n v="221428698"/>
    <n v="419298072"/>
    <n v="29755915"/>
    <x v="1"/>
    <n v="389542157"/>
  </r>
  <r>
    <x v="1"/>
    <x v="5"/>
    <x v="5"/>
    <x v="5"/>
    <s v="Planeación, seguimiento y evaluación de políticas públicas"/>
    <x v="3"/>
    <x v="46"/>
    <x v="19"/>
    <x v="45"/>
    <n v="1"/>
    <s v="Gobierno"/>
    <n v="8"/>
    <s v="Administración Pública"/>
    <n v="4"/>
    <x v="5"/>
    <x v="0"/>
    <x v="15"/>
    <n v="2"/>
    <s v="Gasto de capital"/>
    <x v="0"/>
    <x v="0"/>
    <x v="0"/>
    <x v="0"/>
    <x v="0"/>
    <x v="0"/>
    <x v="0"/>
    <m/>
    <x v="0"/>
    <x v="0"/>
    <m/>
    <n v="902245"/>
    <n v="0"/>
    <n v="0"/>
    <n v="902245"/>
    <n v="10813162"/>
    <m/>
    <x v="1"/>
    <n v="10813162"/>
  </r>
  <r>
    <x v="1"/>
    <x v="5"/>
    <x v="5"/>
    <x v="5"/>
    <s v="Planeación, seguimiento y evaluación de políticas públicas"/>
    <x v="3"/>
    <x v="46"/>
    <x v="21"/>
    <x v="48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439455"/>
    <n v="0"/>
    <n v="0"/>
    <n v="439455"/>
    <n v="468733"/>
    <m/>
    <x v="1"/>
    <n v="468733"/>
  </r>
  <r>
    <x v="1"/>
    <x v="5"/>
    <x v="5"/>
    <x v="5"/>
    <s v="Planeación, seguimiento y evaluación de políticas públicas"/>
    <x v="3"/>
    <x v="46"/>
    <x v="21"/>
    <x v="48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73533580"/>
    <n v="0"/>
    <n v="0"/>
    <n v="73533580"/>
    <n v="68538753"/>
    <m/>
    <x v="1"/>
    <n v="68538753"/>
  </r>
  <r>
    <x v="1"/>
    <x v="5"/>
    <x v="5"/>
    <x v="5"/>
    <s v="Planeación, seguimiento y evaluación de políticas públicas"/>
    <x v="3"/>
    <x v="46"/>
    <x v="20"/>
    <x v="49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2230292"/>
    <n v="0"/>
    <n v="0"/>
    <n v="2230292"/>
    <n v="2249795"/>
    <m/>
    <x v="1"/>
    <n v="2249795"/>
  </r>
  <r>
    <x v="1"/>
    <x v="5"/>
    <x v="5"/>
    <x v="5"/>
    <s v="Planeación, seguimiento y evaluación de políticas públicas"/>
    <x v="3"/>
    <x v="46"/>
    <x v="20"/>
    <x v="49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131184734"/>
    <n v="0"/>
    <n v="0"/>
    <n v="131184734"/>
    <n v="123215336"/>
    <m/>
    <x v="1"/>
    <n v="123215336"/>
  </r>
  <r>
    <x v="1"/>
    <x v="5"/>
    <x v="5"/>
    <x v="5"/>
    <s v="Planeación, seguimiento y evaluación de políticas públicas"/>
    <x v="3"/>
    <x v="46"/>
    <x v="26"/>
    <x v="50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967988"/>
    <n v="0"/>
    <n v="0"/>
    <n v="967988"/>
    <n v="998355"/>
    <m/>
    <x v="1"/>
    <n v="998355"/>
  </r>
  <r>
    <x v="1"/>
    <x v="5"/>
    <x v="5"/>
    <x v="5"/>
    <s v="Planeación, seguimiento y evaluación de políticas públicas"/>
    <x v="3"/>
    <x v="46"/>
    <x v="26"/>
    <x v="50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53823552"/>
    <n v="0"/>
    <n v="0"/>
    <n v="53823552"/>
    <n v="48246817"/>
    <m/>
    <x v="1"/>
    <n v="48246817"/>
  </r>
  <r>
    <x v="1"/>
    <x v="5"/>
    <x v="5"/>
    <x v="5"/>
    <s v="Planeación, seguimiento y evaluación de políticas públicas"/>
    <x v="3"/>
    <x v="46"/>
    <x v="27"/>
    <x v="51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413229"/>
    <n v="0"/>
    <n v="0"/>
    <n v="413229"/>
    <n v="440890"/>
    <m/>
    <x v="1"/>
    <n v="440890"/>
  </r>
  <r>
    <x v="1"/>
    <x v="5"/>
    <x v="5"/>
    <x v="5"/>
    <s v="Planeación, seguimiento y evaluación de políticas públicas"/>
    <x v="3"/>
    <x v="46"/>
    <x v="27"/>
    <x v="51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23697355"/>
    <n v="0"/>
    <n v="0"/>
    <n v="23697355"/>
    <n v="22069223"/>
    <m/>
    <x v="1"/>
    <n v="22069223"/>
  </r>
  <r>
    <x v="1"/>
    <x v="5"/>
    <x v="5"/>
    <x v="5"/>
    <s v="Planeación, seguimiento y evaluación de políticas públicas"/>
    <x v="3"/>
    <x v="46"/>
    <x v="25"/>
    <x v="46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1192938"/>
    <n v="0"/>
    <n v="0"/>
    <n v="1192938"/>
    <n v="1315509"/>
    <m/>
    <x v="1"/>
    <n v="1315509"/>
  </r>
  <r>
    <x v="1"/>
    <x v="5"/>
    <x v="5"/>
    <x v="5"/>
    <s v="Planeación, seguimiento y evaluación de políticas públicas"/>
    <x v="3"/>
    <x v="46"/>
    <x v="25"/>
    <x v="46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54169408"/>
    <n v="0"/>
    <n v="0"/>
    <n v="54169408"/>
    <n v="56832357"/>
    <m/>
    <x v="1"/>
    <n v="56832357"/>
  </r>
  <r>
    <x v="1"/>
    <x v="5"/>
    <x v="5"/>
    <x v="5"/>
    <s v="Planeación, seguimiento y evaluación de políticas públicas"/>
    <x v="3"/>
    <x v="46"/>
    <x v="28"/>
    <x v="52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969426"/>
    <n v="0"/>
    <n v="0"/>
    <n v="969426"/>
    <n v="1018642"/>
    <m/>
    <x v="1"/>
    <n v="1018642"/>
  </r>
  <r>
    <x v="1"/>
    <x v="5"/>
    <x v="5"/>
    <x v="5"/>
    <s v="Planeación, seguimiento y evaluación de políticas públicas"/>
    <x v="3"/>
    <x v="46"/>
    <x v="28"/>
    <x v="52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105264891"/>
    <n v="0"/>
    <n v="0"/>
    <n v="105264891"/>
    <n v="99721934"/>
    <m/>
    <x v="1"/>
    <n v="99721934"/>
  </r>
  <r>
    <x v="1"/>
    <x v="5"/>
    <x v="5"/>
    <x v="5"/>
    <s v="Planeación, seguimiento y evaluación de políticas públicas"/>
    <x v="4"/>
    <x v="47"/>
    <x v="25"/>
    <x v="46"/>
    <n v="1"/>
    <s v="Gobierno"/>
    <n v="8"/>
    <s v="Administración Pública"/>
    <n v="4"/>
    <x v="5"/>
    <x v="0"/>
    <x v="15"/>
    <n v="1"/>
    <s v="Gasto corriente"/>
    <x v="0"/>
    <x v="1"/>
    <x v="0"/>
    <x v="0"/>
    <x v="0"/>
    <x v="0"/>
    <x v="0"/>
    <m/>
    <x v="0"/>
    <x v="0"/>
    <m/>
    <n v="1616677"/>
    <n v="0"/>
    <n v="0"/>
    <n v="1616677"/>
    <n v="1587312"/>
    <m/>
    <x v="1"/>
    <n v="1587312"/>
  </r>
  <r>
    <x v="1"/>
    <x v="5"/>
    <x v="5"/>
    <x v="5"/>
    <s v="Planeación, seguimiento y evaluación de políticas públicas"/>
    <x v="4"/>
    <x v="47"/>
    <x v="25"/>
    <x v="46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43059159"/>
    <n v="0"/>
    <n v="0"/>
    <n v="43059159"/>
    <n v="34011660"/>
    <m/>
    <x v="1"/>
    <n v="34011660"/>
  </r>
  <r>
    <x v="1"/>
    <x v="5"/>
    <x v="5"/>
    <x v="5"/>
    <s v="Planeación, seguimiento y evaluación de políticas públicas"/>
    <x v="5"/>
    <x v="48"/>
    <x v="4"/>
    <x v="53"/>
    <n v="1"/>
    <s v="Gobierno"/>
    <n v="1"/>
    <s v="Seguridad Nacional"/>
    <n v="3"/>
    <x v="7"/>
    <x v="0"/>
    <x v="15"/>
    <n v="1"/>
    <s v="Gasto corriente"/>
    <x v="0"/>
    <x v="1"/>
    <x v="0"/>
    <x v="0"/>
    <x v="0"/>
    <x v="0"/>
    <x v="0"/>
    <m/>
    <x v="0"/>
    <x v="0"/>
    <m/>
    <n v="3086146"/>
    <n v="0"/>
    <n v="0"/>
    <n v="3086146"/>
    <n v="2901237"/>
    <m/>
    <x v="1"/>
    <n v="2901237"/>
  </r>
  <r>
    <x v="1"/>
    <x v="5"/>
    <x v="5"/>
    <x v="5"/>
    <s v="Planeación, seguimiento y evaluación de políticas públicas"/>
    <x v="5"/>
    <x v="48"/>
    <x v="4"/>
    <x v="53"/>
    <n v="1"/>
    <s v="Gobierno"/>
    <n v="1"/>
    <s v="Seguridad Nacional"/>
    <n v="3"/>
    <x v="7"/>
    <x v="0"/>
    <x v="15"/>
    <n v="1"/>
    <s v="Gasto corriente"/>
    <x v="0"/>
    <x v="0"/>
    <x v="0"/>
    <x v="0"/>
    <x v="0"/>
    <x v="0"/>
    <x v="0"/>
    <m/>
    <x v="0"/>
    <x v="0"/>
    <m/>
    <n v="454112094"/>
    <n v="0"/>
    <n v="-44715761"/>
    <n v="409396333"/>
    <n v="290714503"/>
    <m/>
    <x v="1"/>
    <n v="290714503"/>
  </r>
  <r>
    <x v="1"/>
    <x v="5"/>
    <x v="5"/>
    <x v="5"/>
    <s v="Planeación, seguimiento y evaluación de políticas públicas"/>
    <x v="5"/>
    <x v="48"/>
    <x v="4"/>
    <x v="53"/>
    <n v="1"/>
    <s v="Gobierno"/>
    <n v="1"/>
    <s v="Seguridad Nacional"/>
    <n v="3"/>
    <x v="7"/>
    <x v="0"/>
    <x v="15"/>
    <n v="2"/>
    <s v="Gasto de capital"/>
    <x v="0"/>
    <x v="0"/>
    <x v="0"/>
    <x v="0"/>
    <x v="0"/>
    <x v="0"/>
    <x v="0"/>
    <m/>
    <x v="0"/>
    <x v="0"/>
    <m/>
    <n v="21263456"/>
    <n v="0"/>
    <n v="-2035078"/>
    <n v="19228378"/>
    <n v="45706386"/>
    <m/>
    <x v="1"/>
    <n v="45706386"/>
  </r>
  <r>
    <x v="1"/>
    <x v="5"/>
    <x v="5"/>
    <x v="5"/>
    <s v="Planeación, seguimiento y evaluación de políticas públicas"/>
    <x v="5"/>
    <x v="48"/>
    <x v="5"/>
    <x v="54"/>
    <n v="1"/>
    <s v="Gobierno"/>
    <n v="1"/>
    <s v="Seguridad Nacional"/>
    <n v="3"/>
    <x v="7"/>
    <x v="0"/>
    <x v="15"/>
    <n v="1"/>
    <s v="Gasto corriente"/>
    <x v="0"/>
    <x v="1"/>
    <x v="0"/>
    <x v="0"/>
    <x v="0"/>
    <x v="0"/>
    <x v="0"/>
    <m/>
    <x v="0"/>
    <x v="0"/>
    <m/>
    <n v="1756347"/>
    <n v="0"/>
    <n v="0"/>
    <n v="1756347"/>
    <n v="1573798"/>
    <m/>
    <x v="1"/>
    <n v="1573798"/>
  </r>
  <r>
    <x v="1"/>
    <x v="5"/>
    <x v="5"/>
    <x v="5"/>
    <s v="Planeación, seguimiento y evaluación de políticas públicas"/>
    <x v="5"/>
    <x v="48"/>
    <x v="5"/>
    <x v="54"/>
    <n v="1"/>
    <s v="Gobierno"/>
    <n v="1"/>
    <s v="Seguridad Nacional"/>
    <n v="3"/>
    <x v="7"/>
    <x v="0"/>
    <x v="15"/>
    <n v="1"/>
    <s v="Gasto corriente"/>
    <x v="0"/>
    <x v="0"/>
    <x v="0"/>
    <x v="0"/>
    <x v="0"/>
    <x v="0"/>
    <x v="0"/>
    <m/>
    <x v="0"/>
    <x v="0"/>
    <m/>
    <n v="281851132"/>
    <n v="0"/>
    <n v="-2970763"/>
    <n v="278880369"/>
    <n v="288149398"/>
    <m/>
    <x v="1"/>
    <n v="288149398"/>
  </r>
  <r>
    <x v="1"/>
    <x v="5"/>
    <x v="5"/>
    <x v="5"/>
    <s v="Planeación, seguimiento y evaluación de políticas públicas"/>
    <x v="5"/>
    <x v="48"/>
    <x v="5"/>
    <x v="54"/>
    <n v="1"/>
    <s v="Gobierno"/>
    <n v="1"/>
    <s v="Seguridad Nacional"/>
    <n v="3"/>
    <x v="7"/>
    <x v="0"/>
    <x v="15"/>
    <n v="2"/>
    <s v="Gasto de capital"/>
    <x v="0"/>
    <x v="0"/>
    <x v="0"/>
    <x v="0"/>
    <x v="0"/>
    <x v="0"/>
    <x v="0"/>
    <m/>
    <x v="0"/>
    <x v="0"/>
    <m/>
    <n v="7903292"/>
    <n v="0"/>
    <n v="0"/>
    <n v="7903292"/>
    <n v="9450000"/>
    <m/>
    <x v="1"/>
    <n v="9450000"/>
  </r>
  <r>
    <x v="1"/>
    <x v="5"/>
    <x v="5"/>
    <x v="5"/>
    <s v="Planeación, seguimiento y evaluación de políticas públicas"/>
    <x v="5"/>
    <x v="48"/>
    <x v="5"/>
    <x v="54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2944567"/>
    <n v="0"/>
    <n v="0"/>
    <n v="2944567"/>
    <m/>
    <m/>
    <x v="1"/>
    <n v="0"/>
  </r>
  <r>
    <x v="1"/>
    <x v="5"/>
    <x v="5"/>
    <x v="5"/>
    <s v="Planeación, seguimiento y evaluación de políticas públicas"/>
    <x v="5"/>
    <x v="48"/>
    <x v="5"/>
    <x v="54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n v="26804"/>
    <m/>
    <m/>
    <n v="26237"/>
    <m/>
    <m/>
    <x v="1"/>
    <n v="0"/>
  </r>
  <r>
    <x v="1"/>
    <x v="5"/>
    <x v="5"/>
    <x v="1"/>
    <s v="Específicos"/>
    <x v="2"/>
    <x v="49"/>
    <x v="29"/>
    <x v="55"/>
    <n v="1"/>
    <s v="Gobierno"/>
    <n v="8"/>
    <s v="Administración Pública"/>
    <n v="4"/>
    <x v="5"/>
    <x v="0"/>
    <x v="15"/>
    <n v="1"/>
    <s v="Gasto corriente"/>
    <x v="0"/>
    <x v="0"/>
    <x v="0"/>
    <x v="0"/>
    <x v="0"/>
    <x v="0"/>
    <x v="0"/>
    <m/>
    <x v="0"/>
    <x v="0"/>
    <m/>
    <m/>
    <m/>
    <m/>
    <m/>
    <n v="36510325"/>
    <m/>
    <x v="1"/>
    <n v="36510325"/>
  </r>
  <r>
    <x v="1"/>
    <x v="6"/>
    <x v="6"/>
    <x v="4"/>
    <s v="Prestación de Servicios Públicos"/>
    <x v="2"/>
    <x v="50"/>
    <x v="30"/>
    <x v="56"/>
    <n v="1"/>
    <s v="Gobierno"/>
    <n v="1"/>
    <s v="Seguridad Nacional"/>
    <n v="3"/>
    <x v="7"/>
    <x v="1"/>
    <x v="16"/>
    <n v="1"/>
    <s v="Gasto corriente"/>
    <x v="0"/>
    <x v="1"/>
    <x v="0"/>
    <x v="0"/>
    <x v="0"/>
    <x v="0"/>
    <x v="0"/>
    <m/>
    <x v="0"/>
    <x v="0"/>
    <m/>
    <n v="75469893"/>
    <n v="0"/>
    <n v="0"/>
    <n v="75469893"/>
    <n v="86790377"/>
    <m/>
    <x v="1"/>
    <n v="86790377"/>
  </r>
  <r>
    <x v="1"/>
    <x v="6"/>
    <x v="6"/>
    <x v="4"/>
    <s v="Prestación de Servicios Públicos"/>
    <x v="2"/>
    <x v="50"/>
    <x v="30"/>
    <x v="56"/>
    <n v="1"/>
    <s v="Gobierno"/>
    <n v="1"/>
    <s v="Seguridad Nacional"/>
    <n v="3"/>
    <x v="7"/>
    <x v="1"/>
    <x v="16"/>
    <n v="1"/>
    <s v="Gasto corriente"/>
    <x v="0"/>
    <x v="0"/>
    <x v="0"/>
    <x v="0"/>
    <x v="0"/>
    <x v="0"/>
    <x v="0"/>
    <m/>
    <x v="0"/>
    <x v="0"/>
    <m/>
    <n v="2152549209"/>
    <n v="0"/>
    <n v="-87400000"/>
    <n v="2065149209"/>
    <n v="2122435471"/>
    <n v="70954524"/>
    <x v="1"/>
    <n v="2051480947"/>
  </r>
  <r>
    <x v="1"/>
    <x v="6"/>
    <x v="6"/>
    <x v="4"/>
    <s v="Prestación de Servicios Públicos"/>
    <x v="2"/>
    <x v="50"/>
    <x v="30"/>
    <x v="56"/>
    <n v="1"/>
    <s v="Gobierno"/>
    <n v="1"/>
    <s v="Seguridad Nacional"/>
    <n v="3"/>
    <x v="7"/>
    <x v="1"/>
    <x v="16"/>
    <n v="2"/>
    <s v="Gasto de capital"/>
    <x v="0"/>
    <x v="0"/>
    <x v="0"/>
    <x v="0"/>
    <x v="0"/>
    <x v="0"/>
    <x v="0"/>
    <m/>
    <x v="0"/>
    <x v="0"/>
    <m/>
    <m/>
    <m/>
    <m/>
    <m/>
    <n v="50000000"/>
    <m/>
    <x v="1"/>
    <n v="50000000"/>
  </r>
  <r>
    <x v="1"/>
    <x v="6"/>
    <x v="6"/>
    <x v="4"/>
    <s v="Prestación de Servicios Públicos"/>
    <x v="3"/>
    <x v="51"/>
    <x v="31"/>
    <x v="57"/>
    <n v="1"/>
    <s v="Gobierno"/>
    <n v="4"/>
    <s v="Gobernación"/>
    <n v="2"/>
    <x v="8"/>
    <x v="0"/>
    <x v="17"/>
    <n v="1"/>
    <s v="Gasto corriente"/>
    <x v="0"/>
    <x v="1"/>
    <x v="0"/>
    <x v="0"/>
    <x v="0"/>
    <x v="0"/>
    <x v="0"/>
    <m/>
    <x v="0"/>
    <x v="0"/>
    <m/>
    <n v="2508654"/>
    <n v="0"/>
    <n v="0"/>
    <n v="2508654"/>
    <n v="2884952"/>
    <m/>
    <x v="1"/>
    <n v="2884952"/>
  </r>
  <r>
    <x v="1"/>
    <x v="6"/>
    <x v="6"/>
    <x v="4"/>
    <s v="Prestación de Servicios Públicos"/>
    <x v="3"/>
    <x v="51"/>
    <x v="31"/>
    <x v="57"/>
    <n v="1"/>
    <s v="Gobierno"/>
    <n v="4"/>
    <s v="Gobernación"/>
    <n v="2"/>
    <x v="8"/>
    <x v="0"/>
    <x v="17"/>
    <n v="1"/>
    <s v="Gasto corriente"/>
    <x v="0"/>
    <x v="0"/>
    <x v="0"/>
    <x v="0"/>
    <x v="0"/>
    <x v="0"/>
    <x v="0"/>
    <m/>
    <x v="0"/>
    <x v="0"/>
    <m/>
    <n v="58473923"/>
    <n v="0"/>
    <n v="-400000"/>
    <n v="58073923"/>
    <n v="51657787"/>
    <m/>
    <x v="1"/>
    <n v="51657787"/>
  </r>
  <r>
    <x v="1"/>
    <x v="6"/>
    <x v="6"/>
    <x v="4"/>
    <s v="Prestación de Servicios Públicos"/>
    <x v="3"/>
    <x v="51"/>
    <x v="32"/>
    <x v="58"/>
    <n v="1"/>
    <s v="Gobierno"/>
    <n v="4"/>
    <s v="Gobernación"/>
    <n v="2"/>
    <x v="8"/>
    <x v="0"/>
    <x v="17"/>
    <n v="1"/>
    <s v="Gasto corriente"/>
    <x v="0"/>
    <x v="1"/>
    <x v="0"/>
    <x v="0"/>
    <x v="0"/>
    <x v="0"/>
    <x v="0"/>
    <m/>
    <x v="0"/>
    <x v="0"/>
    <m/>
    <n v="656633"/>
    <n v="0"/>
    <n v="0"/>
    <n v="656633"/>
    <n v="435821"/>
    <m/>
    <x v="1"/>
    <n v="435821"/>
  </r>
  <r>
    <x v="1"/>
    <x v="6"/>
    <x v="6"/>
    <x v="4"/>
    <s v="Prestación de Servicios Públicos"/>
    <x v="3"/>
    <x v="51"/>
    <x v="32"/>
    <x v="58"/>
    <n v="1"/>
    <s v="Gobierno"/>
    <n v="4"/>
    <s v="Gobernación"/>
    <n v="2"/>
    <x v="8"/>
    <x v="0"/>
    <x v="17"/>
    <n v="1"/>
    <s v="Gasto corriente"/>
    <x v="0"/>
    <x v="0"/>
    <x v="0"/>
    <x v="0"/>
    <x v="0"/>
    <x v="0"/>
    <x v="0"/>
    <m/>
    <x v="0"/>
    <x v="0"/>
    <m/>
    <n v="70929646"/>
    <n v="0"/>
    <n v="-300002"/>
    <n v="70629644"/>
    <n v="58296741"/>
    <m/>
    <x v="1"/>
    <n v="58296741"/>
  </r>
  <r>
    <x v="1"/>
    <x v="6"/>
    <x v="6"/>
    <x v="4"/>
    <s v="Prestación de Servicios Públicos"/>
    <x v="5"/>
    <x v="52"/>
    <x v="33"/>
    <x v="59"/>
    <n v="1"/>
    <s v="Gobierno"/>
    <n v="4"/>
    <s v="Gobernación"/>
    <n v="3"/>
    <x v="9"/>
    <x v="5"/>
    <x v="18"/>
    <n v="1"/>
    <s v="Gasto corriente"/>
    <x v="0"/>
    <x v="1"/>
    <x v="0"/>
    <x v="0"/>
    <x v="0"/>
    <x v="0"/>
    <x v="0"/>
    <m/>
    <x v="0"/>
    <x v="0"/>
    <m/>
    <n v="1642478"/>
    <n v="0"/>
    <n v="0"/>
    <n v="1642478"/>
    <n v="1888850"/>
    <m/>
    <x v="1"/>
    <n v="1888850"/>
  </r>
  <r>
    <x v="1"/>
    <x v="6"/>
    <x v="6"/>
    <x v="4"/>
    <s v="Prestación de Servicios Públicos"/>
    <x v="5"/>
    <x v="52"/>
    <x v="33"/>
    <x v="59"/>
    <n v="1"/>
    <s v="Gobierno"/>
    <n v="4"/>
    <s v="Gobernación"/>
    <n v="3"/>
    <x v="9"/>
    <x v="5"/>
    <x v="18"/>
    <n v="1"/>
    <s v="Gasto corriente"/>
    <x v="0"/>
    <x v="0"/>
    <x v="0"/>
    <x v="0"/>
    <x v="0"/>
    <x v="0"/>
    <x v="0"/>
    <m/>
    <x v="0"/>
    <x v="0"/>
    <m/>
    <n v="52673076"/>
    <n v="0"/>
    <n v="-600001"/>
    <n v="52073075"/>
    <n v="80805985"/>
    <m/>
    <x v="1"/>
    <n v="80805985"/>
  </r>
  <r>
    <x v="1"/>
    <x v="6"/>
    <x v="6"/>
    <x v="4"/>
    <s v="Prestación de Servicios Públicos"/>
    <x v="7"/>
    <x v="53"/>
    <x v="34"/>
    <x v="60"/>
    <n v="1"/>
    <s v="Gobierno"/>
    <n v="4"/>
    <s v="Gobernación"/>
    <n v="4"/>
    <x v="10"/>
    <x v="6"/>
    <x v="19"/>
    <n v="1"/>
    <s v="Gasto corriente"/>
    <x v="0"/>
    <x v="1"/>
    <x v="0"/>
    <x v="0"/>
    <x v="0"/>
    <x v="0"/>
    <x v="0"/>
    <m/>
    <x v="0"/>
    <x v="0"/>
    <m/>
    <n v="535097"/>
    <n v="0"/>
    <n v="0"/>
    <n v="535097"/>
    <n v="615361"/>
    <m/>
    <x v="1"/>
    <n v="615361"/>
  </r>
  <r>
    <x v="1"/>
    <x v="6"/>
    <x v="6"/>
    <x v="4"/>
    <s v="Prestación de Servicios Públicos"/>
    <x v="7"/>
    <x v="53"/>
    <x v="34"/>
    <x v="60"/>
    <n v="1"/>
    <s v="Gobierno"/>
    <n v="4"/>
    <s v="Gobernación"/>
    <n v="4"/>
    <x v="10"/>
    <x v="6"/>
    <x v="19"/>
    <n v="1"/>
    <s v="Gasto corriente"/>
    <x v="0"/>
    <x v="0"/>
    <x v="0"/>
    <x v="0"/>
    <x v="0"/>
    <x v="0"/>
    <x v="0"/>
    <m/>
    <x v="0"/>
    <x v="0"/>
    <m/>
    <n v="14015037"/>
    <n v="0"/>
    <n v="-99999"/>
    <n v="13915038"/>
    <n v="16359841"/>
    <m/>
    <x v="1"/>
    <n v="16359841"/>
  </r>
  <r>
    <x v="1"/>
    <x v="6"/>
    <x v="6"/>
    <x v="4"/>
    <s v="Prestación de Servicios Públicos"/>
    <x v="9"/>
    <x v="54"/>
    <x v="35"/>
    <x v="61"/>
    <n v="1"/>
    <s v="Gobierno"/>
    <n v="4"/>
    <s v="Gobernación"/>
    <n v="4"/>
    <x v="10"/>
    <x v="7"/>
    <x v="20"/>
    <n v="1"/>
    <s v="Gasto corriente"/>
    <x v="0"/>
    <x v="1"/>
    <x v="0"/>
    <x v="0"/>
    <x v="0"/>
    <x v="1"/>
    <x v="1"/>
    <m/>
    <x v="0"/>
    <x v="0"/>
    <n v="1"/>
    <n v="75269113"/>
    <n v="0"/>
    <n v="0"/>
    <n v="75269113"/>
    <n v="86810948"/>
    <m/>
    <x v="1"/>
    <n v="86810948"/>
  </r>
  <r>
    <x v="1"/>
    <x v="6"/>
    <x v="6"/>
    <x v="4"/>
    <s v="Prestación de Servicios Públicos"/>
    <x v="9"/>
    <x v="54"/>
    <x v="35"/>
    <x v="61"/>
    <n v="1"/>
    <s v="Gobierno"/>
    <n v="4"/>
    <s v="Gobernación"/>
    <n v="4"/>
    <x v="10"/>
    <x v="7"/>
    <x v="20"/>
    <n v="1"/>
    <s v="Gasto corriente"/>
    <x v="0"/>
    <x v="0"/>
    <x v="0"/>
    <x v="0"/>
    <x v="0"/>
    <x v="1"/>
    <x v="1"/>
    <m/>
    <x v="0"/>
    <x v="0"/>
    <n v="1"/>
    <n v="1771761120"/>
    <n v="0"/>
    <n v="-79441275"/>
    <n v="1692319845"/>
    <n v="1701962816"/>
    <m/>
    <x v="1"/>
    <n v="1701962816"/>
  </r>
  <r>
    <x v="1"/>
    <x v="6"/>
    <x v="6"/>
    <x v="4"/>
    <s v="Prestación de Servicios Públicos"/>
    <x v="11"/>
    <x v="55"/>
    <x v="36"/>
    <x v="62"/>
    <n v="1"/>
    <s v="Gobierno"/>
    <n v="6"/>
    <s v="Orden, Seguridad y Justicia"/>
    <n v="4"/>
    <x v="1"/>
    <x v="8"/>
    <x v="21"/>
    <n v="1"/>
    <s v="Gasto corriente"/>
    <x v="0"/>
    <x v="1"/>
    <x v="0"/>
    <x v="0"/>
    <x v="0"/>
    <x v="0"/>
    <x v="0"/>
    <m/>
    <x v="0"/>
    <x v="0"/>
    <m/>
    <n v="12933706"/>
    <n v="0"/>
    <n v="0"/>
    <n v="12933706"/>
    <n v="14873762"/>
    <m/>
    <x v="1"/>
    <n v="14873762"/>
  </r>
  <r>
    <x v="1"/>
    <x v="6"/>
    <x v="6"/>
    <x v="4"/>
    <s v="Prestación de Servicios Públicos"/>
    <x v="11"/>
    <x v="55"/>
    <x v="36"/>
    <x v="62"/>
    <n v="1"/>
    <s v="Gobierno"/>
    <n v="6"/>
    <s v="Orden, Seguridad y Justicia"/>
    <n v="4"/>
    <x v="1"/>
    <x v="8"/>
    <x v="21"/>
    <n v="1"/>
    <s v="Gasto corriente"/>
    <x v="0"/>
    <x v="0"/>
    <x v="0"/>
    <x v="0"/>
    <x v="0"/>
    <x v="0"/>
    <x v="0"/>
    <m/>
    <x v="0"/>
    <x v="0"/>
    <m/>
    <n v="266863907"/>
    <n v="0"/>
    <n v="-23273559"/>
    <n v="243590348"/>
    <n v="201171531"/>
    <m/>
    <x v="3"/>
    <n v="211171531"/>
  </r>
  <r>
    <x v="1"/>
    <x v="6"/>
    <x v="6"/>
    <x v="4"/>
    <s v="Prestación de Servicios Públicos"/>
    <x v="12"/>
    <x v="56"/>
    <x v="37"/>
    <x v="63"/>
    <n v="1"/>
    <s v="Gobierno"/>
    <n v="4"/>
    <s v="Gobernación"/>
    <n v="2"/>
    <x v="8"/>
    <x v="9"/>
    <x v="22"/>
    <n v="1"/>
    <s v="Gasto corriente"/>
    <x v="0"/>
    <x v="0"/>
    <x v="0"/>
    <x v="0"/>
    <x v="0"/>
    <x v="1"/>
    <x v="1"/>
    <m/>
    <x v="0"/>
    <x v="0"/>
    <m/>
    <n v="102025359"/>
    <n v="0"/>
    <n v="0"/>
    <n v="102025359"/>
    <n v="93996187"/>
    <m/>
    <x v="1"/>
    <n v="93996187"/>
  </r>
  <r>
    <x v="1"/>
    <x v="6"/>
    <x v="6"/>
    <x v="4"/>
    <s v="Prestación de Servicios Públicos"/>
    <x v="13"/>
    <x v="57"/>
    <x v="38"/>
    <x v="64"/>
    <n v="1"/>
    <s v="Gobierno"/>
    <n v="4"/>
    <s v="Gobernación"/>
    <n v="4"/>
    <x v="10"/>
    <x v="10"/>
    <x v="23"/>
    <n v="1"/>
    <s v="Gasto corriente"/>
    <x v="0"/>
    <x v="1"/>
    <x v="0"/>
    <x v="0"/>
    <x v="0"/>
    <x v="0"/>
    <x v="0"/>
    <m/>
    <x v="0"/>
    <x v="0"/>
    <m/>
    <n v="734688"/>
    <n v="0"/>
    <n v="0"/>
    <n v="734688"/>
    <n v="965430"/>
    <m/>
    <x v="1"/>
    <n v="965430"/>
  </r>
  <r>
    <x v="1"/>
    <x v="6"/>
    <x v="6"/>
    <x v="4"/>
    <s v="Prestación de Servicios Públicos"/>
    <x v="13"/>
    <x v="57"/>
    <x v="38"/>
    <x v="64"/>
    <n v="1"/>
    <s v="Gobierno"/>
    <n v="4"/>
    <s v="Gobernación"/>
    <n v="4"/>
    <x v="10"/>
    <x v="10"/>
    <x v="23"/>
    <n v="1"/>
    <s v="Gasto corriente"/>
    <x v="0"/>
    <x v="0"/>
    <x v="0"/>
    <x v="0"/>
    <x v="0"/>
    <x v="0"/>
    <x v="0"/>
    <m/>
    <x v="0"/>
    <x v="0"/>
    <m/>
    <n v="38091640"/>
    <n v="0"/>
    <n v="-3780611"/>
    <n v="34311029"/>
    <n v="32560197"/>
    <m/>
    <x v="1"/>
    <n v="32560197"/>
  </r>
  <r>
    <x v="1"/>
    <x v="6"/>
    <x v="6"/>
    <x v="4"/>
    <s v="Prestación de Servicios Públicos"/>
    <x v="13"/>
    <x v="57"/>
    <x v="39"/>
    <x v="65"/>
    <n v="1"/>
    <s v="Gobierno"/>
    <n v="4"/>
    <s v="Gobernación"/>
    <n v="4"/>
    <x v="10"/>
    <x v="10"/>
    <x v="23"/>
    <n v="1"/>
    <s v="Gasto corriente"/>
    <x v="0"/>
    <x v="1"/>
    <x v="0"/>
    <x v="0"/>
    <x v="0"/>
    <x v="0"/>
    <x v="0"/>
    <m/>
    <x v="0"/>
    <x v="0"/>
    <m/>
    <n v="2791057"/>
    <n v="0"/>
    <n v="0"/>
    <n v="2791057"/>
    <n v="2871190"/>
    <m/>
    <x v="1"/>
    <n v="2871190"/>
  </r>
  <r>
    <x v="1"/>
    <x v="6"/>
    <x v="6"/>
    <x v="4"/>
    <s v="Prestación de Servicios Públicos"/>
    <x v="13"/>
    <x v="57"/>
    <x v="39"/>
    <x v="65"/>
    <n v="1"/>
    <s v="Gobierno"/>
    <n v="4"/>
    <s v="Gobernación"/>
    <n v="4"/>
    <x v="10"/>
    <x v="10"/>
    <x v="23"/>
    <n v="1"/>
    <s v="Gasto corriente"/>
    <x v="0"/>
    <x v="0"/>
    <x v="0"/>
    <x v="0"/>
    <x v="0"/>
    <x v="0"/>
    <x v="0"/>
    <m/>
    <x v="0"/>
    <x v="0"/>
    <m/>
    <n v="1111286054"/>
    <n v="855000000"/>
    <n v="-981656690"/>
    <n v="984629364"/>
    <n v="760105140"/>
    <m/>
    <x v="1"/>
    <n v="760105140"/>
  </r>
  <r>
    <x v="1"/>
    <x v="6"/>
    <x v="6"/>
    <x v="4"/>
    <s v="Prestación de Servicios Públicos"/>
    <x v="14"/>
    <x v="58"/>
    <x v="40"/>
    <x v="66"/>
    <n v="1"/>
    <s v="Gobierno"/>
    <n v="6"/>
    <s v="Orden, Seguridad y Justicia"/>
    <n v="6"/>
    <x v="11"/>
    <x v="11"/>
    <x v="24"/>
    <n v="1"/>
    <s v="Gasto corriente"/>
    <x v="0"/>
    <x v="0"/>
    <x v="0"/>
    <x v="0"/>
    <x v="0"/>
    <x v="0"/>
    <x v="0"/>
    <m/>
    <x v="0"/>
    <x v="0"/>
    <m/>
    <n v="189463331"/>
    <n v="0"/>
    <n v="0"/>
    <n v="189463331"/>
    <m/>
    <m/>
    <x v="1"/>
    <n v="0"/>
  </r>
  <r>
    <x v="1"/>
    <x v="6"/>
    <x v="6"/>
    <x v="4"/>
    <s v="Prestación de Servicios Públicos"/>
    <x v="14"/>
    <x v="58"/>
    <x v="41"/>
    <x v="66"/>
    <n v="1"/>
    <s v="Gobierno"/>
    <n v="6"/>
    <s v="Orden, Seguridad y Justicia"/>
    <n v="6"/>
    <x v="11"/>
    <x v="12"/>
    <x v="24"/>
    <n v="1"/>
    <s v="Gasto corriente"/>
    <x v="0"/>
    <x v="0"/>
    <x v="0"/>
    <x v="0"/>
    <x v="0"/>
    <x v="0"/>
    <x v="0"/>
    <m/>
    <x v="0"/>
    <x v="0"/>
    <m/>
    <m/>
    <m/>
    <m/>
    <m/>
    <n v="173708000"/>
    <m/>
    <x v="1"/>
    <n v="173708000"/>
  </r>
  <r>
    <x v="1"/>
    <x v="6"/>
    <x v="6"/>
    <x v="4"/>
    <s v="Prestación de Servicios Públicos"/>
    <x v="15"/>
    <x v="59"/>
    <x v="42"/>
    <x v="67"/>
    <n v="1"/>
    <s v="Gobierno"/>
    <n v="4"/>
    <s v="Gobernación"/>
    <n v="3"/>
    <x v="9"/>
    <x v="5"/>
    <x v="18"/>
    <n v="1"/>
    <s v="Gasto corriente"/>
    <x v="0"/>
    <x v="1"/>
    <x v="0"/>
    <x v="0"/>
    <x v="0"/>
    <x v="0"/>
    <x v="0"/>
    <m/>
    <x v="0"/>
    <x v="0"/>
    <m/>
    <m/>
    <m/>
    <m/>
    <m/>
    <n v="67839"/>
    <m/>
    <x v="1"/>
    <n v="67839"/>
  </r>
  <r>
    <x v="1"/>
    <x v="6"/>
    <x v="6"/>
    <x v="4"/>
    <s v="Prestación de Servicios Públicos"/>
    <x v="15"/>
    <x v="59"/>
    <x v="42"/>
    <x v="67"/>
    <n v="1"/>
    <s v="Gobierno"/>
    <n v="4"/>
    <s v="Gobernación"/>
    <n v="3"/>
    <x v="9"/>
    <x v="5"/>
    <x v="18"/>
    <n v="1"/>
    <s v="Gasto corriente"/>
    <x v="0"/>
    <x v="0"/>
    <x v="0"/>
    <x v="0"/>
    <x v="0"/>
    <x v="0"/>
    <x v="0"/>
    <m/>
    <x v="0"/>
    <x v="0"/>
    <m/>
    <m/>
    <m/>
    <m/>
    <m/>
    <n v="26363044"/>
    <m/>
    <x v="1"/>
    <n v="26363044"/>
  </r>
  <r>
    <x v="1"/>
    <x v="6"/>
    <x v="6"/>
    <x v="4"/>
    <s v="Prestación de Servicios Públicos"/>
    <x v="16"/>
    <x v="60"/>
    <x v="43"/>
    <x v="68"/>
    <n v="1"/>
    <s v="Gobierno"/>
    <n v="4"/>
    <s v="Gobernación"/>
    <n v="2"/>
    <x v="8"/>
    <x v="9"/>
    <x v="22"/>
    <n v="1"/>
    <s v="Gasto corriente"/>
    <x v="0"/>
    <x v="1"/>
    <x v="0"/>
    <x v="0"/>
    <x v="0"/>
    <x v="0"/>
    <x v="1"/>
    <m/>
    <x v="0"/>
    <x v="0"/>
    <m/>
    <n v="427181"/>
    <n v="0"/>
    <n v="0"/>
    <n v="427181"/>
    <n v="491258"/>
    <m/>
    <x v="1"/>
    <n v="491258"/>
  </r>
  <r>
    <x v="1"/>
    <x v="6"/>
    <x v="6"/>
    <x v="4"/>
    <s v="Prestación de Servicios Públicos"/>
    <x v="16"/>
    <x v="60"/>
    <x v="43"/>
    <x v="68"/>
    <n v="1"/>
    <s v="Gobierno"/>
    <n v="4"/>
    <s v="Gobernación"/>
    <n v="2"/>
    <x v="8"/>
    <x v="9"/>
    <x v="22"/>
    <n v="1"/>
    <s v="Gasto corriente"/>
    <x v="0"/>
    <x v="0"/>
    <x v="0"/>
    <x v="0"/>
    <x v="0"/>
    <x v="0"/>
    <x v="1"/>
    <m/>
    <x v="0"/>
    <x v="0"/>
    <m/>
    <n v="68260546"/>
    <n v="55000000"/>
    <n v="0"/>
    <n v="123260546"/>
    <n v="109605246"/>
    <m/>
    <x v="4"/>
    <n v="126605246"/>
  </r>
  <r>
    <x v="1"/>
    <x v="6"/>
    <x v="6"/>
    <x v="0"/>
    <s v="Proyectos de Inversión"/>
    <x v="16"/>
    <x v="61"/>
    <x v="31"/>
    <x v="57"/>
    <n v="1"/>
    <s v="Gobierno"/>
    <n v="4"/>
    <s v="Gobernación"/>
    <n v="2"/>
    <x v="8"/>
    <x v="0"/>
    <x v="17"/>
    <n v="2"/>
    <s v="Gasto de capital"/>
    <x v="0"/>
    <x v="0"/>
    <x v="0"/>
    <x v="0"/>
    <x v="0"/>
    <x v="0"/>
    <x v="0"/>
    <m/>
    <x v="0"/>
    <x v="0"/>
    <m/>
    <n v="146499999"/>
    <n v="0"/>
    <n v="0"/>
    <n v="146499999"/>
    <m/>
    <m/>
    <x v="1"/>
    <n v="0"/>
  </r>
  <r>
    <x v="1"/>
    <x v="6"/>
    <x v="6"/>
    <x v="2"/>
    <s v="Apoyo al proceso presupuestario y para mejorar la eficiencia institucional"/>
    <x v="2"/>
    <x v="34"/>
    <x v="44"/>
    <x v="39"/>
    <n v="1"/>
    <s v="Gobierno"/>
    <n v="4"/>
    <s v="Gobernación"/>
    <n v="2"/>
    <x v="8"/>
    <x v="3"/>
    <x v="12"/>
    <n v="1"/>
    <s v="Gasto corriente"/>
    <x v="0"/>
    <x v="1"/>
    <x v="0"/>
    <x v="0"/>
    <x v="0"/>
    <x v="0"/>
    <x v="0"/>
    <m/>
    <x v="0"/>
    <x v="0"/>
    <m/>
    <n v="429749"/>
    <n v="0"/>
    <n v="0"/>
    <n v="429749"/>
    <n v="581735"/>
    <m/>
    <x v="1"/>
    <n v="581735"/>
  </r>
  <r>
    <x v="1"/>
    <x v="6"/>
    <x v="6"/>
    <x v="2"/>
    <s v="Apoyo al proceso presupuestario y para mejorar la eficiencia institucional"/>
    <x v="2"/>
    <x v="34"/>
    <x v="44"/>
    <x v="39"/>
    <n v="1"/>
    <s v="Gobierno"/>
    <n v="4"/>
    <s v="Gobernación"/>
    <n v="2"/>
    <x v="8"/>
    <x v="3"/>
    <x v="12"/>
    <n v="1"/>
    <s v="Gasto corriente"/>
    <x v="0"/>
    <x v="0"/>
    <x v="0"/>
    <x v="0"/>
    <x v="0"/>
    <x v="0"/>
    <x v="0"/>
    <m/>
    <x v="0"/>
    <x v="0"/>
    <m/>
    <n v="30980746"/>
    <n v="0"/>
    <n v="0"/>
    <n v="30980746"/>
    <n v="29940952"/>
    <m/>
    <x v="1"/>
    <n v="29940952"/>
  </r>
  <r>
    <x v="1"/>
    <x v="6"/>
    <x v="6"/>
    <x v="2"/>
    <s v="Apoyo al proceso presupuestario y para mejorar la eficiencia institucional"/>
    <x v="2"/>
    <x v="34"/>
    <x v="45"/>
    <x v="69"/>
    <n v="1"/>
    <s v="Gobierno"/>
    <n v="4"/>
    <s v="Gobernación"/>
    <n v="2"/>
    <x v="8"/>
    <x v="3"/>
    <x v="12"/>
    <n v="1"/>
    <s v="Gasto corriente"/>
    <x v="0"/>
    <x v="1"/>
    <x v="0"/>
    <x v="0"/>
    <x v="0"/>
    <x v="0"/>
    <x v="0"/>
    <m/>
    <x v="0"/>
    <x v="0"/>
    <m/>
    <n v="4220039"/>
    <n v="0"/>
    <n v="0"/>
    <n v="4220039"/>
    <n v="8796186"/>
    <m/>
    <x v="1"/>
    <n v="8796186"/>
  </r>
  <r>
    <x v="1"/>
    <x v="6"/>
    <x v="6"/>
    <x v="2"/>
    <s v="Apoyo al proceso presupuestario y para mejorar la eficiencia institucional"/>
    <x v="2"/>
    <x v="34"/>
    <x v="45"/>
    <x v="69"/>
    <n v="1"/>
    <s v="Gobierno"/>
    <n v="4"/>
    <s v="Gobernación"/>
    <n v="2"/>
    <x v="8"/>
    <x v="3"/>
    <x v="12"/>
    <n v="1"/>
    <s v="Gasto corriente"/>
    <x v="0"/>
    <x v="0"/>
    <x v="0"/>
    <x v="0"/>
    <x v="0"/>
    <x v="0"/>
    <x v="0"/>
    <m/>
    <x v="0"/>
    <x v="0"/>
    <m/>
    <n v="116866274"/>
    <n v="0"/>
    <n v="-907347"/>
    <n v="115958927"/>
    <n v="198985069"/>
    <m/>
    <x v="1"/>
    <n v="198985069"/>
  </r>
  <r>
    <x v="1"/>
    <x v="6"/>
    <x v="6"/>
    <x v="2"/>
    <s v="Apoyo al proceso presupuestario y para mejorar la eficiencia institucional"/>
    <x v="2"/>
    <x v="34"/>
    <x v="46"/>
    <x v="70"/>
    <n v="1"/>
    <s v="Gobierno"/>
    <n v="4"/>
    <s v="Gobernación"/>
    <n v="2"/>
    <x v="8"/>
    <x v="3"/>
    <x v="12"/>
    <n v="1"/>
    <s v="Gasto corriente"/>
    <x v="0"/>
    <x v="1"/>
    <x v="0"/>
    <x v="0"/>
    <x v="0"/>
    <x v="0"/>
    <x v="0"/>
    <m/>
    <x v="0"/>
    <x v="0"/>
    <m/>
    <n v="1452876"/>
    <n v="0"/>
    <n v="0"/>
    <n v="1452876"/>
    <n v="1524859"/>
    <m/>
    <x v="1"/>
    <n v="1524859"/>
  </r>
  <r>
    <x v="1"/>
    <x v="6"/>
    <x v="6"/>
    <x v="2"/>
    <s v="Apoyo al proceso presupuestario y para mejorar la eficiencia institucional"/>
    <x v="2"/>
    <x v="34"/>
    <x v="46"/>
    <x v="70"/>
    <n v="1"/>
    <s v="Gobierno"/>
    <n v="4"/>
    <s v="Gobernación"/>
    <n v="2"/>
    <x v="8"/>
    <x v="3"/>
    <x v="12"/>
    <n v="1"/>
    <s v="Gasto corriente"/>
    <x v="0"/>
    <x v="0"/>
    <x v="0"/>
    <x v="0"/>
    <x v="0"/>
    <x v="0"/>
    <x v="0"/>
    <m/>
    <x v="0"/>
    <x v="0"/>
    <m/>
    <n v="44471337"/>
    <n v="0"/>
    <n v="0"/>
    <n v="44471337"/>
    <n v="39155961"/>
    <m/>
    <x v="1"/>
    <n v="39155961"/>
  </r>
  <r>
    <x v="1"/>
    <x v="6"/>
    <x v="6"/>
    <x v="2"/>
    <s v="Apoyo al proceso presupuestario y para mejorar la eficiencia institucional"/>
    <x v="2"/>
    <x v="34"/>
    <x v="47"/>
    <x v="71"/>
    <n v="1"/>
    <s v="Gobierno"/>
    <n v="4"/>
    <s v="Gobernación"/>
    <n v="2"/>
    <x v="8"/>
    <x v="3"/>
    <x v="12"/>
    <n v="1"/>
    <s v="Gasto corriente"/>
    <x v="0"/>
    <x v="1"/>
    <x v="0"/>
    <x v="0"/>
    <x v="0"/>
    <x v="0"/>
    <x v="0"/>
    <m/>
    <x v="0"/>
    <x v="0"/>
    <n v="1"/>
    <n v="3401355"/>
    <n v="0"/>
    <n v="0"/>
    <n v="3401355"/>
    <n v="4035936"/>
    <m/>
    <x v="1"/>
    <n v="4035936"/>
  </r>
  <r>
    <x v="1"/>
    <x v="6"/>
    <x v="6"/>
    <x v="2"/>
    <s v="Apoyo al proceso presupuestario y para mejorar la eficiencia institucional"/>
    <x v="2"/>
    <x v="34"/>
    <x v="47"/>
    <x v="71"/>
    <n v="1"/>
    <s v="Gobierno"/>
    <n v="4"/>
    <s v="Gobernación"/>
    <n v="2"/>
    <x v="8"/>
    <x v="3"/>
    <x v="12"/>
    <n v="1"/>
    <s v="Gasto corriente"/>
    <x v="0"/>
    <x v="0"/>
    <x v="0"/>
    <x v="0"/>
    <x v="0"/>
    <x v="0"/>
    <x v="0"/>
    <m/>
    <x v="0"/>
    <x v="0"/>
    <n v="1"/>
    <n v="151284211"/>
    <n v="0"/>
    <n v="-13917147"/>
    <n v="137367064"/>
    <n v="115902797"/>
    <m/>
    <x v="1"/>
    <n v="115902797"/>
  </r>
  <r>
    <x v="1"/>
    <x v="6"/>
    <x v="6"/>
    <x v="2"/>
    <s v="Apoyo al proceso presupuestario y para mejorar la eficiencia institucional"/>
    <x v="2"/>
    <x v="34"/>
    <x v="48"/>
    <x v="72"/>
    <n v="1"/>
    <s v="Gobierno"/>
    <n v="4"/>
    <s v="Gobernación"/>
    <n v="2"/>
    <x v="8"/>
    <x v="3"/>
    <x v="12"/>
    <n v="1"/>
    <s v="Gasto corriente"/>
    <x v="0"/>
    <x v="1"/>
    <x v="0"/>
    <x v="0"/>
    <x v="0"/>
    <x v="0"/>
    <x v="0"/>
    <m/>
    <x v="0"/>
    <x v="0"/>
    <m/>
    <n v="908103"/>
    <n v="0"/>
    <n v="0"/>
    <n v="908103"/>
    <n v="1009887"/>
    <m/>
    <x v="1"/>
    <n v="1009887"/>
  </r>
  <r>
    <x v="1"/>
    <x v="6"/>
    <x v="6"/>
    <x v="2"/>
    <s v="Apoyo al proceso presupuestario y para mejorar la eficiencia institucional"/>
    <x v="2"/>
    <x v="34"/>
    <x v="48"/>
    <x v="72"/>
    <n v="1"/>
    <s v="Gobierno"/>
    <n v="4"/>
    <s v="Gobernación"/>
    <n v="2"/>
    <x v="8"/>
    <x v="3"/>
    <x v="12"/>
    <n v="1"/>
    <s v="Gasto corriente"/>
    <x v="0"/>
    <x v="0"/>
    <x v="0"/>
    <x v="0"/>
    <x v="0"/>
    <x v="0"/>
    <x v="0"/>
    <m/>
    <x v="0"/>
    <x v="0"/>
    <m/>
    <n v="72849675"/>
    <n v="0"/>
    <n v="-132300"/>
    <n v="72717375"/>
    <n v="69568501"/>
    <m/>
    <x v="1"/>
    <n v="69568501"/>
  </r>
  <r>
    <x v="1"/>
    <x v="6"/>
    <x v="6"/>
    <x v="2"/>
    <s v="Apoyo al proceso presupuestario y para mejorar la eficiencia institucional"/>
    <x v="2"/>
    <x v="34"/>
    <x v="37"/>
    <x v="63"/>
    <n v="1"/>
    <s v="Gobierno"/>
    <n v="4"/>
    <s v="Gobernación"/>
    <n v="2"/>
    <x v="8"/>
    <x v="3"/>
    <x v="12"/>
    <n v="1"/>
    <s v="Gasto corriente"/>
    <x v="0"/>
    <x v="0"/>
    <x v="0"/>
    <x v="0"/>
    <x v="0"/>
    <x v="1"/>
    <x v="0"/>
    <m/>
    <x v="0"/>
    <x v="0"/>
    <m/>
    <n v="1490131"/>
    <n v="0"/>
    <n v="0"/>
    <n v="1490131"/>
    <n v="1311315"/>
    <m/>
    <x v="1"/>
    <n v="1311315"/>
  </r>
  <r>
    <x v="1"/>
    <x v="6"/>
    <x v="6"/>
    <x v="2"/>
    <s v="Apoyo al proceso presupuestario y para mejorar la eficiencia institucional"/>
    <x v="2"/>
    <x v="34"/>
    <x v="41"/>
    <x v="66"/>
    <n v="1"/>
    <s v="Gobierno"/>
    <n v="4"/>
    <s v="Gobernación"/>
    <n v="2"/>
    <x v="8"/>
    <x v="3"/>
    <x v="12"/>
    <n v="1"/>
    <s v="Gasto corriente"/>
    <x v="0"/>
    <x v="0"/>
    <x v="0"/>
    <x v="0"/>
    <x v="0"/>
    <x v="0"/>
    <x v="0"/>
    <m/>
    <x v="0"/>
    <x v="0"/>
    <m/>
    <m/>
    <m/>
    <m/>
    <m/>
    <n v="36012274"/>
    <m/>
    <x v="1"/>
    <n v="36012274"/>
  </r>
  <r>
    <x v="1"/>
    <x v="6"/>
    <x v="6"/>
    <x v="6"/>
    <s v="Desastres Naturales"/>
    <x v="2"/>
    <x v="62"/>
    <x v="23"/>
    <x v="73"/>
    <n v="1"/>
    <s v="Gobierno"/>
    <n v="4"/>
    <s v="Gobernación"/>
    <n v="7"/>
    <x v="12"/>
    <x v="13"/>
    <x v="25"/>
    <n v="1"/>
    <s v="Gasto corriente"/>
    <x v="0"/>
    <x v="1"/>
    <x v="0"/>
    <x v="0"/>
    <x v="0"/>
    <x v="0"/>
    <x v="1"/>
    <m/>
    <x v="0"/>
    <x v="0"/>
    <m/>
    <n v="385679"/>
    <n v="0"/>
    <n v="0"/>
    <n v="385679"/>
    <n v="501913"/>
    <m/>
    <x v="1"/>
    <n v="501913"/>
  </r>
  <r>
    <x v="1"/>
    <x v="6"/>
    <x v="6"/>
    <x v="6"/>
    <s v="Desastres Naturales"/>
    <x v="2"/>
    <x v="62"/>
    <x v="23"/>
    <x v="73"/>
    <n v="1"/>
    <s v="Gobierno"/>
    <n v="4"/>
    <s v="Gobernación"/>
    <n v="7"/>
    <x v="12"/>
    <x v="13"/>
    <x v="25"/>
    <n v="1"/>
    <s v="Gasto corriente"/>
    <x v="0"/>
    <x v="0"/>
    <x v="0"/>
    <x v="0"/>
    <x v="0"/>
    <x v="0"/>
    <x v="1"/>
    <m/>
    <x v="0"/>
    <x v="0"/>
    <m/>
    <n v="18969372"/>
    <n v="5000000"/>
    <n v="0"/>
    <n v="23969372"/>
    <n v="29349377"/>
    <m/>
    <x v="1"/>
    <n v="29349377"/>
  </r>
  <r>
    <x v="1"/>
    <x v="6"/>
    <x v="6"/>
    <x v="6"/>
    <s v="Desastres Naturales"/>
    <x v="2"/>
    <x v="62"/>
    <x v="19"/>
    <x v="74"/>
    <n v="1"/>
    <s v="Gobierno"/>
    <n v="4"/>
    <s v="Gobernación"/>
    <n v="7"/>
    <x v="12"/>
    <x v="13"/>
    <x v="25"/>
    <n v="1"/>
    <s v="Gasto corriente"/>
    <x v="0"/>
    <x v="1"/>
    <x v="0"/>
    <x v="0"/>
    <x v="0"/>
    <x v="0"/>
    <x v="0"/>
    <m/>
    <x v="0"/>
    <x v="0"/>
    <m/>
    <n v="1063085"/>
    <n v="0"/>
    <n v="0"/>
    <n v="1063085"/>
    <n v="1355850"/>
    <m/>
    <x v="1"/>
    <n v="1355850"/>
  </r>
  <r>
    <x v="1"/>
    <x v="6"/>
    <x v="6"/>
    <x v="6"/>
    <s v="Desastres Naturales"/>
    <x v="2"/>
    <x v="62"/>
    <x v="19"/>
    <x v="74"/>
    <n v="1"/>
    <s v="Gobierno"/>
    <n v="4"/>
    <s v="Gobernación"/>
    <n v="7"/>
    <x v="12"/>
    <x v="13"/>
    <x v="25"/>
    <n v="1"/>
    <s v="Gasto corriente"/>
    <x v="0"/>
    <x v="0"/>
    <x v="0"/>
    <x v="0"/>
    <x v="0"/>
    <x v="0"/>
    <x v="0"/>
    <m/>
    <x v="0"/>
    <x v="0"/>
    <m/>
    <n v="42335320"/>
    <n v="0"/>
    <n v="-8896813"/>
    <n v="33438507"/>
    <n v="34864249"/>
    <m/>
    <x v="1"/>
    <n v="34864249"/>
  </r>
  <r>
    <x v="1"/>
    <x v="6"/>
    <x v="6"/>
    <x v="6"/>
    <s v="Desastres Naturales"/>
    <x v="2"/>
    <x v="62"/>
    <x v="20"/>
    <x v="75"/>
    <n v="1"/>
    <s v="Gobierno"/>
    <n v="4"/>
    <s v="Gobernación"/>
    <n v="7"/>
    <x v="12"/>
    <x v="13"/>
    <x v="25"/>
    <n v="1"/>
    <s v="Gasto corriente"/>
    <x v="0"/>
    <x v="1"/>
    <x v="0"/>
    <x v="0"/>
    <x v="0"/>
    <x v="0"/>
    <x v="0"/>
    <m/>
    <x v="0"/>
    <x v="1"/>
    <m/>
    <n v="391358"/>
    <n v="0"/>
    <n v="0"/>
    <n v="391358"/>
    <n v="558326"/>
    <m/>
    <x v="1"/>
    <n v="558326"/>
  </r>
  <r>
    <x v="1"/>
    <x v="6"/>
    <x v="6"/>
    <x v="6"/>
    <s v="Desastres Naturales"/>
    <x v="2"/>
    <x v="62"/>
    <x v="20"/>
    <x v="75"/>
    <n v="1"/>
    <s v="Gobierno"/>
    <n v="4"/>
    <s v="Gobernación"/>
    <n v="7"/>
    <x v="12"/>
    <x v="13"/>
    <x v="25"/>
    <n v="1"/>
    <s v="Gasto corriente"/>
    <x v="0"/>
    <x v="0"/>
    <x v="0"/>
    <x v="0"/>
    <x v="0"/>
    <x v="0"/>
    <x v="0"/>
    <m/>
    <x v="0"/>
    <x v="1"/>
    <m/>
    <n v="16666727"/>
    <n v="0"/>
    <n v="0"/>
    <n v="16666727"/>
    <n v="18833065"/>
    <m/>
    <x v="1"/>
    <n v="18833065"/>
  </r>
  <r>
    <x v="1"/>
    <x v="6"/>
    <x v="6"/>
    <x v="6"/>
    <s v="Desastres Naturales"/>
    <x v="2"/>
    <x v="62"/>
    <x v="49"/>
    <x v="76"/>
    <n v="1"/>
    <s v="Gobierno"/>
    <n v="4"/>
    <s v="Gobernación"/>
    <n v="7"/>
    <x v="12"/>
    <x v="13"/>
    <x v="25"/>
    <n v="1"/>
    <s v="Gasto corriente"/>
    <x v="0"/>
    <x v="1"/>
    <x v="0"/>
    <x v="1"/>
    <x v="0"/>
    <x v="0"/>
    <x v="0"/>
    <m/>
    <x v="0"/>
    <x v="1"/>
    <m/>
    <n v="1642029"/>
    <n v="0"/>
    <n v="0"/>
    <n v="1642029"/>
    <n v="1888333"/>
    <m/>
    <x v="1"/>
    <n v="1888333"/>
  </r>
  <r>
    <x v="1"/>
    <x v="6"/>
    <x v="6"/>
    <x v="6"/>
    <s v="Desastres Naturales"/>
    <x v="2"/>
    <x v="62"/>
    <x v="49"/>
    <x v="76"/>
    <n v="1"/>
    <s v="Gobierno"/>
    <n v="4"/>
    <s v="Gobernación"/>
    <n v="7"/>
    <x v="12"/>
    <x v="13"/>
    <x v="25"/>
    <n v="1"/>
    <s v="Gasto corriente"/>
    <x v="0"/>
    <x v="0"/>
    <x v="0"/>
    <x v="1"/>
    <x v="0"/>
    <x v="0"/>
    <x v="0"/>
    <m/>
    <x v="0"/>
    <x v="1"/>
    <m/>
    <n v="49172945"/>
    <n v="0"/>
    <n v="-399999"/>
    <n v="48772946"/>
    <n v="48511712"/>
    <m/>
    <x v="1"/>
    <n v="48511712"/>
  </r>
  <r>
    <x v="1"/>
    <x v="6"/>
    <x v="6"/>
    <x v="3"/>
    <s v="Apoyo a la función pública y al mejoramiento de la gestión"/>
    <x v="2"/>
    <x v="42"/>
    <x v="21"/>
    <x v="77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878766"/>
    <n v="0"/>
    <n v="0"/>
    <n v="878766"/>
    <n v="1192531"/>
    <m/>
    <x v="1"/>
    <n v="1192531"/>
  </r>
  <r>
    <x v="1"/>
    <x v="6"/>
    <x v="6"/>
    <x v="3"/>
    <s v="Apoyo a la función pública y al mejoramiento de la gestión"/>
    <x v="2"/>
    <x v="42"/>
    <x v="21"/>
    <x v="7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3255666"/>
    <n v="0"/>
    <n v="0"/>
    <n v="33255666"/>
    <n v="32651393"/>
    <m/>
    <x v="1"/>
    <n v="32651393"/>
  </r>
  <r>
    <x v="1"/>
    <x v="6"/>
    <x v="6"/>
    <x v="3"/>
    <s v="Apoyo a la función pública y al mejoramiento de la gestión"/>
    <x v="2"/>
    <x v="42"/>
    <x v="37"/>
    <x v="6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1"/>
    <x v="0"/>
    <m/>
    <x v="0"/>
    <x v="0"/>
    <m/>
    <n v="1424063"/>
    <n v="0"/>
    <n v="0"/>
    <n v="1424063"/>
    <n v="1387196"/>
    <m/>
    <x v="1"/>
    <n v="1387196"/>
  </r>
  <r>
    <x v="1"/>
    <x v="6"/>
    <x v="6"/>
    <x v="3"/>
    <s v="Apoyo a la función pública y al mejoramiento de la gestión"/>
    <x v="2"/>
    <x v="42"/>
    <x v="41"/>
    <x v="6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m/>
    <m/>
    <m/>
    <m/>
    <n v="3193800"/>
    <m/>
    <x v="1"/>
    <n v="3193800"/>
  </r>
  <r>
    <x v="1"/>
    <x v="6"/>
    <x v="6"/>
    <x v="5"/>
    <s v="Planeación, seguimiento y evaluación de políticas públicas"/>
    <x v="2"/>
    <x v="63"/>
    <x v="1"/>
    <x v="78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1147419"/>
    <n v="0"/>
    <n v="0"/>
    <n v="1147419"/>
    <n v="1577784"/>
    <m/>
    <x v="1"/>
    <n v="1577784"/>
  </r>
  <r>
    <x v="1"/>
    <x v="6"/>
    <x v="6"/>
    <x v="5"/>
    <s v="Planeación, seguimiento y evaluación de políticas públicas"/>
    <x v="2"/>
    <x v="63"/>
    <x v="1"/>
    <x v="78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86271741"/>
    <n v="0"/>
    <n v="0"/>
    <n v="86271741"/>
    <n v="82911123"/>
    <m/>
    <x v="1"/>
    <n v="82911123"/>
  </r>
  <r>
    <x v="1"/>
    <x v="6"/>
    <x v="6"/>
    <x v="5"/>
    <s v="Planeación, seguimiento y evaluación de políticas públicas"/>
    <x v="2"/>
    <x v="63"/>
    <x v="0"/>
    <x v="79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982279"/>
    <n v="0"/>
    <n v="0"/>
    <n v="982279"/>
    <n v="1199238"/>
    <m/>
    <x v="1"/>
    <n v="1199238"/>
  </r>
  <r>
    <x v="1"/>
    <x v="6"/>
    <x v="6"/>
    <x v="5"/>
    <s v="Planeación, seguimiento y evaluación de políticas públicas"/>
    <x v="2"/>
    <x v="63"/>
    <x v="0"/>
    <x v="79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56056642"/>
    <n v="0"/>
    <n v="-15878565"/>
    <n v="40178077"/>
    <n v="79125786"/>
    <m/>
    <x v="1"/>
    <n v="79125786"/>
  </r>
  <r>
    <x v="1"/>
    <x v="6"/>
    <x v="6"/>
    <x v="5"/>
    <s v="Planeación, seguimiento y evaluación de políticas públicas"/>
    <x v="2"/>
    <x v="63"/>
    <x v="5"/>
    <x v="80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5364930"/>
    <n v="0"/>
    <n v="0"/>
    <n v="5364930"/>
    <n v="5709676"/>
    <m/>
    <x v="1"/>
    <n v="5709676"/>
  </r>
  <r>
    <x v="1"/>
    <x v="6"/>
    <x v="6"/>
    <x v="5"/>
    <s v="Planeación, seguimiento y evaluación de políticas públicas"/>
    <x v="2"/>
    <x v="63"/>
    <x v="5"/>
    <x v="80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123999563"/>
    <n v="0"/>
    <n v="-17685165"/>
    <n v="106314398"/>
    <n v="108514742"/>
    <m/>
    <x v="1"/>
    <n v="108514742"/>
  </r>
  <r>
    <x v="1"/>
    <x v="6"/>
    <x v="6"/>
    <x v="5"/>
    <s v="Planeación, seguimiento y evaluación de políticas públicas"/>
    <x v="2"/>
    <x v="63"/>
    <x v="50"/>
    <x v="81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479814"/>
    <n v="0"/>
    <n v="0"/>
    <n v="479814"/>
    <n v="665837"/>
    <m/>
    <x v="1"/>
    <n v="665837"/>
  </r>
  <r>
    <x v="1"/>
    <x v="6"/>
    <x v="6"/>
    <x v="5"/>
    <s v="Planeación, seguimiento y evaluación de políticas públicas"/>
    <x v="2"/>
    <x v="63"/>
    <x v="50"/>
    <x v="81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18169754"/>
    <n v="0"/>
    <n v="0"/>
    <n v="18169754"/>
    <n v="18559662"/>
    <m/>
    <x v="1"/>
    <n v="18559662"/>
  </r>
  <r>
    <x v="1"/>
    <x v="6"/>
    <x v="6"/>
    <x v="5"/>
    <s v="Planeación, seguimiento y evaluación de políticas públicas"/>
    <x v="2"/>
    <x v="63"/>
    <x v="51"/>
    <x v="82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2344440"/>
    <n v="0"/>
    <n v="0"/>
    <n v="2344440"/>
    <n v="2157107"/>
    <m/>
    <x v="1"/>
    <n v="2157107"/>
  </r>
  <r>
    <x v="1"/>
    <x v="6"/>
    <x v="6"/>
    <x v="5"/>
    <s v="Planeación, seguimiento y evaluación de políticas públicas"/>
    <x v="2"/>
    <x v="63"/>
    <x v="51"/>
    <x v="82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78565223"/>
    <n v="0"/>
    <n v="-2268366"/>
    <n v="76296857"/>
    <n v="59657284"/>
    <m/>
    <x v="1"/>
    <n v="59657284"/>
  </r>
  <r>
    <x v="1"/>
    <x v="6"/>
    <x v="6"/>
    <x v="5"/>
    <s v="Planeación, seguimiento y evaluación de políticas públicas"/>
    <x v="2"/>
    <x v="63"/>
    <x v="52"/>
    <x v="83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638861"/>
    <n v="0"/>
    <n v="0"/>
    <n v="638861"/>
    <n v="802535"/>
    <m/>
    <x v="1"/>
    <n v="802535"/>
  </r>
  <r>
    <x v="1"/>
    <x v="6"/>
    <x v="6"/>
    <x v="5"/>
    <s v="Planeación, seguimiento y evaluación de políticas públicas"/>
    <x v="2"/>
    <x v="63"/>
    <x v="52"/>
    <x v="83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30436850"/>
    <n v="0"/>
    <n v="0"/>
    <n v="30436850"/>
    <n v="26606967"/>
    <m/>
    <x v="1"/>
    <n v="26606967"/>
  </r>
  <r>
    <x v="1"/>
    <x v="6"/>
    <x v="6"/>
    <x v="5"/>
    <s v="Planeación, seguimiento y evaluación de políticas públicas"/>
    <x v="2"/>
    <x v="63"/>
    <x v="7"/>
    <x v="84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575485"/>
    <n v="0"/>
    <n v="0"/>
    <n v="575485"/>
    <n v="749064"/>
    <m/>
    <x v="1"/>
    <n v="749064"/>
  </r>
  <r>
    <x v="1"/>
    <x v="6"/>
    <x v="6"/>
    <x v="5"/>
    <s v="Planeación, seguimiento y evaluación de políticas públicas"/>
    <x v="2"/>
    <x v="63"/>
    <x v="7"/>
    <x v="84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46772366"/>
    <n v="0"/>
    <n v="-17736965"/>
    <n v="29035401"/>
    <n v="29001600"/>
    <m/>
    <x v="1"/>
    <n v="29001600"/>
  </r>
  <r>
    <x v="1"/>
    <x v="6"/>
    <x v="6"/>
    <x v="5"/>
    <s v="Planeación, seguimiento y evaluación de políticas públicas"/>
    <x v="2"/>
    <x v="63"/>
    <x v="53"/>
    <x v="85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268329"/>
    <n v="0"/>
    <n v="0"/>
    <n v="268329"/>
    <n v="316898"/>
    <m/>
    <x v="1"/>
    <n v="316898"/>
  </r>
  <r>
    <x v="1"/>
    <x v="6"/>
    <x v="6"/>
    <x v="5"/>
    <s v="Planeación, seguimiento y evaluación de políticas públicas"/>
    <x v="2"/>
    <x v="63"/>
    <x v="53"/>
    <x v="85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13033427"/>
    <n v="0"/>
    <n v="-2128986"/>
    <n v="10904441"/>
    <n v="10204560"/>
    <m/>
    <x v="1"/>
    <n v="10204560"/>
  </r>
  <r>
    <x v="1"/>
    <x v="6"/>
    <x v="6"/>
    <x v="5"/>
    <s v="Planeación, seguimiento y evaluación de políticas públicas"/>
    <x v="2"/>
    <x v="63"/>
    <x v="54"/>
    <x v="86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1167671"/>
    <n v="0"/>
    <n v="0"/>
    <n v="1167671"/>
    <n v="1398890"/>
    <m/>
    <x v="1"/>
    <n v="1398890"/>
  </r>
  <r>
    <x v="1"/>
    <x v="6"/>
    <x v="6"/>
    <x v="5"/>
    <s v="Planeación, seguimiento y evaluación de políticas públicas"/>
    <x v="2"/>
    <x v="63"/>
    <x v="54"/>
    <x v="86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38205764"/>
    <n v="0"/>
    <n v="0"/>
    <n v="38205764"/>
    <n v="35463866"/>
    <m/>
    <x v="1"/>
    <n v="35463866"/>
  </r>
  <r>
    <x v="1"/>
    <x v="6"/>
    <x v="6"/>
    <x v="5"/>
    <s v="Planeación, seguimiento y evaluación de políticas públicas"/>
    <x v="2"/>
    <x v="63"/>
    <x v="55"/>
    <x v="87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0"/>
    <m/>
    <x v="0"/>
    <x v="0"/>
    <m/>
    <n v="462617"/>
    <n v="0"/>
    <n v="0"/>
    <n v="462617"/>
    <n v="421653"/>
    <m/>
    <x v="1"/>
    <n v="421653"/>
  </r>
  <r>
    <x v="1"/>
    <x v="6"/>
    <x v="6"/>
    <x v="5"/>
    <s v="Planeación, seguimiento y evaluación de políticas públicas"/>
    <x v="2"/>
    <x v="63"/>
    <x v="55"/>
    <x v="87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0"/>
    <m/>
    <x v="0"/>
    <x v="0"/>
    <m/>
    <n v="13441069"/>
    <n v="0"/>
    <n v="0"/>
    <n v="13441069"/>
    <n v="10041475"/>
    <m/>
    <x v="1"/>
    <n v="10041475"/>
  </r>
  <r>
    <x v="1"/>
    <x v="6"/>
    <x v="6"/>
    <x v="5"/>
    <s v="Planeación, seguimiento y evaluación de políticas públicas"/>
    <x v="2"/>
    <x v="63"/>
    <x v="56"/>
    <x v="88"/>
    <n v="1"/>
    <s v="Gobierno"/>
    <n v="4"/>
    <s v="Gobernación"/>
    <n v="2"/>
    <x v="8"/>
    <x v="14"/>
    <x v="27"/>
    <n v="1"/>
    <s v="Gasto corriente"/>
    <x v="0"/>
    <x v="1"/>
    <x v="0"/>
    <x v="0"/>
    <x v="0"/>
    <x v="0"/>
    <x v="0"/>
    <m/>
    <x v="0"/>
    <x v="0"/>
    <m/>
    <n v="774288"/>
    <n v="0"/>
    <n v="0"/>
    <n v="774288"/>
    <n v="986085"/>
    <m/>
    <x v="1"/>
    <n v="986085"/>
  </r>
  <r>
    <x v="1"/>
    <x v="6"/>
    <x v="6"/>
    <x v="5"/>
    <s v="Planeación, seguimiento y evaluación de políticas públicas"/>
    <x v="2"/>
    <x v="63"/>
    <x v="56"/>
    <x v="88"/>
    <n v="1"/>
    <s v="Gobierno"/>
    <n v="4"/>
    <s v="Gobernación"/>
    <n v="2"/>
    <x v="8"/>
    <x v="14"/>
    <x v="27"/>
    <n v="1"/>
    <s v="Gasto corriente"/>
    <x v="0"/>
    <x v="0"/>
    <x v="0"/>
    <x v="0"/>
    <x v="0"/>
    <x v="0"/>
    <x v="0"/>
    <m/>
    <x v="0"/>
    <x v="0"/>
    <m/>
    <n v="21013081"/>
    <n v="0"/>
    <n v="0"/>
    <n v="21013081"/>
    <n v="20660456"/>
    <m/>
    <x v="1"/>
    <n v="20660456"/>
  </r>
  <r>
    <x v="1"/>
    <x v="6"/>
    <x v="6"/>
    <x v="5"/>
    <s v="Planeación, seguimiento y evaluación de políticas públicas"/>
    <x v="2"/>
    <x v="63"/>
    <x v="57"/>
    <x v="89"/>
    <n v="1"/>
    <s v="Gobierno"/>
    <n v="4"/>
    <s v="Gobernación"/>
    <n v="2"/>
    <x v="8"/>
    <x v="11"/>
    <x v="26"/>
    <n v="1"/>
    <s v="Gasto corriente"/>
    <x v="0"/>
    <x v="1"/>
    <x v="0"/>
    <x v="0"/>
    <x v="0"/>
    <x v="0"/>
    <x v="1"/>
    <m/>
    <x v="0"/>
    <x v="0"/>
    <m/>
    <n v="1113840"/>
    <n v="0"/>
    <n v="0"/>
    <n v="1113840"/>
    <n v="1280916"/>
    <m/>
    <x v="1"/>
    <n v="1280916"/>
  </r>
  <r>
    <x v="1"/>
    <x v="6"/>
    <x v="6"/>
    <x v="5"/>
    <s v="Planeación, seguimiento y evaluación de políticas públicas"/>
    <x v="2"/>
    <x v="63"/>
    <x v="57"/>
    <x v="89"/>
    <n v="1"/>
    <s v="Gobierno"/>
    <n v="4"/>
    <s v="Gobernación"/>
    <n v="2"/>
    <x v="8"/>
    <x v="11"/>
    <x v="26"/>
    <n v="1"/>
    <s v="Gasto corriente"/>
    <x v="0"/>
    <x v="0"/>
    <x v="0"/>
    <x v="0"/>
    <x v="0"/>
    <x v="0"/>
    <x v="1"/>
    <m/>
    <x v="0"/>
    <x v="0"/>
    <m/>
    <n v="37982378"/>
    <n v="0"/>
    <n v="-400001"/>
    <n v="37582377"/>
    <n v="36809194"/>
    <m/>
    <x v="1"/>
    <n v="36809194"/>
  </r>
  <r>
    <x v="1"/>
    <x v="6"/>
    <x v="6"/>
    <x v="5"/>
    <s v="Planeación, seguimiento y evaluación de políticas públicas"/>
    <x v="3"/>
    <x v="64"/>
    <x v="58"/>
    <x v="90"/>
    <n v="1"/>
    <s v="Gobierno"/>
    <n v="4"/>
    <s v="Gobernación"/>
    <n v="2"/>
    <x v="8"/>
    <x v="15"/>
    <x v="28"/>
    <n v="1"/>
    <s v="Gasto corriente"/>
    <x v="0"/>
    <x v="1"/>
    <x v="0"/>
    <x v="0"/>
    <x v="0"/>
    <x v="0"/>
    <x v="0"/>
    <m/>
    <x v="0"/>
    <x v="0"/>
    <m/>
    <n v="576880"/>
    <n v="0"/>
    <n v="0"/>
    <n v="576880"/>
    <n v="600090"/>
    <m/>
    <x v="1"/>
    <n v="600090"/>
  </r>
  <r>
    <x v="1"/>
    <x v="6"/>
    <x v="6"/>
    <x v="5"/>
    <s v="Planeación, seguimiento y evaluación de políticas públicas"/>
    <x v="3"/>
    <x v="64"/>
    <x v="58"/>
    <x v="90"/>
    <n v="1"/>
    <s v="Gobierno"/>
    <n v="4"/>
    <s v="Gobernación"/>
    <n v="2"/>
    <x v="8"/>
    <x v="15"/>
    <x v="28"/>
    <n v="1"/>
    <s v="Gasto corriente"/>
    <x v="0"/>
    <x v="0"/>
    <x v="0"/>
    <x v="0"/>
    <x v="0"/>
    <x v="0"/>
    <x v="0"/>
    <m/>
    <x v="0"/>
    <x v="0"/>
    <m/>
    <n v="35999034"/>
    <n v="0"/>
    <n v="-3882394"/>
    <n v="32116640"/>
    <n v="26770657"/>
    <m/>
    <x v="1"/>
    <n v="26770657"/>
  </r>
  <r>
    <x v="1"/>
    <x v="6"/>
    <x v="6"/>
    <x v="5"/>
    <s v="Planeación, seguimiento y evaluación de políticas públicas"/>
    <x v="3"/>
    <x v="64"/>
    <x v="59"/>
    <x v="91"/>
    <n v="1"/>
    <s v="Gobierno"/>
    <n v="4"/>
    <s v="Gobernación"/>
    <n v="2"/>
    <x v="8"/>
    <x v="15"/>
    <x v="28"/>
    <n v="1"/>
    <s v="Gasto corriente"/>
    <x v="0"/>
    <x v="1"/>
    <x v="0"/>
    <x v="0"/>
    <x v="0"/>
    <x v="0"/>
    <x v="0"/>
    <m/>
    <x v="0"/>
    <x v="0"/>
    <m/>
    <n v="664932"/>
    <n v="0"/>
    <n v="0"/>
    <n v="664932"/>
    <n v="705648"/>
    <m/>
    <x v="1"/>
    <n v="705648"/>
  </r>
  <r>
    <x v="1"/>
    <x v="6"/>
    <x v="6"/>
    <x v="5"/>
    <s v="Planeación, seguimiento y evaluación de políticas públicas"/>
    <x v="3"/>
    <x v="64"/>
    <x v="59"/>
    <x v="91"/>
    <n v="1"/>
    <s v="Gobierno"/>
    <n v="4"/>
    <s v="Gobernación"/>
    <n v="2"/>
    <x v="8"/>
    <x v="15"/>
    <x v="28"/>
    <n v="1"/>
    <s v="Gasto corriente"/>
    <x v="0"/>
    <x v="0"/>
    <x v="0"/>
    <x v="0"/>
    <x v="0"/>
    <x v="0"/>
    <x v="0"/>
    <m/>
    <x v="0"/>
    <x v="0"/>
    <m/>
    <n v="37679995"/>
    <n v="0"/>
    <n v="-6627439"/>
    <n v="31052556"/>
    <n v="28924929"/>
    <m/>
    <x v="1"/>
    <n v="28924929"/>
  </r>
  <r>
    <x v="1"/>
    <x v="6"/>
    <x v="6"/>
    <x v="5"/>
    <s v="Planeación, seguimiento y evaluación de políticas públicas"/>
    <x v="5"/>
    <x v="65"/>
    <x v="60"/>
    <x v="92"/>
    <n v="1"/>
    <s v="Gobierno"/>
    <n v="4"/>
    <s v="Gobernación"/>
    <n v="2"/>
    <x v="8"/>
    <x v="9"/>
    <x v="22"/>
    <n v="1"/>
    <s v="Gasto corriente"/>
    <x v="0"/>
    <x v="1"/>
    <x v="0"/>
    <x v="0"/>
    <x v="0"/>
    <x v="0"/>
    <x v="1"/>
    <m/>
    <x v="0"/>
    <x v="0"/>
    <m/>
    <n v="321108"/>
    <n v="0"/>
    <n v="0"/>
    <n v="321108"/>
    <n v="370113"/>
    <m/>
    <x v="1"/>
    <n v="370113"/>
  </r>
  <r>
    <x v="1"/>
    <x v="6"/>
    <x v="6"/>
    <x v="5"/>
    <s v="Planeación, seguimiento y evaluación de políticas públicas"/>
    <x v="5"/>
    <x v="65"/>
    <x v="60"/>
    <x v="92"/>
    <n v="1"/>
    <s v="Gobierno"/>
    <n v="4"/>
    <s v="Gobernación"/>
    <n v="2"/>
    <x v="8"/>
    <x v="9"/>
    <x v="22"/>
    <n v="1"/>
    <s v="Gasto corriente"/>
    <x v="0"/>
    <x v="0"/>
    <x v="0"/>
    <x v="0"/>
    <x v="0"/>
    <x v="0"/>
    <x v="1"/>
    <m/>
    <x v="0"/>
    <x v="0"/>
    <m/>
    <n v="51161928"/>
    <n v="2000000"/>
    <n v="-24734998"/>
    <n v="28426930"/>
    <n v="29071733"/>
    <m/>
    <x v="2"/>
    <n v="44071733"/>
  </r>
  <r>
    <x v="1"/>
    <x v="6"/>
    <x v="6"/>
    <x v="5"/>
    <s v="Planeación, seguimiento y evaluación de políticas públicas"/>
    <x v="6"/>
    <x v="66"/>
    <x v="22"/>
    <x v="93"/>
    <n v="1"/>
    <s v="Gobierno"/>
    <n v="4"/>
    <s v="Gobernación"/>
    <n v="3"/>
    <x v="9"/>
    <x v="5"/>
    <x v="18"/>
    <n v="1"/>
    <s v="Gasto corriente"/>
    <x v="0"/>
    <x v="1"/>
    <x v="0"/>
    <x v="0"/>
    <x v="0"/>
    <x v="0"/>
    <x v="0"/>
    <m/>
    <x v="0"/>
    <x v="0"/>
    <m/>
    <n v="1213272"/>
    <n v="0"/>
    <n v="0"/>
    <n v="1213272"/>
    <n v="1494959"/>
    <m/>
    <x v="1"/>
    <n v="1494959"/>
  </r>
  <r>
    <x v="1"/>
    <x v="6"/>
    <x v="6"/>
    <x v="5"/>
    <s v="Planeación, seguimiento y evaluación de políticas públicas"/>
    <x v="6"/>
    <x v="66"/>
    <x v="22"/>
    <x v="93"/>
    <n v="1"/>
    <s v="Gobierno"/>
    <n v="4"/>
    <s v="Gobernación"/>
    <n v="3"/>
    <x v="9"/>
    <x v="5"/>
    <x v="18"/>
    <n v="1"/>
    <s v="Gasto corriente"/>
    <x v="0"/>
    <x v="0"/>
    <x v="0"/>
    <x v="0"/>
    <x v="0"/>
    <x v="0"/>
    <x v="0"/>
    <m/>
    <x v="0"/>
    <x v="0"/>
    <m/>
    <n v="82882634"/>
    <n v="0"/>
    <n v="-1512244"/>
    <n v="81370390"/>
    <n v="119617588"/>
    <m/>
    <x v="1"/>
    <n v="119617588"/>
  </r>
  <r>
    <x v="1"/>
    <x v="6"/>
    <x v="6"/>
    <x v="5"/>
    <s v="Planeación, seguimiento y evaluación de políticas públicas"/>
    <x v="6"/>
    <x v="66"/>
    <x v="61"/>
    <x v="94"/>
    <n v="1"/>
    <s v="Gobierno"/>
    <n v="4"/>
    <s v="Gobernación"/>
    <n v="3"/>
    <x v="9"/>
    <x v="5"/>
    <x v="18"/>
    <n v="1"/>
    <s v="Gasto corriente"/>
    <x v="0"/>
    <x v="1"/>
    <x v="0"/>
    <x v="0"/>
    <x v="0"/>
    <x v="0"/>
    <x v="0"/>
    <m/>
    <x v="0"/>
    <x v="0"/>
    <m/>
    <n v="535639"/>
    <n v="0"/>
    <n v="0"/>
    <n v="535639"/>
    <n v="742372"/>
    <m/>
    <x v="1"/>
    <n v="742372"/>
  </r>
  <r>
    <x v="1"/>
    <x v="6"/>
    <x v="6"/>
    <x v="5"/>
    <s v="Planeación, seguimiento y evaluación de políticas públicas"/>
    <x v="6"/>
    <x v="66"/>
    <x v="61"/>
    <x v="94"/>
    <n v="1"/>
    <s v="Gobierno"/>
    <n v="4"/>
    <s v="Gobernación"/>
    <n v="3"/>
    <x v="9"/>
    <x v="5"/>
    <x v="18"/>
    <n v="1"/>
    <s v="Gasto corriente"/>
    <x v="0"/>
    <x v="0"/>
    <x v="0"/>
    <x v="0"/>
    <x v="0"/>
    <x v="0"/>
    <x v="0"/>
    <m/>
    <x v="0"/>
    <x v="0"/>
    <m/>
    <n v="27205422"/>
    <n v="0"/>
    <n v="-1512245"/>
    <n v="25693177"/>
    <n v="25253690"/>
    <m/>
    <x v="1"/>
    <n v="25253690"/>
  </r>
  <r>
    <x v="1"/>
    <x v="6"/>
    <x v="6"/>
    <x v="5"/>
    <s v="Planeación, seguimiento y evaluación de políticas públicas"/>
    <x v="6"/>
    <x v="66"/>
    <x v="62"/>
    <x v="95"/>
    <n v="1"/>
    <s v="Gobierno"/>
    <n v="4"/>
    <s v="Gobernación"/>
    <n v="3"/>
    <x v="9"/>
    <x v="5"/>
    <x v="18"/>
    <n v="1"/>
    <s v="Gasto corriente"/>
    <x v="0"/>
    <x v="1"/>
    <x v="0"/>
    <x v="0"/>
    <x v="0"/>
    <x v="0"/>
    <x v="0"/>
    <m/>
    <x v="0"/>
    <x v="0"/>
    <m/>
    <n v="4099127"/>
    <n v="0"/>
    <n v="0"/>
    <n v="4099127"/>
    <n v="4670555"/>
    <m/>
    <x v="1"/>
    <n v="4670555"/>
  </r>
  <r>
    <x v="1"/>
    <x v="6"/>
    <x v="6"/>
    <x v="5"/>
    <s v="Planeación, seguimiento y evaluación de políticas públicas"/>
    <x v="6"/>
    <x v="66"/>
    <x v="62"/>
    <x v="95"/>
    <n v="1"/>
    <s v="Gobierno"/>
    <n v="4"/>
    <s v="Gobernación"/>
    <n v="3"/>
    <x v="9"/>
    <x v="5"/>
    <x v="18"/>
    <n v="1"/>
    <s v="Gasto corriente"/>
    <x v="0"/>
    <x v="0"/>
    <x v="0"/>
    <x v="0"/>
    <x v="0"/>
    <x v="0"/>
    <x v="0"/>
    <m/>
    <x v="0"/>
    <x v="0"/>
    <m/>
    <n v="106769269"/>
    <n v="0"/>
    <n v="-4646003"/>
    <n v="102123266"/>
    <n v="103569487"/>
    <m/>
    <x v="1"/>
    <n v="103569487"/>
  </r>
  <r>
    <x v="1"/>
    <x v="6"/>
    <x v="6"/>
    <x v="5"/>
    <s v="Planeación, seguimiento y evaluación de políticas públicas"/>
    <x v="6"/>
    <x v="66"/>
    <x v="63"/>
    <x v="96"/>
    <n v="1"/>
    <s v="Gobierno"/>
    <n v="4"/>
    <s v="Gobernación"/>
    <n v="3"/>
    <x v="9"/>
    <x v="5"/>
    <x v="18"/>
    <n v="1"/>
    <s v="Gasto corriente"/>
    <x v="0"/>
    <x v="1"/>
    <x v="0"/>
    <x v="0"/>
    <x v="0"/>
    <x v="0"/>
    <x v="1"/>
    <m/>
    <x v="0"/>
    <x v="0"/>
    <m/>
    <n v="417258"/>
    <n v="0"/>
    <n v="0"/>
    <n v="417258"/>
    <n v="578260"/>
    <m/>
    <x v="1"/>
    <n v="578260"/>
  </r>
  <r>
    <x v="1"/>
    <x v="6"/>
    <x v="6"/>
    <x v="5"/>
    <s v="Planeación, seguimiento y evaluación de políticas públicas"/>
    <x v="6"/>
    <x v="66"/>
    <x v="63"/>
    <x v="96"/>
    <n v="1"/>
    <s v="Gobierno"/>
    <n v="4"/>
    <s v="Gobernación"/>
    <n v="3"/>
    <x v="9"/>
    <x v="5"/>
    <x v="18"/>
    <n v="1"/>
    <s v="Gasto corriente"/>
    <x v="0"/>
    <x v="0"/>
    <x v="0"/>
    <x v="0"/>
    <x v="0"/>
    <x v="0"/>
    <x v="1"/>
    <m/>
    <x v="0"/>
    <x v="0"/>
    <m/>
    <n v="17285964"/>
    <n v="5000000"/>
    <n v="-3359311"/>
    <n v="18926653"/>
    <n v="19450311"/>
    <m/>
    <x v="1"/>
    <n v="19450311"/>
  </r>
  <r>
    <x v="1"/>
    <x v="6"/>
    <x v="6"/>
    <x v="5"/>
    <s v="Planeación, seguimiento y evaluación de políticas públicas"/>
    <x v="6"/>
    <x v="66"/>
    <x v="64"/>
    <x v="97"/>
    <n v="1"/>
    <s v="Gobierno"/>
    <n v="4"/>
    <s v="Gobernación"/>
    <n v="3"/>
    <x v="9"/>
    <x v="5"/>
    <x v="18"/>
    <n v="1"/>
    <s v="Gasto corriente"/>
    <x v="0"/>
    <x v="1"/>
    <x v="0"/>
    <x v="0"/>
    <x v="0"/>
    <x v="0"/>
    <x v="0"/>
    <m/>
    <x v="0"/>
    <x v="0"/>
    <m/>
    <n v="484662"/>
    <n v="0"/>
    <n v="0"/>
    <n v="484662"/>
    <n v="562658"/>
    <m/>
    <x v="1"/>
    <n v="562658"/>
  </r>
  <r>
    <x v="1"/>
    <x v="6"/>
    <x v="6"/>
    <x v="5"/>
    <s v="Planeación, seguimiento y evaluación de políticas públicas"/>
    <x v="6"/>
    <x v="66"/>
    <x v="64"/>
    <x v="97"/>
    <n v="1"/>
    <s v="Gobierno"/>
    <n v="4"/>
    <s v="Gobernación"/>
    <n v="3"/>
    <x v="9"/>
    <x v="5"/>
    <x v="18"/>
    <n v="1"/>
    <s v="Gasto corriente"/>
    <x v="0"/>
    <x v="0"/>
    <x v="0"/>
    <x v="0"/>
    <x v="0"/>
    <x v="0"/>
    <x v="0"/>
    <m/>
    <x v="0"/>
    <x v="0"/>
    <m/>
    <n v="13877339"/>
    <n v="0"/>
    <n v="0"/>
    <n v="13877339"/>
    <n v="12651046"/>
    <m/>
    <x v="1"/>
    <n v="12651046"/>
  </r>
  <r>
    <x v="1"/>
    <x v="6"/>
    <x v="6"/>
    <x v="5"/>
    <s v="Planeación, seguimiento y evaluación de políticas públicas"/>
    <x v="6"/>
    <x v="66"/>
    <x v="65"/>
    <x v="98"/>
    <n v="1"/>
    <s v="Gobierno"/>
    <n v="4"/>
    <s v="Gobernación"/>
    <n v="3"/>
    <x v="9"/>
    <x v="5"/>
    <x v="18"/>
    <n v="1"/>
    <s v="Gasto corriente"/>
    <x v="0"/>
    <x v="1"/>
    <x v="0"/>
    <x v="0"/>
    <x v="0"/>
    <x v="0"/>
    <x v="0"/>
    <m/>
    <x v="0"/>
    <x v="0"/>
    <m/>
    <n v="141247"/>
    <n v="0"/>
    <n v="0"/>
    <n v="141247"/>
    <n v="162434"/>
    <m/>
    <x v="1"/>
    <n v="162434"/>
  </r>
  <r>
    <x v="1"/>
    <x v="6"/>
    <x v="6"/>
    <x v="5"/>
    <s v="Planeación, seguimiento y evaluación de políticas públicas"/>
    <x v="6"/>
    <x v="66"/>
    <x v="65"/>
    <x v="98"/>
    <n v="1"/>
    <s v="Gobierno"/>
    <n v="4"/>
    <s v="Gobernación"/>
    <n v="3"/>
    <x v="9"/>
    <x v="5"/>
    <x v="18"/>
    <n v="1"/>
    <s v="Gasto corriente"/>
    <x v="0"/>
    <x v="0"/>
    <x v="0"/>
    <x v="0"/>
    <x v="0"/>
    <x v="0"/>
    <x v="0"/>
    <m/>
    <x v="0"/>
    <x v="0"/>
    <m/>
    <n v="3942728"/>
    <n v="0"/>
    <n v="0"/>
    <n v="3942728"/>
    <n v="3801181"/>
    <m/>
    <x v="1"/>
    <n v="3801181"/>
  </r>
  <r>
    <x v="1"/>
    <x v="6"/>
    <x v="6"/>
    <x v="5"/>
    <s v="Planeación, seguimiento y evaluación de políticas públicas"/>
    <x v="7"/>
    <x v="67"/>
    <x v="66"/>
    <x v="99"/>
    <n v="1"/>
    <s v="Gobierno"/>
    <n v="4"/>
    <s v="Gobernación"/>
    <n v="4"/>
    <x v="10"/>
    <x v="16"/>
    <x v="29"/>
    <n v="1"/>
    <s v="Gasto corriente"/>
    <x v="0"/>
    <x v="1"/>
    <x v="0"/>
    <x v="0"/>
    <x v="0"/>
    <x v="0"/>
    <x v="1"/>
    <m/>
    <x v="0"/>
    <x v="0"/>
    <m/>
    <n v="1864425"/>
    <n v="0"/>
    <n v="0"/>
    <n v="1864425"/>
    <n v="2144089"/>
    <m/>
    <x v="1"/>
    <n v="2144089"/>
  </r>
  <r>
    <x v="1"/>
    <x v="6"/>
    <x v="6"/>
    <x v="5"/>
    <s v="Planeación, seguimiento y evaluación de políticas públicas"/>
    <x v="7"/>
    <x v="67"/>
    <x v="66"/>
    <x v="99"/>
    <n v="1"/>
    <s v="Gobierno"/>
    <n v="4"/>
    <s v="Gobernación"/>
    <n v="4"/>
    <x v="10"/>
    <x v="16"/>
    <x v="29"/>
    <n v="1"/>
    <s v="Gasto corriente"/>
    <x v="0"/>
    <x v="0"/>
    <x v="0"/>
    <x v="0"/>
    <x v="0"/>
    <x v="0"/>
    <x v="1"/>
    <m/>
    <x v="0"/>
    <x v="0"/>
    <m/>
    <n v="49989983"/>
    <n v="0"/>
    <n v="-499999"/>
    <n v="49489984"/>
    <n v="47771730"/>
    <m/>
    <x v="3"/>
    <n v="57771730"/>
  </r>
  <r>
    <x v="1"/>
    <x v="6"/>
    <x v="6"/>
    <x v="5"/>
    <s v="Planeación, seguimiento y evaluación de políticas públicas"/>
    <x v="10"/>
    <x v="68"/>
    <x v="67"/>
    <x v="100"/>
    <n v="1"/>
    <s v="Gobierno"/>
    <n v="4"/>
    <s v="Gobernación"/>
    <n v="2"/>
    <x v="8"/>
    <x v="17"/>
    <x v="30"/>
    <n v="1"/>
    <s v="Gasto corriente"/>
    <x v="0"/>
    <x v="1"/>
    <x v="0"/>
    <x v="0"/>
    <x v="0"/>
    <x v="0"/>
    <x v="0"/>
    <m/>
    <x v="0"/>
    <x v="0"/>
    <m/>
    <n v="373401"/>
    <n v="0"/>
    <n v="0"/>
    <n v="373401"/>
    <n v="466323"/>
    <m/>
    <x v="1"/>
    <n v="466323"/>
  </r>
  <r>
    <x v="1"/>
    <x v="6"/>
    <x v="6"/>
    <x v="5"/>
    <s v="Planeación, seguimiento y evaluación de políticas públicas"/>
    <x v="10"/>
    <x v="68"/>
    <x v="67"/>
    <x v="100"/>
    <n v="1"/>
    <s v="Gobierno"/>
    <n v="4"/>
    <s v="Gobernación"/>
    <n v="2"/>
    <x v="8"/>
    <x v="17"/>
    <x v="30"/>
    <n v="1"/>
    <s v="Gasto corriente"/>
    <x v="0"/>
    <x v="0"/>
    <x v="0"/>
    <x v="0"/>
    <x v="0"/>
    <x v="0"/>
    <x v="0"/>
    <m/>
    <x v="0"/>
    <x v="0"/>
    <m/>
    <n v="19774358"/>
    <n v="0"/>
    <n v="-1512245"/>
    <n v="18262113"/>
    <n v="18080873"/>
    <m/>
    <x v="1"/>
    <n v="18080873"/>
  </r>
  <r>
    <x v="1"/>
    <x v="6"/>
    <x v="6"/>
    <x v="5"/>
    <s v="Planeación, seguimiento y evaluación de políticas públicas"/>
    <x v="10"/>
    <x v="68"/>
    <x v="68"/>
    <x v="101"/>
    <n v="1"/>
    <s v="Gobierno"/>
    <n v="4"/>
    <s v="Gobernación"/>
    <n v="2"/>
    <x v="8"/>
    <x v="17"/>
    <x v="30"/>
    <n v="1"/>
    <s v="Gasto corriente"/>
    <x v="0"/>
    <x v="1"/>
    <x v="0"/>
    <x v="0"/>
    <x v="0"/>
    <x v="0"/>
    <x v="0"/>
    <m/>
    <x v="0"/>
    <x v="0"/>
    <m/>
    <n v="1585784"/>
    <n v="0"/>
    <n v="0"/>
    <n v="1585784"/>
    <n v="1796842"/>
    <m/>
    <x v="1"/>
    <n v="1796842"/>
  </r>
  <r>
    <x v="1"/>
    <x v="6"/>
    <x v="6"/>
    <x v="5"/>
    <s v="Planeación, seguimiento y evaluación de políticas públicas"/>
    <x v="10"/>
    <x v="68"/>
    <x v="68"/>
    <x v="101"/>
    <n v="1"/>
    <s v="Gobierno"/>
    <n v="4"/>
    <s v="Gobernación"/>
    <n v="2"/>
    <x v="8"/>
    <x v="17"/>
    <x v="30"/>
    <n v="1"/>
    <s v="Gasto corriente"/>
    <x v="0"/>
    <x v="0"/>
    <x v="0"/>
    <x v="0"/>
    <x v="0"/>
    <x v="0"/>
    <x v="0"/>
    <m/>
    <x v="0"/>
    <x v="0"/>
    <m/>
    <n v="61627387"/>
    <n v="0"/>
    <n v="0"/>
    <n v="61627387"/>
    <n v="54831296"/>
    <m/>
    <x v="1"/>
    <n v="54831296"/>
  </r>
  <r>
    <x v="1"/>
    <x v="6"/>
    <x v="6"/>
    <x v="5"/>
    <s v="Planeación, seguimiento y evaluación de políticas públicas"/>
    <x v="10"/>
    <x v="68"/>
    <x v="69"/>
    <x v="102"/>
    <n v="1"/>
    <s v="Gobierno"/>
    <n v="4"/>
    <s v="Gobernación"/>
    <n v="2"/>
    <x v="8"/>
    <x v="17"/>
    <x v="30"/>
    <n v="1"/>
    <s v="Gasto corriente"/>
    <x v="0"/>
    <x v="1"/>
    <x v="0"/>
    <x v="0"/>
    <x v="0"/>
    <x v="0"/>
    <x v="0"/>
    <m/>
    <x v="0"/>
    <x v="0"/>
    <m/>
    <n v="538769"/>
    <n v="0"/>
    <n v="0"/>
    <n v="538769"/>
    <n v="684548"/>
    <m/>
    <x v="1"/>
    <n v="684548"/>
  </r>
  <r>
    <x v="1"/>
    <x v="6"/>
    <x v="6"/>
    <x v="5"/>
    <s v="Planeación, seguimiento y evaluación de políticas públicas"/>
    <x v="10"/>
    <x v="68"/>
    <x v="69"/>
    <x v="102"/>
    <n v="1"/>
    <s v="Gobierno"/>
    <n v="4"/>
    <s v="Gobernación"/>
    <n v="2"/>
    <x v="8"/>
    <x v="17"/>
    <x v="30"/>
    <n v="1"/>
    <s v="Gasto corriente"/>
    <x v="0"/>
    <x v="0"/>
    <x v="0"/>
    <x v="0"/>
    <x v="0"/>
    <x v="0"/>
    <x v="0"/>
    <m/>
    <x v="0"/>
    <x v="0"/>
    <m/>
    <n v="22168249"/>
    <n v="0"/>
    <n v="0"/>
    <n v="22168249"/>
    <n v="21893791"/>
    <m/>
    <x v="1"/>
    <n v="21893791"/>
  </r>
  <r>
    <x v="1"/>
    <x v="6"/>
    <x v="6"/>
    <x v="5"/>
    <s v="Planeación, seguimiento y evaluación de políticas públicas"/>
    <x v="11"/>
    <x v="69"/>
    <x v="70"/>
    <x v="103"/>
    <n v="1"/>
    <s v="Gobierno"/>
    <n v="1"/>
    <s v="Seguridad Nacional"/>
    <n v="3"/>
    <x v="7"/>
    <x v="11"/>
    <x v="26"/>
    <n v="1"/>
    <s v="Gasto corriente"/>
    <x v="0"/>
    <x v="0"/>
    <x v="0"/>
    <x v="0"/>
    <x v="0"/>
    <x v="0"/>
    <x v="0"/>
    <m/>
    <x v="0"/>
    <x v="0"/>
    <m/>
    <n v="577148687"/>
    <n v="0"/>
    <n v="-13311483"/>
    <n v="563837204"/>
    <n v="588078251"/>
    <m/>
    <x v="1"/>
    <n v="588078251"/>
  </r>
  <r>
    <x v="1"/>
    <x v="6"/>
    <x v="6"/>
    <x v="5"/>
    <s v="Planeación, seguimiento y evaluación de políticas públicas"/>
    <x v="12"/>
    <x v="70"/>
    <x v="41"/>
    <x v="66"/>
    <n v="1"/>
    <s v="Gobierno"/>
    <n v="6"/>
    <s v="Orden, Seguridad y Justicia"/>
    <n v="6"/>
    <x v="11"/>
    <x v="12"/>
    <x v="24"/>
    <n v="1"/>
    <s v="Gasto corriente"/>
    <x v="0"/>
    <x v="0"/>
    <x v="0"/>
    <x v="0"/>
    <x v="0"/>
    <x v="0"/>
    <x v="0"/>
    <m/>
    <x v="0"/>
    <x v="0"/>
    <m/>
    <m/>
    <m/>
    <m/>
    <m/>
    <n v="28433700"/>
    <m/>
    <x v="1"/>
    <n v="28433700"/>
  </r>
  <r>
    <x v="1"/>
    <x v="6"/>
    <x v="6"/>
    <x v="5"/>
    <s v="Planeación, seguimiento y evaluación de políticas públicas"/>
    <x v="13"/>
    <x v="71"/>
    <x v="41"/>
    <x v="66"/>
    <n v="1"/>
    <s v="Gobierno"/>
    <n v="6"/>
    <s v="Orden, Seguridad y Justicia"/>
    <n v="6"/>
    <x v="11"/>
    <x v="12"/>
    <x v="24"/>
    <n v="1"/>
    <s v="Gasto corriente"/>
    <x v="0"/>
    <x v="0"/>
    <x v="0"/>
    <x v="0"/>
    <x v="0"/>
    <x v="0"/>
    <x v="0"/>
    <m/>
    <x v="0"/>
    <x v="0"/>
    <m/>
    <m/>
    <m/>
    <m/>
    <m/>
    <n v="64727000"/>
    <m/>
    <x v="1"/>
    <n v="64727000"/>
  </r>
  <r>
    <x v="1"/>
    <x v="6"/>
    <x v="6"/>
    <x v="5"/>
    <s v="Planeación, seguimiento y evaluación de políticas públicas"/>
    <x v="14"/>
    <x v="72"/>
    <x v="41"/>
    <x v="66"/>
    <n v="1"/>
    <s v="Gobierno"/>
    <n v="6"/>
    <s v="Orden, Seguridad y Justicia"/>
    <n v="6"/>
    <x v="11"/>
    <x v="12"/>
    <x v="24"/>
    <n v="1"/>
    <s v="Gasto corriente"/>
    <x v="0"/>
    <x v="0"/>
    <x v="0"/>
    <x v="0"/>
    <x v="0"/>
    <x v="0"/>
    <x v="0"/>
    <m/>
    <x v="0"/>
    <x v="0"/>
    <m/>
    <m/>
    <m/>
    <m/>
    <m/>
    <n v="19294700"/>
    <m/>
    <x v="1"/>
    <n v="19294700"/>
  </r>
  <r>
    <x v="1"/>
    <x v="6"/>
    <x v="6"/>
    <x v="5"/>
    <s v="Planeación, seguimiento y evaluación de políticas públicas"/>
    <x v="15"/>
    <x v="73"/>
    <x v="40"/>
    <x v="66"/>
    <n v="1"/>
    <s v="Gobierno"/>
    <n v="6"/>
    <s v="Orden, Seguridad y Justicia"/>
    <n v="6"/>
    <x v="11"/>
    <x v="11"/>
    <x v="24"/>
    <n v="1"/>
    <s v="Gasto corriente"/>
    <x v="0"/>
    <x v="1"/>
    <x v="0"/>
    <x v="0"/>
    <x v="0"/>
    <x v="0"/>
    <x v="0"/>
    <m/>
    <x v="0"/>
    <x v="0"/>
    <m/>
    <n v="7353053"/>
    <n v="0"/>
    <n v="0"/>
    <n v="7353053"/>
    <m/>
    <m/>
    <x v="1"/>
    <n v="0"/>
  </r>
  <r>
    <x v="1"/>
    <x v="6"/>
    <x v="6"/>
    <x v="5"/>
    <s v="Planeación, seguimiento y evaluación de políticas públicas"/>
    <x v="15"/>
    <x v="73"/>
    <x v="40"/>
    <x v="66"/>
    <n v="1"/>
    <s v="Gobierno"/>
    <n v="6"/>
    <s v="Orden, Seguridad y Justicia"/>
    <n v="6"/>
    <x v="11"/>
    <x v="11"/>
    <x v="24"/>
    <n v="1"/>
    <s v="Gasto corriente"/>
    <x v="0"/>
    <x v="0"/>
    <x v="0"/>
    <x v="0"/>
    <x v="0"/>
    <x v="0"/>
    <x v="0"/>
    <m/>
    <x v="0"/>
    <x v="0"/>
    <m/>
    <n v="524839221"/>
    <n v="0"/>
    <n v="-29960814"/>
    <n v="494878407"/>
    <m/>
    <m/>
    <x v="1"/>
    <n v="0"/>
  </r>
  <r>
    <x v="1"/>
    <x v="6"/>
    <x v="6"/>
    <x v="5"/>
    <s v="Planeación, seguimiento y evaluación de políticas públicas"/>
    <x v="15"/>
    <x v="73"/>
    <x v="40"/>
    <x v="66"/>
    <n v="1"/>
    <s v="Gobierno"/>
    <n v="6"/>
    <s v="Orden, Seguridad y Justicia"/>
    <n v="6"/>
    <x v="11"/>
    <x v="11"/>
    <x v="24"/>
    <n v="2"/>
    <s v="Gasto de capital"/>
    <x v="0"/>
    <x v="0"/>
    <x v="0"/>
    <x v="0"/>
    <x v="0"/>
    <x v="0"/>
    <x v="0"/>
    <m/>
    <x v="0"/>
    <x v="0"/>
    <m/>
    <n v="30000000"/>
    <n v="0"/>
    <n v="-2030408"/>
    <n v="27969592"/>
    <m/>
    <m/>
    <x v="1"/>
    <n v="0"/>
  </r>
  <r>
    <x v="1"/>
    <x v="6"/>
    <x v="6"/>
    <x v="5"/>
    <s v="Planeación, seguimiento y evaluación de políticas públicas"/>
    <x v="15"/>
    <x v="73"/>
    <x v="41"/>
    <x v="66"/>
    <n v="1"/>
    <s v="Gobierno"/>
    <n v="6"/>
    <s v="Orden, Seguridad y Justicia"/>
    <n v="6"/>
    <x v="11"/>
    <x v="12"/>
    <x v="24"/>
    <n v="1"/>
    <s v="Gasto corriente"/>
    <x v="0"/>
    <x v="1"/>
    <x v="0"/>
    <x v="0"/>
    <x v="0"/>
    <x v="0"/>
    <x v="0"/>
    <m/>
    <x v="0"/>
    <x v="0"/>
    <m/>
    <m/>
    <m/>
    <m/>
    <m/>
    <n v="10653974"/>
    <m/>
    <x v="1"/>
    <n v="10653974"/>
  </r>
  <r>
    <x v="1"/>
    <x v="6"/>
    <x v="6"/>
    <x v="5"/>
    <s v="Planeación, seguimiento y evaluación de políticas públicas"/>
    <x v="15"/>
    <x v="73"/>
    <x v="41"/>
    <x v="66"/>
    <n v="1"/>
    <s v="Gobierno"/>
    <n v="6"/>
    <s v="Orden, Seguridad y Justicia"/>
    <n v="6"/>
    <x v="11"/>
    <x v="12"/>
    <x v="24"/>
    <n v="1"/>
    <s v="Gasto corriente"/>
    <x v="0"/>
    <x v="0"/>
    <x v="0"/>
    <x v="0"/>
    <x v="0"/>
    <x v="0"/>
    <x v="0"/>
    <m/>
    <x v="0"/>
    <x v="0"/>
    <m/>
    <m/>
    <m/>
    <m/>
    <m/>
    <n v="318599825"/>
    <m/>
    <x v="1"/>
    <n v="318599825"/>
  </r>
  <r>
    <x v="1"/>
    <x v="6"/>
    <x v="6"/>
    <x v="1"/>
    <s v="Específicos"/>
    <x v="3"/>
    <x v="74"/>
    <x v="0"/>
    <x v="79"/>
    <n v="1"/>
    <s v="Gobierno"/>
    <n v="4"/>
    <s v="Gobernación"/>
    <n v="2"/>
    <x v="8"/>
    <x v="11"/>
    <x v="26"/>
    <n v="1"/>
    <s v="Gasto corriente"/>
    <x v="0"/>
    <x v="0"/>
    <x v="0"/>
    <x v="0"/>
    <x v="1"/>
    <x v="0"/>
    <x v="0"/>
    <m/>
    <x v="0"/>
    <x v="0"/>
    <m/>
    <n v="300000000"/>
    <n v="0"/>
    <n v="0"/>
    <n v="300000000"/>
    <n v="300000000"/>
    <m/>
    <x v="5"/>
    <n v="800000000"/>
  </r>
  <r>
    <x v="1"/>
    <x v="6"/>
    <x v="6"/>
    <x v="7"/>
    <s v="Otros Subsidios"/>
    <x v="2"/>
    <x v="75"/>
    <x v="39"/>
    <x v="65"/>
    <n v="1"/>
    <s v="Gobierno"/>
    <n v="4"/>
    <s v="Gobernación"/>
    <n v="4"/>
    <x v="10"/>
    <x v="10"/>
    <x v="23"/>
    <n v="1"/>
    <s v="Gasto corriente"/>
    <x v="0"/>
    <x v="0"/>
    <x v="0"/>
    <x v="0"/>
    <x v="0"/>
    <x v="0"/>
    <x v="0"/>
    <m/>
    <x v="0"/>
    <x v="0"/>
    <m/>
    <n v="20343310"/>
    <n v="147000000"/>
    <n v="-20343310"/>
    <n v="147000000"/>
    <n v="50000000"/>
    <m/>
    <x v="1"/>
    <n v="50000000"/>
  </r>
  <r>
    <x v="1"/>
    <x v="6"/>
    <x v="6"/>
    <x v="7"/>
    <s v="Otros Subsidios"/>
    <x v="3"/>
    <x v="76"/>
    <x v="40"/>
    <x v="66"/>
    <n v="1"/>
    <s v="Gobierno"/>
    <n v="6"/>
    <s v="Orden, Seguridad y Justicia"/>
    <n v="6"/>
    <x v="11"/>
    <x v="11"/>
    <x v="24"/>
    <n v="1"/>
    <s v="Gasto corriente"/>
    <x v="0"/>
    <x v="0"/>
    <x v="0"/>
    <x v="0"/>
    <x v="0"/>
    <x v="0"/>
    <x v="0"/>
    <m/>
    <x v="0"/>
    <x v="0"/>
    <m/>
    <n v="4137900000"/>
    <n v="0"/>
    <n v="0"/>
    <n v="4137900000"/>
    <m/>
    <m/>
    <x v="1"/>
    <n v="0"/>
  </r>
  <r>
    <x v="1"/>
    <x v="6"/>
    <x v="6"/>
    <x v="7"/>
    <s v="Otros Subsidios"/>
    <x v="3"/>
    <x v="76"/>
    <x v="41"/>
    <x v="66"/>
    <n v="1"/>
    <s v="Gobierno"/>
    <n v="6"/>
    <s v="Orden, Seguridad y Justicia"/>
    <n v="6"/>
    <x v="11"/>
    <x v="12"/>
    <x v="24"/>
    <n v="1"/>
    <s v="Gasto corriente"/>
    <x v="0"/>
    <x v="0"/>
    <x v="0"/>
    <x v="0"/>
    <x v="0"/>
    <x v="0"/>
    <x v="0"/>
    <m/>
    <x v="0"/>
    <x v="0"/>
    <m/>
    <m/>
    <m/>
    <m/>
    <m/>
    <n v="4303300000"/>
    <m/>
    <x v="1"/>
    <n v="4303300000"/>
  </r>
  <r>
    <x v="1"/>
    <x v="6"/>
    <x v="6"/>
    <x v="7"/>
    <s v="Otros Subsidios"/>
    <x v="4"/>
    <x v="77"/>
    <x v="41"/>
    <x v="66"/>
    <n v="1"/>
    <s v="Gobierno"/>
    <n v="6"/>
    <s v="Orden, Seguridad y Justicia"/>
    <n v="6"/>
    <x v="11"/>
    <x v="12"/>
    <x v="24"/>
    <n v="1"/>
    <s v="Gasto corriente"/>
    <x v="0"/>
    <x v="0"/>
    <x v="0"/>
    <x v="0"/>
    <x v="0"/>
    <x v="0"/>
    <x v="0"/>
    <m/>
    <x v="0"/>
    <x v="0"/>
    <m/>
    <m/>
    <m/>
    <m/>
    <m/>
    <n v="2400000000"/>
    <m/>
    <x v="1"/>
    <n v="2400000000"/>
  </r>
  <r>
    <x v="1"/>
    <x v="7"/>
    <x v="7"/>
    <x v="4"/>
    <s v="Prestación de Servicios Públicos"/>
    <x v="2"/>
    <x v="78"/>
    <x v="71"/>
    <x v="104"/>
    <n v="1"/>
    <s v="Gobierno"/>
    <n v="2"/>
    <s v="Relaciones Exteriores"/>
    <n v="1"/>
    <x v="13"/>
    <x v="1"/>
    <x v="31"/>
    <n v="1"/>
    <s v="Gasto corriente"/>
    <x v="0"/>
    <x v="1"/>
    <x v="0"/>
    <x v="0"/>
    <x v="0"/>
    <x v="0"/>
    <x v="0"/>
    <m/>
    <x v="0"/>
    <x v="0"/>
    <m/>
    <n v="583936"/>
    <n v="0"/>
    <n v="0"/>
    <n v="583936"/>
    <n v="671526"/>
    <m/>
    <x v="1"/>
    <n v="671526"/>
  </r>
  <r>
    <x v="1"/>
    <x v="7"/>
    <x v="7"/>
    <x v="4"/>
    <s v="Prestación de Servicios Públicos"/>
    <x v="2"/>
    <x v="78"/>
    <x v="71"/>
    <x v="104"/>
    <n v="1"/>
    <s v="Gobierno"/>
    <n v="2"/>
    <s v="Relaciones Exteriores"/>
    <n v="1"/>
    <x v="13"/>
    <x v="1"/>
    <x v="31"/>
    <n v="1"/>
    <s v="Gasto corriente"/>
    <x v="0"/>
    <x v="0"/>
    <x v="0"/>
    <x v="0"/>
    <x v="0"/>
    <x v="0"/>
    <x v="0"/>
    <m/>
    <x v="0"/>
    <x v="0"/>
    <m/>
    <n v="35295237"/>
    <n v="0"/>
    <n v="-335436"/>
    <n v="34959801"/>
    <n v="35935554"/>
    <m/>
    <x v="1"/>
    <n v="35935554"/>
  </r>
  <r>
    <x v="1"/>
    <x v="7"/>
    <x v="7"/>
    <x v="4"/>
    <s v="Prestación de Servicios Públicos"/>
    <x v="3"/>
    <x v="79"/>
    <x v="5"/>
    <x v="105"/>
    <n v="1"/>
    <s v="Gobierno"/>
    <n v="2"/>
    <s v="Relaciones Exteriores"/>
    <n v="1"/>
    <x v="13"/>
    <x v="1"/>
    <x v="31"/>
    <n v="1"/>
    <s v="Gasto corriente"/>
    <x v="0"/>
    <x v="1"/>
    <x v="0"/>
    <x v="0"/>
    <x v="0"/>
    <x v="1"/>
    <x v="1"/>
    <m/>
    <x v="0"/>
    <x v="0"/>
    <m/>
    <n v="913369"/>
    <n v="0"/>
    <n v="0"/>
    <n v="913369"/>
    <n v="1037029"/>
    <m/>
    <x v="1"/>
    <n v="1037029"/>
  </r>
  <r>
    <x v="1"/>
    <x v="7"/>
    <x v="7"/>
    <x v="4"/>
    <s v="Prestación de Servicios Públicos"/>
    <x v="3"/>
    <x v="79"/>
    <x v="5"/>
    <x v="105"/>
    <n v="1"/>
    <s v="Gobierno"/>
    <n v="2"/>
    <s v="Relaciones Exteriores"/>
    <n v="1"/>
    <x v="13"/>
    <x v="1"/>
    <x v="31"/>
    <n v="1"/>
    <s v="Gasto corriente"/>
    <x v="0"/>
    <x v="0"/>
    <x v="0"/>
    <x v="0"/>
    <x v="1"/>
    <x v="1"/>
    <x v="1"/>
    <m/>
    <x v="0"/>
    <x v="0"/>
    <m/>
    <n v="141815482"/>
    <n v="5000000"/>
    <n v="-43722"/>
    <n v="146771760"/>
    <n v="148814652"/>
    <m/>
    <x v="6"/>
    <n v="168814652"/>
  </r>
  <r>
    <x v="1"/>
    <x v="7"/>
    <x v="7"/>
    <x v="4"/>
    <s v="Prestación de Servicios Públicos"/>
    <x v="3"/>
    <x v="79"/>
    <x v="5"/>
    <x v="105"/>
    <n v="1"/>
    <s v="Gobierno"/>
    <n v="2"/>
    <s v="Relaciones Exteriores"/>
    <n v="1"/>
    <x v="13"/>
    <x v="1"/>
    <x v="31"/>
    <n v="1"/>
    <s v="Gasto corriente"/>
    <x v="0"/>
    <x v="0"/>
    <x v="0"/>
    <x v="0"/>
    <x v="0"/>
    <x v="1"/>
    <x v="1"/>
    <m/>
    <x v="0"/>
    <x v="0"/>
    <m/>
    <n v="49451605"/>
    <n v="0"/>
    <n v="-1239489"/>
    <n v="48212116"/>
    <n v="42099853"/>
    <m/>
    <x v="1"/>
    <n v="42099853"/>
  </r>
  <r>
    <x v="1"/>
    <x v="7"/>
    <x v="7"/>
    <x v="4"/>
    <s v="Prestación de Servicios Públicos"/>
    <x v="4"/>
    <x v="80"/>
    <x v="50"/>
    <x v="106"/>
    <n v="1"/>
    <s v="Gobierno"/>
    <n v="2"/>
    <s v="Relaciones Exteriores"/>
    <n v="1"/>
    <x v="13"/>
    <x v="1"/>
    <x v="31"/>
    <n v="1"/>
    <s v="Gasto corriente"/>
    <x v="0"/>
    <x v="1"/>
    <x v="0"/>
    <x v="0"/>
    <x v="0"/>
    <x v="0"/>
    <x v="0"/>
    <m/>
    <x v="0"/>
    <x v="0"/>
    <m/>
    <n v="516157"/>
    <n v="0"/>
    <n v="0"/>
    <n v="516157"/>
    <n v="675125"/>
    <m/>
    <x v="1"/>
    <n v="675125"/>
  </r>
  <r>
    <x v="1"/>
    <x v="7"/>
    <x v="7"/>
    <x v="4"/>
    <s v="Prestación de Servicios Públicos"/>
    <x v="4"/>
    <x v="80"/>
    <x v="50"/>
    <x v="106"/>
    <n v="1"/>
    <s v="Gobierno"/>
    <n v="2"/>
    <s v="Relaciones Exteriores"/>
    <n v="1"/>
    <x v="13"/>
    <x v="1"/>
    <x v="31"/>
    <n v="1"/>
    <s v="Gasto corriente"/>
    <x v="0"/>
    <x v="0"/>
    <x v="0"/>
    <x v="0"/>
    <x v="0"/>
    <x v="0"/>
    <x v="0"/>
    <m/>
    <x v="0"/>
    <x v="0"/>
    <m/>
    <n v="24087590"/>
    <n v="0"/>
    <n v="-541429"/>
    <n v="23546161"/>
    <n v="12415022"/>
    <m/>
    <x v="1"/>
    <n v="12415022"/>
  </r>
  <r>
    <x v="1"/>
    <x v="7"/>
    <x v="7"/>
    <x v="4"/>
    <s v="Prestación de Servicios Públicos"/>
    <x v="4"/>
    <x v="80"/>
    <x v="72"/>
    <x v="107"/>
    <n v="1"/>
    <s v="Gobierno"/>
    <n v="2"/>
    <s v="Relaciones Exteriores"/>
    <n v="1"/>
    <x v="13"/>
    <x v="1"/>
    <x v="31"/>
    <n v="1"/>
    <s v="Gasto corriente"/>
    <x v="0"/>
    <x v="1"/>
    <x v="0"/>
    <x v="0"/>
    <x v="0"/>
    <x v="0"/>
    <x v="0"/>
    <m/>
    <x v="0"/>
    <x v="0"/>
    <m/>
    <n v="8113939"/>
    <n v="0"/>
    <n v="0"/>
    <n v="8113939"/>
    <n v="9143706"/>
    <m/>
    <x v="1"/>
    <n v="9143706"/>
  </r>
  <r>
    <x v="1"/>
    <x v="7"/>
    <x v="7"/>
    <x v="4"/>
    <s v="Prestación de Servicios Públicos"/>
    <x v="4"/>
    <x v="80"/>
    <x v="72"/>
    <x v="107"/>
    <n v="1"/>
    <s v="Gobierno"/>
    <n v="2"/>
    <s v="Relaciones Exteriores"/>
    <n v="1"/>
    <x v="13"/>
    <x v="1"/>
    <x v="31"/>
    <n v="1"/>
    <s v="Gasto corriente"/>
    <x v="0"/>
    <x v="0"/>
    <x v="0"/>
    <x v="0"/>
    <x v="0"/>
    <x v="0"/>
    <x v="0"/>
    <m/>
    <x v="0"/>
    <x v="0"/>
    <m/>
    <n v="113239960"/>
    <n v="0"/>
    <n v="-1028145"/>
    <n v="112211815"/>
    <n v="108810981"/>
    <n v="98483810"/>
    <x v="1"/>
    <n v="10327171"/>
  </r>
  <r>
    <x v="1"/>
    <x v="7"/>
    <x v="7"/>
    <x v="4"/>
    <s v="Prestación de Servicios Públicos"/>
    <x v="5"/>
    <x v="81"/>
    <x v="18"/>
    <x v="108"/>
    <n v="1"/>
    <s v="Gobierno"/>
    <n v="2"/>
    <s v="Relaciones Exteriores"/>
    <n v="1"/>
    <x v="13"/>
    <x v="5"/>
    <x v="32"/>
    <n v="1"/>
    <s v="Gasto corriente"/>
    <x v="0"/>
    <x v="1"/>
    <x v="0"/>
    <x v="0"/>
    <x v="0"/>
    <x v="0"/>
    <x v="0"/>
    <m/>
    <x v="0"/>
    <x v="0"/>
    <m/>
    <n v="661178"/>
    <n v="0"/>
    <n v="0"/>
    <n v="661178"/>
    <n v="741207"/>
    <m/>
    <x v="1"/>
    <n v="741207"/>
  </r>
  <r>
    <x v="1"/>
    <x v="7"/>
    <x v="7"/>
    <x v="4"/>
    <s v="Prestación de Servicios Públicos"/>
    <x v="5"/>
    <x v="81"/>
    <x v="18"/>
    <x v="108"/>
    <n v="1"/>
    <s v="Gobierno"/>
    <n v="2"/>
    <s v="Relaciones Exteriores"/>
    <n v="1"/>
    <x v="13"/>
    <x v="5"/>
    <x v="32"/>
    <n v="1"/>
    <s v="Gasto corriente"/>
    <x v="0"/>
    <x v="0"/>
    <x v="0"/>
    <x v="0"/>
    <x v="0"/>
    <x v="0"/>
    <x v="0"/>
    <m/>
    <x v="0"/>
    <x v="0"/>
    <m/>
    <n v="18788424"/>
    <n v="0"/>
    <n v="-226344"/>
    <n v="18562080"/>
    <n v="17990857"/>
    <m/>
    <x v="1"/>
    <n v="17990857"/>
  </r>
  <r>
    <x v="1"/>
    <x v="7"/>
    <x v="7"/>
    <x v="4"/>
    <s v="Prestación de Servicios Públicos"/>
    <x v="6"/>
    <x v="82"/>
    <x v="31"/>
    <x v="109"/>
    <n v="1"/>
    <s v="Gobierno"/>
    <n v="2"/>
    <s v="Relaciones Exteriores"/>
    <n v="1"/>
    <x v="13"/>
    <x v="6"/>
    <x v="33"/>
    <n v="1"/>
    <s v="Gasto corriente"/>
    <x v="0"/>
    <x v="1"/>
    <x v="0"/>
    <x v="0"/>
    <x v="0"/>
    <x v="0"/>
    <x v="0"/>
    <m/>
    <x v="0"/>
    <x v="0"/>
    <m/>
    <n v="1039287"/>
    <n v="0"/>
    <n v="0"/>
    <n v="1039287"/>
    <n v="1195181"/>
    <m/>
    <x v="1"/>
    <n v="1195181"/>
  </r>
  <r>
    <x v="1"/>
    <x v="7"/>
    <x v="7"/>
    <x v="4"/>
    <s v="Prestación de Servicios Públicos"/>
    <x v="6"/>
    <x v="82"/>
    <x v="31"/>
    <x v="109"/>
    <n v="1"/>
    <s v="Gobierno"/>
    <n v="2"/>
    <s v="Relaciones Exteriores"/>
    <n v="1"/>
    <x v="13"/>
    <x v="6"/>
    <x v="33"/>
    <n v="1"/>
    <s v="Gasto corriente"/>
    <x v="0"/>
    <x v="0"/>
    <x v="0"/>
    <x v="0"/>
    <x v="0"/>
    <x v="0"/>
    <x v="0"/>
    <m/>
    <x v="0"/>
    <x v="0"/>
    <m/>
    <n v="38638340"/>
    <n v="0"/>
    <n v="-813336"/>
    <n v="37825004"/>
    <n v="36921168"/>
    <m/>
    <x v="1"/>
    <n v="36921168"/>
  </r>
  <r>
    <x v="1"/>
    <x v="7"/>
    <x v="7"/>
    <x v="4"/>
    <s v="Prestación de Servicios Públicos"/>
    <x v="6"/>
    <x v="82"/>
    <x v="32"/>
    <x v="110"/>
    <n v="1"/>
    <s v="Gobierno"/>
    <n v="2"/>
    <s v="Relaciones Exteriores"/>
    <n v="1"/>
    <x v="13"/>
    <x v="6"/>
    <x v="33"/>
    <n v="1"/>
    <s v="Gasto corriente"/>
    <x v="0"/>
    <x v="1"/>
    <x v="0"/>
    <x v="0"/>
    <x v="0"/>
    <x v="0"/>
    <x v="0"/>
    <m/>
    <x v="0"/>
    <x v="0"/>
    <m/>
    <n v="393465"/>
    <n v="0"/>
    <n v="0"/>
    <n v="393465"/>
    <n v="452485"/>
    <m/>
    <x v="1"/>
    <n v="452485"/>
  </r>
  <r>
    <x v="1"/>
    <x v="7"/>
    <x v="7"/>
    <x v="4"/>
    <s v="Prestación de Servicios Públicos"/>
    <x v="6"/>
    <x v="82"/>
    <x v="32"/>
    <x v="110"/>
    <n v="1"/>
    <s v="Gobierno"/>
    <n v="2"/>
    <s v="Relaciones Exteriores"/>
    <n v="1"/>
    <x v="13"/>
    <x v="6"/>
    <x v="33"/>
    <n v="1"/>
    <s v="Gasto corriente"/>
    <x v="0"/>
    <x v="0"/>
    <x v="0"/>
    <x v="0"/>
    <x v="0"/>
    <x v="0"/>
    <x v="0"/>
    <m/>
    <x v="0"/>
    <x v="0"/>
    <m/>
    <n v="15439887"/>
    <n v="0"/>
    <n v="-284863"/>
    <n v="15155024"/>
    <n v="14731176"/>
    <m/>
    <x v="1"/>
    <n v="14731176"/>
  </r>
  <r>
    <x v="1"/>
    <x v="7"/>
    <x v="7"/>
    <x v="4"/>
    <s v="Prestación de Servicios Públicos"/>
    <x v="7"/>
    <x v="83"/>
    <x v="30"/>
    <x v="111"/>
    <n v="1"/>
    <s v="Gobierno"/>
    <n v="2"/>
    <s v="Relaciones Exteriores"/>
    <n v="1"/>
    <x v="13"/>
    <x v="9"/>
    <x v="34"/>
    <n v="1"/>
    <s v="Gasto corriente"/>
    <x v="0"/>
    <x v="1"/>
    <x v="0"/>
    <x v="0"/>
    <x v="0"/>
    <x v="0"/>
    <x v="0"/>
    <m/>
    <x v="0"/>
    <x v="0"/>
    <m/>
    <n v="535882"/>
    <n v="0"/>
    <n v="0"/>
    <n v="535882"/>
    <n v="616264"/>
    <m/>
    <x v="1"/>
    <n v="616264"/>
  </r>
  <r>
    <x v="1"/>
    <x v="7"/>
    <x v="7"/>
    <x v="4"/>
    <s v="Prestación de Servicios Públicos"/>
    <x v="7"/>
    <x v="83"/>
    <x v="30"/>
    <x v="111"/>
    <n v="1"/>
    <s v="Gobierno"/>
    <n v="2"/>
    <s v="Relaciones Exteriores"/>
    <n v="1"/>
    <x v="13"/>
    <x v="9"/>
    <x v="34"/>
    <n v="1"/>
    <s v="Gasto corriente"/>
    <x v="0"/>
    <x v="0"/>
    <x v="0"/>
    <x v="0"/>
    <x v="0"/>
    <x v="0"/>
    <x v="0"/>
    <m/>
    <x v="0"/>
    <x v="0"/>
    <m/>
    <n v="15263184"/>
    <n v="0"/>
    <n v="-231060"/>
    <n v="15032124"/>
    <n v="14551561"/>
    <m/>
    <x v="1"/>
    <n v="14551561"/>
  </r>
  <r>
    <x v="1"/>
    <x v="7"/>
    <x v="7"/>
    <x v="0"/>
    <s v="Proyectos de Inversión"/>
    <x v="0"/>
    <x v="0"/>
    <x v="0"/>
    <x v="112"/>
    <n v="1"/>
    <s v="Gobierno"/>
    <n v="2"/>
    <s v="Relaciones Exteriores"/>
    <n v="1"/>
    <x v="13"/>
    <x v="0"/>
    <x v="35"/>
    <n v="2"/>
    <s v="Gasto de capital"/>
    <x v="0"/>
    <x v="0"/>
    <x v="0"/>
    <x v="0"/>
    <x v="0"/>
    <x v="0"/>
    <x v="0"/>
    <m/>
    <x v="0"/>
    <x v="0"/>
    <m/>
    <n v="24575000"/>
    <n v="0"/>
    <n v="0"/>
    <n v="24575000"/>
    <n v="19040000"/>
    <m/>
    <x v="1"/>
    <n v="19040000"/>
  </r>
  <r>
    <x v="1"/>
    <x v="7"/>
    <x v="7"/>
    <x v="0"/>
    <s v="Proyectos de Inversión"/>
    <x v="0"/>
    <x v="0"/>
    <x v="7"/>
    <x v="113"/>
    <n v="1"/>
    <s v="Gobierno"/>
    <n v="2"/>
    <s v="Relaciones Exteriores"/>
    <n v="1"/>
    <x v="13"/>
    <x v="0"/>
    <x v="35"/>
    <n v="2"/>
    <s v="Gasto de capital"/>
    <x v="0"/>
    <x v="0"/>
    <x v="0"/>
    <x v="0"/>
    <x v="0"/>
    <x v="0"/>
    <x v="0"/>
    <m/>
    <x v="0"/>
    <x v="0"/>
    <m/>
    <n v="24575000"/>
    <n v="0"/>
    <n v="0"/>
    <n v="24575000"/>
    <n v="19040000"/>
    <m/>
    <x v="1"/>
    <n v="19040000"/>
  </r>
  <r>
    <x v="1"/>
    <x v="7"/>
    <x v="7"/>
    <x v="0"/>
    <s v="Proyectos de Inversión"/>
    <x v="0"/>
    <x v="0"/>
    <x v="38"/>
    <x v="114"/>
    <n v="1"/>
    <s v="Gobierno"/>
    <n v="2"/>
    <s v="Relaciones Exteriores"/>
    <n v="1"/>
    <x v="13"/>
    <x v="0"/>
    <x v="35"/>
    <n v="2"/>
    <s v="Gasto de capital"/>
    <x v="0"/>
    <x v="0"/>
    <x v="0"/>
    <x v="0"/>
    <x v="0"/>
    <x v="0"/>
    <x v="0"/>
    <m/>
    <x v="0"/>
    <x v="0"/>
    <m/>
    <n v="24575000"/>
    <n v="0"/>
    <n v="0"/>
    <n v="24575000"/>
    <n v="19040000"/>
    <m/>
    <x v="1"/>
    <n v="19040000"/>
  </r>
  <r>
    <x v="1"/>
    <x v="7"/>
    <x v="7"/>
    <x v="0"/>
    <s v="Proyectos de Inversión"/>
    <x v="0"/>
    <x v="0"/>
    <x v="73"/>
    <x v="115"/>
    <n v="1"/>
    <s v="Gobierno"/>
    <n v="2"/>
    <s v="Relaciones Exteriores"/>
    <n v="1"/>
    <x v="13"/>
    <x v="0"/>
    <x v="35"/>
    <n v="2"/>
    <s v="Gasto de capital"/>
    <x v="0"/>
    <x v="0"/>
    <x v="0"/>
    <x v="0"/>
    <x v="0"/>
    <x v="0"/>
    <x v="0"/>
    <m/>
    <x v="0"/>
    <x v="0"/>
    <m/>
    <n v="39696000"/>
    <n v="0"/>
    <n v="0"/>
    <n v="39696000"/>
    <m/>
    <m/>
    <x v="1"/>
    <n v="0"/>
  </r>
  <r>
    <x v="1"/>
    <x v="7"/>
    <x v="7"/>
    <x v="0"/>
    <s v="Proyectos de Inversión"/>
    <x v="0"/>
    <x v="0"/>
    <x v="58"/>
    <x v="116"/>
    <n v="1"/>
    <s v="Gobierno"/>
    <n v="2"/>
    <s v="Relaciones Exteriores"/>
    <n v="1"/>
    <x v="13"/>
    <x v="11"/>
    <x v="36"/>
    <n v="2"/>
    <s v="Gasto de capital"/>
    <x v="0"/>
    <x v="0"/>
    <x v="0"/>
    <x v="0"/>
    <x v="0"/>
    <x v="0"/>
    <x v="0"/>
    <m/>
    <x v="0"/>
    <x v="0"/>
    <m/>
    <m/>
    <m/>
    <m/>
    <m/>
    <n v="19040000"/>
    <m/>
    <x v="1"/>
    <n v="19040000"/>
  </r>
  <r>
    <x v="1"/>
    <x v="7"/>
    <x v="7"/>
    <x v="0"/>
    <s v="Proyectos de Inversión"/>
    <x v="0"/>
    <x v="0"/>
    <x v="44"/>
    <x v="117"/>
    <n v="1"/>
    <s v="Gobierno"/>
    <n v="2"/>
    <s v="Relaciones Exteriores"/>
    <n v="1"/>
    <x v="13"/>
    <x v="4"/>
    <x v="37"/>
    <n v="2"/>
    <s v="Gasto de capital"/>
    <x v="0"/>
    <x v="0"/>
    <x v="0"/>
    <x v="0"/>
    <x v="0"/>
    <x v="0"/>
    <x v="0"/>
    <m/>
    <x v="0"/>
    <x v="0"/>
    <m/>
    <n v="24575000"/>
    <n v="0"/>
    <n v="0"/>
    <n v="24575000"/>
    <n v="19040000"/>
    <m/>
    <x v="1"/>
    <n v="19040000"/>
  </r>
  <r>
    <x v="1"/>
    <x v="7"/>
    <x v="7"/>
    <x v="2"/>
    <s v="Apoyo al proceso presupuestario y para mejorar la eficiencia institucional"/>
    <x v="2"/>
    <x v="34"/>
    <x v="74"/>
    <x v="39"/>
    <n v="1"/>
    <s v="Gobierno"/>
    <n v="2"/>
    <s v="Relaciones Exteriores"/>
    <n v="1"/>
    <x v="13"/>
    <x v="3"/>
    <x v="12"/>
    <n v="1"/>
    <s v="Gasto corriente"/>
    <x v="0"/>
    <x v="1"/>
    <x v="0"/>
    <x v="0"/>
    <x v="0"/>
    <x v="0"/>
    <x v="0"/>
    <m/>
    <x v="0"/>
    <x v="0"/>
    <m/>
    <n v="603577"/>
    <n v="0"/>
    <n v="0"/>
    <n v="603577"/>
    <n v="639921"/>
    <m/>
    <x v="1"/>
    <n v="639921"/>
  </r>
  <r>
    <x v="1"/>
    <x v="7"/>
    <x v="7"/>
    <x v="2"/>
    <s v="Apoyo al proceso presupuestario y para mejorar la eficiencia institucional"/>
    <x v="2"/>
    <x v="34"/>
    <x v="74"/>
    <x v="39"/>
    <n v="1"/>
    <s v="Gobierno"/>
    <n v="2"/>
    <s v="Relaciones Exteriores"/>
    <n v="1"/>
    <x v="13"/>
    <x v="3"/>
    <x v="12"/>
    <n v="1"/>
    <s v="Gasto corriente"/>
    <x v="0"/>
    <x v="0"/>
    <x v="0"/>
    <x v="0"/>
    <x v="0"/>
    <x v="0"/>
    <x v="0"/>
    <m/>
    <x v="0"/>
    <x v="0"/>
    <m/>
    <n v="20489049"/>
    <n v="0"/>
    <n v="-237275"/>
    <n v="20251774"/>
    <n v="20012418"/>
    <m/>
    <x v="1"/>
    <n v="20012418"/>
  </r>
  <r>
    <x v="1"/>
    <x v="7"/>
    <x v="7"/>
    <x v="2"/>
    <s v="Apoyo al proceso presupuestario y para mejorar la eficiencia institucional"/>
    <x v="2"/>
    <x v="34"/>
    <x v="75"/>
    <x v="118"/>
    <n v="1"/>
    <s v="Gobierno"/>
    <n v="2"/>
    <s v="Relaciones Exteriores"/>
    <n v="1"/>
    <x v="13"/>
    <x v="3"/>
    <x v="12"/>
    <n v="1"/>
    <s v="Gasto corriente"/>
    <x v="0"/>
    <x v="1"/>
    <x v="0"/>
    <x v="0"/>
    <x v="0"/>
    <x v="0"/>
    <x v="0"/>
    <m/>
    <x v="0"/>
    <x v="0"/>
    <m/>
    <n v="6757534"/>
    <n v="0"/>
    <n v="0"/>
    <n v="6757534"/>
    <n v="8885432"/>
    <m/>
    <x v="1"/>
    <n v="8885432"/>
  </r>
  <r>
    <x v="1"/>
    <x v="7"/>
    <x v="7"/>
    <x v="2"/>
    <s v="Apoyo al proceso presupuestario y para mejorar la eficiencia institucional"/>
    <x v="2"/>
    <x v="34"/>
    <x v="75"/>
    <x v="118"/>
    <n v="1"/>
    <s v="Gobierno"/>
    <n v="2"/>
    <s v="Relaciones Exteriores"/>
    <n v="1"/>
    <x v="13"/>
    <x v="3"/>
    <x v="12"/>
    <n v="1"/>
    <s v="Gasto corriente"/>
    <x v="0"/>
    <x v="0"/>
    <x v="0"/>
    <x v="0"/>
    <x v="0"/>
    <x v="0"/>
    <x v="0"/>
    <m/>
    <x v="0"/>
    <x v="0"/>
    <m/>
    <n v="129506126"/>
    <n v="0"/>
    <n v="-1320516"/>
    <n v="128185610"/>
    <n v="121994629"/>
    <m/>
    <x v="1"/>
    <n v="121994629"/>
  </r>
  <r>
    <x v="1"/>
    <x v="7"/>
    <x v="7"/>
    <x v="2"/>
    <s v="Apoyo al proceso presupuestario y para mejorar la eficiencia institucional"/>
    <x v="2"/>
    <x v="34"/>
    <x v="76"/>
    <x v="119"/>
    <n v="1"/>
    <s v="Gobierno"/>
    <n v="2"/>
    <s v="Relaciones Exteriores"/>
    <n v="1"/>
    <x v="13"/>
    <x v="3"/>
    <x v="12"/>
    <n v="1"/>
    <s v="Gasto corriente"/>
    <x v="0"/>
    <x v="1"/>
    <x v="0"/>
    <x v="0"/>
    <x v="0"/>
    <x v="0"/>
    <x v="0"/>
    <m/>
    <x v="0"/>
    <x v="0"/>
    <m/>
    <n v="1967649"/>
    <n v="0"/>
    <n v="0"/>
    <n v="1967649"/>
    <n v="2071139"/>
    <m/>
    <x v="1"/>
    <n v="2071139"/>
  </r>
  <r>
    <x v="1"/>
    <x v="7"/>
    <x v="7"/>
    <x v="2"/>
    <s v="Apoyo al proceso presupuestario y para mejorar la eficiencia institucional"/>
    <x v="2"/>
    <x v="34"/>
    <x v="76"/>
    <x v="119"/>
    <n v="1"/>
    <s v="Gobierno"/>
    <n v="2"/>
    <s v="Relaciones Exteriores"/>
    <n v="1"/>
    <x v="13"/>
    <x v="3"/>
    <x v="12"/>
    <n v="1"/>
    <s v="Gasto corriente"/>
    <x v="0"/>
    <x v="0"/>
    <x v="0"/>
    <x v="0"/>
    <x v="0"/>
    <x v="0"/>
    <x v="0"/>
    <m/>
    <x v="0"/>
    <x v="0"/>
    <m/>
    <n v="44538675"/>
    <n v="0"/>
    <n v="-618790"/>
    <n v="43919885"/>
    <n v="51377735"/>
    <m/>
    <x v="1"/>
    <n v="51377735"/>
  </r>
  <r>
    <x v="1"/>
    <x v="7"/>
    <x v="7"/>
    <x v="2"/>
    <s v="Apoyo al proceso presupuestario y para mejorar la eficiencia institucional"/>
    <x v="2"/>
    <x v="34"/>
    <x v="77"/>
    <x v="120"/>
    <n v="1"/>
    <s v="Gobierno"/>
    <n v="2"/>
    <s v="Relaciones Exteriores"/>
    <n v="1"/>
    <x v="13"/>
    <x v="3"/>
    <x v="12"/>
    <n v="1"/>
    <s v="Gasto corriente"/>
    <x v="0"/>
    <x v="1"/>
    <x v="0"/>
    <x v="0"/>
    <x v="0"/>
    <x v="0"/>
    <x v="0"/>
    <m/>
    <x v="0"/>
    <x v="0"/>
    <m/>
    <n v="1801378"/>
    <n v="0"/>
    <n v="0"/>
    <n v="1801378"/>
    <n v="1850248"/>
    <m/>
    <x v="1"/>
    <n v="1850248"/>
  </r>
  <r>
    <x v="1"/>
    <x v="7"/>
    <x v="7"/>
    <x v="2"/>
    <s v="Apoyo al proceso presupuestario y para mejorar la eficiencia institucional"/>
    <x v="2"/>
    <x v="34"/>
    <x v="77"/>
    <x v="120"/>
    <n v="1"/>
    <s v="Gobierno"/>
    <n v="2"/>
    <s v="Relaciones Exteriores"/>
    <n v="1"/>
    <x v="13"/>
    <x v="3"/>
    <x v="12"/>
    <n v="1"/>
    <s v="Gasto corriente"/>
    <x v="0"/>
    <x v="0"/>
    <x v="0"/>
    <x v="0"/>
    <x v="0"/>
    <x v="0"/>
    <x v="0"/>
    <m/>
    <x v="0"/>
    <x v="0"/>
    <m/>
    <n v="167043233"/>
    <n v="0"/>
    <n v="-4487370"/>
    <n v="162555863"/>
    <n v="139853829"/>
    <m/>
    <x v="1"/>
    <n v="139853829"/>
  </r>
  <r>
    <x v="1"/>
    <x v="7"/>
    <x v="7"/>
    <x v="2"/>
    <s v="Apoyo al proceso presupuestario y para mejorar la eficiencia institucional"/>
    <x v="2"/>
    <x v="34"/>
    <x v="77"/>
    <x v="120"/>
    <n v="1"/>
    <s v="Gobierno"/>
    <n v="2"/>
    <s v="Relaciones Exteriores"/>
    <n v="1"/>
    <x v="13"/>
    <x v="3"/>
    <x v="12"/>
    <n v="2"/>
    <s v="Gasto de capital"/>
    <x v="0"/>
    <x v="0"/>
    <x v="0"/>
    <x v="0"/>
    <x v="0"/>
    <x v="0"/>
    <x v="0"/>
    <m/>
    <x v="0"/>
    <x v="0"/>
    <m/>
    <m/>
    <m/>
    <m/>
    <m/>
    <n v="11576000"/>
    <m/>
    <x v="1"/>
    <n v="11576000"/>
  </r>
  <r>
    <x v="1"/>
    <x v="7"/>
    <x v="7"/>
    <x v="2"/>
    <s v="Apoyo al proceso presupuestario y para mejorar la eficiencia institucional"/>
    <x v="2"/>
    <x v="34"/>
    <x v="78"/>
    <x v="121"/>
    <n v="1"/>
    <s v="Gobierno"/>
    <n v="2"/>
    <s v="Relaciones Exteriores"/>
    <n v="1"/>
    <x v="13"/>
    <x v="3"/>
    <x v="12"/>
    <n v="1"/>
    <s v="Gasto corriente"/>
    <x v="0"/>
    <x v="1"/>
    <x v="0"/>
    <x v="0"/>
    <x v="0"/>
    <x v="0"/>
    <x v="0"/>
    <m/>
    <x v="0"/>
    <x v="0"/>
    <m/>
    <n v="1166521"/>
    <n v="0"/>
    <n v="0"/>
    <n v="1166521"/>
    <n v="1306725"/>
    <m/>
    <x v="1"/>
    <n v="1306725"/>
  </r>
  <r>
    <x v="1"/>
    <x v="7"/>
    <x v="7"/>
    <x v="2"/>
    <s v="Apoyo al proceso presupuestario y para mejorar la eficiencia institucional"/>
    <x v="2"/>
    <x v="34"/>
    <x v="78"/>
    <x v="121"/>
    <n v="1"/>
    <s v="Gobierno"/>
    <n v="2"/>
    <s v="Relaciones Exteriores"/>
    <n v="1"/>
    <x v="13"/>
    <x v="3"/>
    <x v="12"/>
    <n v="1"/>
    <s v="Gasto corriente"/>
    <x v="0"/>
    <x v="0"/>
    <x v="0"/>
    <x v="0"/>
    <x v="0"/>
    <x v="0"/>
    <x v="0"/>
    <m/>
    <x v="0"/>
    <x v="0"/>
    <m/>
    <n v="60318084"/>
    <n v="0"/>
    <n v="-1394389"/>
    <n v="58923695"/>
    <n v="48941872"/>
    <m/>
    <x v="1"/>
    <n v="48941872"/>
  </r>
  <r>
    <x v="1"/>
    <x v="7"/>
    <x v="7"/>
    <x v="2"/>
    <s v="Apoyo al proceso presupuestario y para mejorar la eficiencia institucional"/>
    <x v="2"/>
    <x v="34"/>
    <x v="79"/>
    <x v="43"/>
    <n v="1"/>
    <s v="Gobierno"/>
    <n v="2"/>
    <s v="Relaciones Exteriores"/>
    <n v="1"/>
    <x v="13"/>
    <x v="3"/>
    <x v="12"/>
    <n v="1"/>
    <s v="Gasto corriente"/>
    <x v="0"/>
    <x v="1"/>
    <x v="0"/>
    <x v="0"/>
    <x v="0"/>
    <x v="0"/>
    <x v="0"/>
    <m/>
    <x v="0"/>
    <x v="0"/>
    <m/>
    <n v="1161866"/>
    <n v="0"/>
    <n v="0"/>
    <n v="1161866"/>
    <n v="1153976"/>
    <m/>
    <x v="1"/>
    <n v="1153976"/>
  </r>
  <r>
    <x v="1"/>
    <x v="7"/>
    <x v="7"/>
    <x v="2"/>
    <s v="Apoyo al proceso presupuestario y para mejorar la eficiencia institucional"/>
    <x v="2"/>
    <x v="34"/>
    <x v="79"/>
    <x v="43"/>
    <n v="1"/>
    <s v="Gobierno"/>
    <n v="2"/>
    <s v="Relaciones Exteriores"/>
    <n v="1"/>
    <x v="13"/>
    <x v="3"/>
    <x v="12"/>
    <n v="1"/>
    <s v="Gasto corriente"/>
    <x v="0"/>
    <x v="0"/>
    <x v="0"/>
    <x v="0"/>
    <x v="0"/>
    <x v="0"/>
    <x v="0"/>
    <m/>
    <x v="0"/>
    <x v="0"/>
    <m/>
    <n v="21270987"/>
    <n v="0"/>
    <n v="-218970"/>
    <n v="21052017"/>
    <n v="20016861"/>
    <m/>
    <x v="1"/>
    <n v="20016861"/>
  </r>
  <r>
    <x v="1"/>
    <x v="7"/>
    <x v="7"/>
    <x v="3"/>
    <s v="Apoyo a la función pública y al mejoramiento de la gestión"/>
    <x v="2"/>
    <x v="42"/>
    <x v="80"/>
    <x v="12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690576"/>
    <n v="0"/>
    <n v="0"/>
    <n v="690576"/>
    <n v="827886"/>
    <m/>
    <x v="1"/>
    <n v="827886"/>
  </r>
  <r>
    <x v="1"/>
    <x v="7"/>
    <x v="7"/>
    <x v="3"/>
    <s v="Apoyo a la función pública y al mejoramiento de la gestión"/>
    <x v="2"/>
    <x v="42"/>
    <x v="80"/>
    <x v="12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8058813"/>
    <n v="0"/>
    <n v="-193926"/>
    <n v="17864887"/>
    <n v="15150546"/>
    <m/>
    <x v="1"/>
    <n v="15150546"/>
  </r>
  <r>
    <x v="1"/>
    <x v="7"/>
    <x v="7"/>
    <x v="5"/>
    <s v="Planeación, seguimiento y evaluación de políticas públicas"/>
    <x v="2"/>
    <x v="84"/>
    <x v="58"/>
    <x v="116"/>
    <n v="1"/>
    <s v="Gobierno"/>
    <n v="2"/>
    <s v="Relaciones Exteriores"/>
    <n v="1"/>
    <x v="13"/>
    <x v="11"/>
    <x v="36"/>
    <n v="1"/>
    <s v="Gasto corriente"/>
    <x v="0"/>
    <x v="1"/>
    <x v="0"/>
    <x v="0"/>
    <x v="0"/>
    <x v="0"/>
    <x v="0"/>
    <m/>
    <x v="0"/>
    <x v="0"/>
    <m/>
    <n v="427468"/>
    <n v="0"/>
    <n v="0"/>
    <n v="427468"/>
    <n v="498030"/>
    <m/>
    <x v="1"/>
    <n v="498030"/>
  </r>
  <r>
    <x v="1"/>
    <x v="7"/>
    <x v="7"/>
    <x v="5"/>
    <s v="Planeación, seguimiento y evaluación de políticas públicas"/>
    <x v="2"/>
    <x v="84"/>
    <x v="58"/>
    <x v="116"/>
    <n v="1"/>
    <s v="Gobierno"/>
    <n v="2"/>
    <s v="Relaciones Exteriores"/>
    <n v="1"/>
    <x v="13"/>
    <x v="11"/>
    <x v="36"/>
    <n v="1"/>
    <s v="Gasto corriente"/>
    <x v="0"/>
    <x v="0"/>
    <x v="0"/>
    <x v="0"/>
    <x v="0"/>
    <x v="0"/>
    <x v="0"/>
    <m/>
    <x v="0"/>
    <x v="0"/>
    <m/>
    <n v="61690470"/>
    <n v="0"/>
    <n v="-1238180"/>
    <n v="60452290"/>
    <n v="96612138"/>
    <m/>
    <x v="1"/>
    <n v="96612138"/>
  </r>
  <r>
    <x v="1"/>
    <x v="7"/>
    <x v="7"/>
    <x v="5"/>
    <s v="Planeación, seguimiento y evaluación de políticas públicas"/>
    <x v="2"/>
    <x v="84"/>
    <x v="59"/>
    <x v="123"/>
    <n v="1"/>
    <s v="Gobierno"/>
    <n v="2"/>
    <s v="Relaciones Exteriores"/>
    <n v="1"/>
    <x v="13"/>
    <x v="11"/>
    <x v="36"/>
    <n v="1"/>
    <s v="Gasto corriente"/>
    <x v="0"/>
    <x v="1"/>
    <x v="0"/>
    <x v="0"/>
    <x v="0"/>
    <x v="0"/>
    <x v="0"/>
    <m/>
    <x v="0"/>
    <x v="0"/>
    <m/>
    <n v="207236"/>
    <n v="0"/>
    <n v="0"/>
    <n v="207236"/>
    <n v="249497"/>
    <m/>
    <x v="1"/>
    <n v="249497"/>
  </r>
  <r>
    <x v="1"/>
    <x v="7"/>
    <x v="7"/>
    <x v="5"/>
    <s v="Planeación, seguimiento y evaluación de políticas públicas"/>
    <x v="2"/>
    <x v="84"/>
    <x v="59"/>
    <x v="123"/>
    <n v="1"/>
    <s v="Gobierno"/>
    <n v="2"/>
    <s v="Relaciones Exteriores"/>
    <n v="1"/>
    <x v="13"/>
    <x v="11"/>
    <x v="36"/>
    <n v="1"/>
    <s v="Gasto corriente"/>
    <x v="0"/>
    <x v="0"/>
    <x v="0"/>
    <x v="0"/>
    <x v="0"/>
    <x v="0"/>
    <x v="0"/>
    <m/>
    <x v="0"/>
    <x v="0"/>
    <m/>
    <n v="9610873"/>
    <n v="0"/>
    <n v="-142396"/>
    <n v="9468477"/>
    <n v="10320008"/>
    <m/>
    <x v="1"/>
    <n v="10320008"/>
  </r>
  <r>
    <x v="1"/>
    <x v="7"/>
    <x v="7"/>
    <x v="5"/>
    <s v="Planeación, seguimiento y evaluación de políticas públicas"/>
    <x v="2"/>
    <x v="84"/>
    <x v="81"/>
    <x v="124"/>
    <n v="1"/>
    <s v="Gobierno"/>
    <n v="2"/>
    <s v="Relaciones Exteriores"/>
    <n v="1"/>
    <x v="13"/>
    <x v="11"/>
    <x v="36"/>
    <n v="1"/>
    <s v="Gasto corriente"/>
    <x v="0"/>
    <x v="1"/>
    <x v="0"/>
    <x v="0"/>
    <x v="0"/>
    <x v="0"/>
    <x v="0"/>
    <m/>
    <x v="0"/>
    <x v="0"/>
    <m/>
    <n v="468407"/>
    <n v="0"/>
    <n v="0"/>
    <n v="468407"/>
    <n v="545503"/>
    <m/>
    <x v="1"/>
    <n v="545503"/>
  </r>
  <r>
    <x v="1"/>
    <x v="7"/>
    <x v="7"/>
    <x v="5"/>
    <s v="Planeación, seguimiento y evaluación de políticas públicas"/>
    <x v="2"/>
    <x v="84"/>
    <x v="81"/>
    <x v="124"/>
    <n v="1"/>
    <s v="Gobierno"/>
    <n v="2"/>
    <s v="Relaciones Exteriores"/>
    <n v="1"/>
    <x v="13"/>
    <x v="11"/>
    <x v="36"/>
    <n v="1"/>
    <s v="Gasto corriente"/>
    <x v="0"/>
    <x v="0"/>
    <x v="0"/>
    <x v="0"/>
    <x v="0"/>
    <x v="0"/>
    <x v="0"/>
    <m/>
    <x v="0"/>
    <x v="0"/>
    <m/>
    <n v="12373215"/>
    <n v="0"/>
    <n v="-114037"/>
    <n v="12259178"/>
    <n v="12248744"/>
    <m/>
    <x v="1"/>
    <n v="12248744"/>
  </r>
  <r>
    <x v="1"/>
    <x v="7"/>
    <x v="7"/>
    <x v="5"/>
    <s v="Planeación, seguimiento y evaluación de políticas públicas"/>
    <x v="2"/>
    <x v="84"/>
    <x v="82"/>
    <x v="125"/>
    <n v="1"/>
    <s v="Gobierno"/>
    <n v="2"/>
    <s v="Relaciones Exteriores"/>
    <n v="1"/>
    <x v="13"/>
    <x v="11"/>
    <x v="36"/>
    <n v="1"/>
    <s v="Gasto corriente"/>
    <x v="0"/>
    <x v="1"/>
    <x v="0"/>
    <x v="1"/>
    <x v="0"/>
    <x v="0"/>
    <x v="0"/>
    <m/>
    <x v="0"/>
    <x v="0"/>
    <m/>
    <n v="515250"/>
    <n v="0"/>
    <n v="0"/>
    <n v="515250"/>
    <n v="583733"/>
    <m/>
    <x v="1"/>
    <n v="583733"/>
  </r>
  <r>
    <x v="1"/>
    <x v="7"/>
    <x v="7"/>
    <x v="5"/>
    <s v="Planeación, seguimiento y evaluación de políticas públicas"/>
    <x v="2"/>
    <x v="84"/>
    <x v="82"/>
    <x v="125"/>
    <n v="1"/>
    <s v="Gobierno"/>
    <n v="2"/>
    <s v="Relaciones Exteriores"/>
    <n v="1"/>
    <x v="13"/>
    <x v="11"/>
    <x v="36"/>
    <n v="1"/>
    <s v="Gasto corriente"/>
    <x v="0"/>
    <x v="0"/>
    <x v="0"/>
    <x v="1"/>
    <x v="0"/>
    <x v="0"/>
    <x v="0"/>
    <m/>
    <x v="0"/>
    <x v="0"/>
    <m/>
    <n v="17783094"/>
    <n v="0"/>
    <n v="-145617"/>
    <n v="17637477"/>
    <n v="17368364"/>
    <m/>
    <x v="1"/>
    <n v="17368364"/>
  </r>
  <r>
    <x v="1"/>
    <x v="7"/>
    <x v="7"/>
    <x v="5"/>
    <s v="Planeación, seguimiento y evaluación de políticas públicas"/>
    <x v="3"/>
    <x v="85"/>
    <x v="1"/>
    <x v="78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1227840"/>
    <n v="0"/>
    <n v="0"/>
    <n v="1227840"/>
    <n v="1140066"/>
    <m/>
    <x v="1"/>
    <n v="1140066"/>
  </r>
  <r>
    <x v="1"/>
    <x v="7"/>
    <x v="7"/>
    <x v="5"/>
    <s v="Planeación, seguimiento y evaluación de políticas públicas"/>
    <x v="3"/>
    <x v="85"/>
    <x v="1"/>
    <x v="78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48005383"/>
    <n v="0"/>
    <n v="-660630"/>
    <n v="47344753"/>
    <n v="42805699"/>
    <m/>
    <x v="1"/>
    <n v="42805699"/>
  </r>
  <r>
    <x v="1"/>
    <x v="7"/>
    <x v="7"/>
    <x v="5"/>
    <s v="Planeación, seguimiento y evaluación de políticas públicas"/>
    <x v="3"/>
    <x v="85"/>
    <x v="10"/>
    <x v="126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239907"/>
    <n v="0"/>
    <n v="0"/>
    <n v="239907"/>
    <n v="269169"/>
    <m/>
    <x v="1"/>
    <n v="269169"/>
  </r>
  <r>
    <x v="1"/>
    <x v="7"/>
    <x v="7"/>
    <x v="5"/>
    <s v="Planeación, seguimiento y evaluación de políticas públicas"/>
    <x v="3"/>
    <x v="85"/>
    <x v="10"/>
    <x v="126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7726475"/>
    <n v="0"/>
    <n v="-74281"/>
    <n v="7652194"/>
    <n v="7485926"/>
    <m/>
    <x v="1"/>
    <n v="7485926"/>
  </r>
  <r>
    <x v="1"/>
    <x v="7"/>
    <x v="7"/>
    <x v="5"/>
    <s v="Planeación, seguimiento y evaluación de políticas públicas"/>
    <x v="3"/>
    <x v="85"/>
    <x v="22"/>
    <x v="127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453911"/>
    <n v="0"/>
    <n v="0"/>
    <n v="453911"/>
    <n v="444235"/>
    <m/>
    <x v="1"/>
    <n v="444235"/>
  </r>
  <r>
    <x v="1"/>
    <x v="7"/>
    <x v="7"/>
    <x v="5"/>
    <s v="Planeación, seguimiento y evaluación de políticas públicas"/>
    <x v="3"/>
    <x v="85"/>
    <x v="22"/>
    <x v="127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12559054"/>
    <n v="0"/>
    <n v="-216819"/>
    <n v="12342235"/>
    <n v="11855033"/>
    <m/>
    <x v="1"/>
    <n v="11855033"/>
  </r>
  <r>
    <x v="1"/>
    <x v="7"/>
    <x v="7"/>
    <x v="5"/>
    <s v="Planeación, seguimiento y evaluación de políticas públicas"/>
    <x v="3"/>
    <x v="85"/>
    <x v="23"/>
    <x v="93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742519"/>
    <n v="0"/>
    <n v="0"/>
    <n v="742519"/>
    <n v="840551"/>
    <m/>
    <x v="1"/>
    <n v="840551"/>
  </r>
  <r>
    <x v="1"/>
    <x v="7"/>
    <x v="7"/>
    <x v="5"/>
    <s v="Planeación, seguimiento y evaluación de políticas públicas"/>
    <x v="3"/>
    <x v="85"/>
    <x v="23"/>
    <x v="93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26779584"/>
    <n v="0"/>
    <n v="-488570"/>
    <n v="26291014"/>
    <n v="26191964"/>
    <m/>
    <x v="1"/>
    <n v="26191964"/>
  </r>
  <r>
    <x v="1"/>
    <x v="7"/>
    <x v="7"/>
    <x v="5"/>
    <s v="Planeación, seguimiento y evaluación de políticas públicas"/>
    <x v="3"/>
    <x v="85"/>
    <x v="83"/>
    <x v="128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835576"/>
    <n v="0"/>
    <n v="0"/>
    <n v="835576"/>
    <n v="951955"/>
    <m/>
    <x v="1"/>
    <n v="951955"/>
  </r>
  <r>
    <x v="1"/>
    <x v="7"/>
    <x v="7"/>
    <x v="5"/>
    <s v="Planeación, seguimiento y evaluación de políticas públicas"/>
    <x v="3"/>
    <x v="85"/>
    <x v="83"/>
    <x v="128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18129740"/>
    <n v="0"/>
    <n v="-225518"/>
    <n v="17904222"/>
    <n v="17606606"/>
    <m/>
    <x v="1"/>
    <n v="17606606"/>
  </r>
  <r>
    <x v="1"/>
    <x v="7"/>
    <x v="7"/>
    <x v="5"/>
    <s v="Planeación, seguimiento y evaluación de políticas públicas"/>
    <x v="4"/>
    <x v="86"/>
    <x v="47"/>
    <x v="129"/>
    <n v="1"/>
    <s v="Gobierno"/>
    <n v="2"/>
    <s v="Relaciones Exteriores"/>
    <n v="1"/>
    <x v="13"/>
    <x v="4"/>
    <x v="37"/>
    <n v="1"/>
    <s v="Gasto corriente"/>
    <x v="0"/>
    <x v="1"/>
    <x v="0"/>
    <x v="0"/>
    <x v="0"/>
    <x v="0"/>
    <x v="0"/>
    <m/>
    <x v="0"/>
    <x v="0"/>
    <m/>
    <n v="380279"/>
    <n v="0"/>
    <n v="0"/>
    <n v="380279"/>
    <n v="436220"/>
    <m/>
    <x v="1"/>
    <n v="436220"/>
  </r>
  <r>
    <x v="1"/>
    <x v="7"/>
    <x v="7"/>
    <x v="5"/>
    <s v="Planeación, seguimiento y evaluación de políticas públicas"/>
    <x v="4"/>
    <x v="86"/>
    <x v="47"/>
    <x v="129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1"/>
    <m/>
    <x v="0"/>
    <x v="0"/>
    <m/>
    <n v="12793523"/>
    <n v="0"/>
    <n v="-143672"/>
    <n v="12649851"/>
    <n v="12117419"/>
    <m/>
    <x v="7"/>
    <n v="14117419"/>
  </r>
  <r>
    <x v="1"/>
    <x v="7"/>
    <x v="7"/>
    <x v="5"/>
    <s v="Planeación, seguimiento y evaluación de políticas públicas"/>
    <x v="4"/>
    <x v="86"/>
    <x v="48"/>
    <x v="130"/>
    <n v="1"/>
    <s v="Gobierno"/>
    <n v="2"/>
    <s v="Relaciones Exteriores"/>
    <n v="1"/>
    <x v="13"/>
    <x v="4"/>
    <x v="37"/>
    <n v="1"/>
    <s v="Gasto corriente"/>
    <x v="0"/>
    <x v="1"/>
    <x v="0"/>
    <x v="0"/>
    <x v="0"/>
    <x v="0"/>
    <x v="0"/>
    <m/>
    <x v="0"/>
    <x v="0"/>
    <m/>
    <n v="43831"/>
    <n v="0"/>
    <n v="0"/>
    <n v="43831"/>
    <n v="53957"/>
    <m/>
    <x v="1"/>
    <n v="53957"/>
  </r>
  <r>
    <x v="1"/>
    <x v="7"/>
    <x v="7"/>
    <x v="5"/>
    <s v="Planeación, seguimiento y evaluación de políticas públicas"/>
    <x v="4"/>
    <x v="86"/>
    <x v="48"/>
    <x v="130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0"/>
    <m/>
    <n v="4408405"/>
    <n v="0"/>
    <n v="-44844"/>
    <n v="4363561"/>
    <n v="4842843"/>
    <m/>
    <x v="1"/>
    <n v="4842843"/>
  </r>
  <r>
    <x v="1"/>
    <x v="7"/>
    <x v="7"/>
    <x v="5"/>
    <s v="Planeación, seguimiento y evaluación de políticas públicas"/>
    <x v="5"/>
    <x v="87"/>
    <x v="0"/>
    <x v="112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9105621"/>
    <n v="0"/>
    <n v="0"/>
    <n v="9105621"/>
    <n v="10777574"/>
    <m/>
    <x v="1"/>
    <n v="10777574"/>
  </r>
  <r>
    <x v="1"/>
    <x v="7"/>
    <x v="7"/>
    <x v="5"/>
    <s v="Planeación, seguimiento y evaluación de políticas públicas"/>
    <x v="5"/>
    <x v="87"/>
    <x v="0"/>
    <x v="112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880580407"/>
    <n v="0"/>
    <n v="-21893820"/>
    <n v="858686587"/>
    <n v="851318646"/>
    <m/>
    <x v="1"/>
    <n v="851318646"/>
  </r>
  <r>
    <x v="1"/>
    <x v="7"/>
    <x v="7"/>
    <x v="5"/>
    <s v="Planeación, seguimiento y evaluación de políticas públicas"/>
    <x v="5"/>
    <x v="87"/>
    <x v="4"/>
    <x v="131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541261"/>
    <n v="0"/>
    <n v="0"/>
    <n v="541261"/>
    <n v="614406"/>
    <m/>
    <x v="1"/>
    <n v="614406"/>
  </r>
  <r>
    <x v="1"/>
    <x v="7"/>
    <x v="7"/>
    <x v="5"/>
    <s v="Planeación, seguimiento y evaluación de políticas públicas"/>
    <x v="5"/>
    <x v="87"/>
    <x v="4"/>
    <x v="131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135903142"/>
    <n v="0"/>
    <n v="-3882229"/>
    <n v="132020913"/>
    <n v="124109467"/>
    <m/>
    <x v="1"/>
    <n v="124109467"/>
  </r>
  <r>
    <x v="1"/>
    <x v="7"/>
    <x v="7"/>
    <x v="5"/>
    <s v="Planeación, seguimiento y evaluación de políticas públicas"/>
    <x v="5"/>
    <x v="87"/>
    <x v="7"/>
    <x v="113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3919278"/>
    <n v="0"/>
    <n v="0"/>
    <n v="3919278"/>
    <n v="4708554"/>
    <m/>
    <x v="1"/>
    <n v="4708554"/>
  </r>
  <r>
    <x v="1"/>
    <x v="7"/>
    <x v="7"/>
    <x v="5"/>
    <s v="Planeación, seguimiento y evaluación de políticas públicas"/>
    <x v="5"/>
    <x v="87"/>
    <x v="7"/>
    <x v="113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413255573"/>
    <n v="0"/>
    <n v="-9446976"/>
    <n v="403808597"/>
    <n v="429962056"/>
    <m/>
    <x v="1"/>
    <n v="429962056"/>
  </r>
  <r>
    <x v="1"/>
    <x v="7"/>
    <x v="7"/>
    <x v="5"/>
    <s v="Planeación, seguimiento y evaluación de políticas públicas"/>
    <x v="5"/>
    <x v="87"/>
    <x v="53"/>
    <x v="132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469685"/>
    <n v="0"/>
    <n v="0"/>
    <n v="469685"/>
    <n v="547043"/>
    <m/>
    <x v="1"/>
    <n v="547043"/>
  </r>
  <r>
    <x v="1"/>
    <x v="7"/>
    <x v="7"/>
    <x v="5"/>
    <s v="Planeación, seguimiento y evaluación de políticas públicas"/>
    <x v="5"/>
    <x v="87"/>
    <x v="53"/>
    <x v="132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159404000"/>
    <n v="0"/>
    <n v="-4718894"/>
    <n v="154685106"/>
    <n v="153522342"/>
    <m/>
    <x v="1"/>
    <n v="153522342"/>
  </r>
  <r>
    <x v="1"/>
    <x v="7"/>
    <x v="7"/>
    <x v="5"/>
    <s v="Planeación, seguimiento y evaluación de políticas públicas"/>
    <x v="5"/>
    <x v="87"/>
    <x v="54"/>
    <x v="133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337866"/>
    <n v="0"/>
    <n v="0"/>
    <n v="337866"/>
    <n v="369539"/>
    <m/>
    <x v="1"/>
    <n v="369539"/>
  </r>
  <r>
    <x v="1"/>
    <x v="7"/>
    <x v="7"/>
    <x v="5"/>
    <s v="Planeación, seguimiento y evaluación de políticas públicas"/>
    <x v="5"/>
    <x v="87"/>
    <x v="54"/>
    <x v="133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9218552"/>
    <n v="0"/>
    <n v="-120912"/>
    <n v="9097640"/>
    <n v="8969639"/>
    <m/>
    <x v="1"/>
    <n v="8969639"/>
  </r>
  <r>
    <x v="1"/>
    <x v="7"/>
    <x v="7"/>
    <x v="5"/>
    <s v="Planeación, seguimiento y evaluación de políticas públicas"/>
    <x v="5"/>
    <x v="87"/>
    <x v="55"/>
    <x v="134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244214"/>
    <n v="0"/>
    <n v="0"/>
    <n v="244214"/>
    <n v="258327"/>
    <m/>
    <x v="1"/>
    <n v="258327"/>
  </r>
  <r>
    <x v="1"/>
    <x v="7"/>
    <x v="7"/>
    <x v="5"/>
    <s v="Planeación, seguimiento y evaluación de políticas públicas"/>
    <x v="5"/>
    <x v="87"/>
    <x v="55"/>
    <x v="134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12931090"/>
    <n v="0"/>
    <n v="-177185"/>
    <n v="12753905"/>
    <n v="11443282"/>
    <m/>
    <x v="1"/>
    <n v="11443282"/>
  </r>
  <r>
    <x v="1"/>
    <x v="7"/>
    <x v="7"/>
    <x v="5"/>
    <s v="Planeación, seguimiento y evaluación de políticas públicas"/>
    <x v="5"/>
    <x v="87"/>
    <x v="38"/>
    <x v="114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8908747"/>
    <n v="0"/>
    <n v="0"/>
    <n v="8908747"/>
    <n v="10637478"/>
    <m/>
    <x v="1"/>
    <n v="10637478"/>
  </r>
  <r>
    <x v="1"/>
    <x v="7"/>
    <x v="7"/>
    <x v="5"/>
    <s v="Planeación, seguimiento y evaluación de políticas públicas"/>
    <x v="5"/>
    <x v="87"/>
    <x v="38"/>
    <x v="114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1052803791"/>
    <n v="0"/>
    <n v="-25328678"/>
    <n v="1027475113"/>
    <n v="971526167"/>
    <m/>
    <x v="1"/>
    <n v="971526167"/>
  </r>
  <r>
    <x v="1"/>
    <x v="7"/>
    <x v="7"/>
    <x v="5"/>
    <s v="Planeación, seguimiento y evaluación de políticas públicas"/>
    <x v="5"/>
    <x v="87"/>
    <x v="56"/>
    <x v="135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381781"/>
    <n v="0"/>
    <n v="0"/>
    <n v="381781"/>
    <n v="441946"/>
    <m/>
    <x v="1"/>
    <n v="441946"/>
  </r>
  <r>
    <x v="1"/>
    <x v="7"/>
    <x v="7"/>
    <x v="5"/>
    <s v="Planeación, seguimiento y evaluación de políticas públicas"/>
    <x v="5"/>
    <x v="87"/>
    <x v="56"/>
    <x v="135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403488759"/>
    <n v="0"/>
    <n v="-53752210"/>
    <n v="349736549"/>
    <n v="398656301"/>
    <m/>
    <x v="1"/>
    <n v="398656301"/>
  </r>
  <r>
    <x v="1"/>
    <x v="7"/>
    <x v="7"/>
    <x v="5"/>
    <s v="Planeación, seguimiento y evaluación de políticas públicas"/>
    <x v="5"/>
    <x v="87"/>
    <x v="73"/>
    <x v="115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381903"/>
    <n v="0"/>
    <n v="0"/>
    <n v="381903"/>
    <n v="458512"/>
    <m/>
    <x v="1"/>
    <n v="458512"/>
  </r>
  <r>
    <x v="1"/>
    <x v="7"/>
    <x v="7"/>
    <x v="5"/>
    <s v="Planeación, seguimiento y evaluación de políticas públicas"/>
    <x v="5"/>
    <x v="87"/>
    <x v="73"/>
    <x v="115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126681380"/>
    <n v="0"/>
    <n v="-3740056"/>
    <n v="122941324"/>
    <n v="106626233"/>
    <m/>
    <x v="1"/>
    <n v="106626233"/>
  </r>
  <r>
    <x v="1"/>
    <x v="7"/>
    <x v="7"/>
    <x v="5"/>
    <s v="Planeación, seguimiento y evaluación de políticas públicas"/>
    <x v="5"/>
    <x v="87"/>
    <x v="84"/>
    <x v="136"/>
    <n v="1"/>
    <s v="Gobierno"/>
    <n v="2"/>
    <s v="Relaciones Exteriores"/>
    <n v="1"/>
    <x v="13"/>
    <x v="0"/>
    <x v="35"/>
    <n v="1"/>
    <s v="Gasto corriente"/>
    <x v="0"/>
    <x v="1"/>
    <x v="0"/>
    <x v="0"/>
    <x v="0"/>
    <x v="0"/>
    <x v="0"/>
    <m/>
    <x v="0"/>
    <x v="0"/>
    <m/>
    <n v="335468"/>
    <n v="0"/>
    <n v="0"/>
    <n v="335468"/>
    <n v="386431"/>
    <m/>
    <x v="1"/>
    <n v="386431"/>
  </r>
  <r>
    <x v="1"/>
    <x v="7"/>
    <x v="7"/>
    <x v="5"/>
    <s v="Planeación, seguimiento y evaluación de políticas públicas"/>
    <x v="5"/>
    <x v="87"/>
    <x v="84"/>
    <x v="136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104068456"/>
    <n v="0"/>
    <n v="-3061360"/>
    <n v="101007096"/>
    <n v="89760837"/>
    <m/>
    <x v="1"/>
    <n v="89760837"/>
  </r>
  <r>
    <x v="1"/>
    <x v="7"/>
    <x v="7"/>
    <x v="5"/>
    <s v="Planeación, seguimiento y evaluación de políticas públicas"/>
    <x v="6"/>
    <x v="88"/>
    <x v="44"/>
    <x v="117"/>
    <n v="1"/>
    <s v="Gobierno"/>
    <n v="2"/>
    <s v="Relaciones Exteriores"/>
    <n v="1"/>
    <x v="13"/>
    <x v="4"/>
    <x v="37"/>
    <n v="1"/>
    <s v="Gasto corriente"/>
    <x v="0"/>
    <x v="1"/>
    <x v="0"/>
    <x v="0"/>
    <x v="0"/>
    <x v="0"/>
    <x v="0"/>
    <m/>
    <x v="0"/>
    <x v="0"/>
    <m/>
    <n v="5637600"/>
    <n v="0"/>
    <n v="0"/>
    <n v="5637600"/>
    <n v="6706072"/>
    <m/>
    <x v="1"/>
    <n v="6706072"/>
  </r>
  <r>
    <x v="1"/>
    <x v="7"/>
    <x v="7"/>
    <x v="5"/>
    <s v="Planeación, seguimiento y evaluación de políticas públicas"/>
    <x v="6"/>
    <x v="88"/>
    <x v="44"/>
    <x v="117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0"/>
    <m/>
    <n v="299221947"/>
    <n v="0"/>
    <n v="-3408566"/>
    <n v="295813381"/>
    <n v="325489961"/>
    <m/>
    <x v="1"/>
    <n v="325489961"/>
  </r>
  <r>
    <x v="1"/>
    <x v="7"/>
    <x v="7"/>
    <x v="5"/>
    <s v="Planeación, seguimiento y evaluación de políticas públicas"/>
    <x v="6"/>
    <x v="88"/>
    <x v="45"/>
    <x v="137"/>
    <n v="1"/>
    <s v="Gobierno"/>
    <n v="2"/>
    <s v="Relaciones Exteriores"/>
    <n v="1"/>
    <x v="13"/>
    <x v="4"/>
    <x v="37"/>
    <n v="1"/>
    <s v="Gasto corriente"/>
    <x v="0"/>
    <x v="1"/>
    <x v="0"/>
    <x v="0"/>
    <x v="0"/>
    <x v="0"/>
    <x v="0"/>
    <m/>
    <x v="0"/>
    <x v="1"/>
    <m/>
    <n v="342451"/>
    <n v="0"/>
    <n v="0"/>
    <n v="342451"/>
    <n v="411302"/>
    <m/>
    <x v="1"/>
    <n v="411302"/>
  </r>
  <r>
    <x v="1"/>
    <x v="7"/>
    <x v="7"/>
    <x v="5"/>
    <s v="Planeación, seguimiento y evaluación de políticas públicas"/>
    <x v="6"/>
    <x v="88"/>
    <x v="45"/>
    <x v="137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1"/>
    <m/>
    <n v="212572183"/>
    <n v="0"/>
    <n v="-6350026"/>
    <n v="206222157"/>
    <n v="12856208"/>
    <m/>
    <x v="1"/>
    <n v="12856208"/>
  </r>
  <r>
    <x v="1"/>
    <x v="7"/>
    <x v="7"/>
    <x v="5"/>
    <s v="Planeación, seguimiento y evaluación de políticas públicas"/>
    <x v="6"/>
    <x v="88"/>
    <x v="46"/>
    <x v="138"/>
    <n v="1"/>
    <s v="Gobierno"/>
    <n v="2"/>
    <s v="Relaciones Exteriores"/>
    <n v="1"/>
    <x v="13"/>
    <x v="4"/>
    <x v="37"/>
    <n v="1"/>
    <s v="Gasto corriente"/>
    <x v="0"/>
    <x v="1"/>
    <x v="0"/>
    <x v="0"/>
    <x v="0"/>
    <x v="0"/>
    <x v="0"/>
    <m/>
    <x v="0"/>
    <x v="0"/>
    <m/>
    <n v="506992"/>
    <n v="0"/>
    <n v="0"/>
    <n v="506992"/>
    <n v="608200"/>
    <m/>
    <x v="1"/>
    <n v="608200"/>
  </r>
  <r>
    <x v="1"/>
    <x v="7"/>
    <x v="7"/>
    <x v="5"/>
    <s v="Planeación, seguimiento y evaluación de políticas públicas"/>
    <x v="6"/>
    <x v="88"/>
    <x v="46"/>
    <x v="138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0"/>
    <m/>
    <n v="48078582"/>
    <n v="0"/>
    <n v="-1209685"/>
    <n v="46868897"/>
    <n v="45123670"/>
    <m/>
    <x v="1"/>
    <n v="45123670"/>
  </r>
  <r>
    <x v="1"/>
    <x v="7"/>
    <x v="7"/>
    <x v="5"/>
    <s v="Planeación, seguimiento y evaluación de políticas públicas"/>
    <x v="7"/>
    <x v="89"/>
    <x v="85"/>
    <x v="139"/>
    <n v="1"/>
    <s v="Gobierno"/>
    <n v="2"/>
    <s v="Relaciones Exteriores"/>
    <n v="1"/>
    <x v="13"/>
    <x v="4"/>
    <x v="37"/>
    <n v="1"/>
    <s v="Gasto corriente"/>
    <x v="0"/>
    <x v="1"/>
    <x v="0"/>
    <x v="0"/>
    <x v="0"/>
    <x v="0"/>
    <x v="0"/>
    <m/>
    <x v="0"/>
    <x v="0"/>
    <m/>
    <n v="547471"/>
    <n v="0"/>
    <n v="0"/>
    <n v="547471"/>
    <n v="619148"/>
    <m/>
    <x v="1"/>
    <n v="619148"/>
  </r>
  <r>
    <x v="1"/>
    <x v="7"/>
    <x v="7"/>
    <x v="5"/>
    <s v="Planeación, seguimiento y evaluación de políticas públicas"/>
    <x v="7"/>
    <x v="89"/>
    <x v="85"/>
    <x v="139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0"/>
    <m/>
    <n v="12583476"/>
    <n v="0"/>
    <n v="-139009"/>
    <n v="12444467"/>
    <n v="8879554"/>
    <m/>
    <x v="1"/>
    <n v="8879554"/>
  </r>
  <r>
    <x v="1"/>
    <x v="7"/>
    <x v="7"/>
    <x v="5"/>
    <s v="Planeación, seguimiento y evaluación de políticas públicas"/>
    <x v="8"/>
    <x v="90"/>
    <x v="86"/>
    <x v="140"/>
    <n v="1"/>
    <s v="Gobierno"/>
    <n v="2"/>
    <s v="Relaciones Exteriores"/>
    <n v="1"/>
    <x v="13"/>
    <x v="15"/>
    <x v="38"/>
    <n v="1"/>
    <s v="Gasto corriente"/>
    <x v="0"/>
    <x v="1"/>
    <x v="0"/>
    <x v="0"/>
    <x v="0"/>
    <x v="0"/>
    <x v="0"/>
    <m/>
    <x v="0"/>
    <x v="0"/>
    <m/>
    <n v="863920"/>
    <n v="0"/>
    <n v="0"/>
    <n v="863920"/>
    <n v="931717"/>
    <m/>
    <x v="1"/>
    <n v="931717"/>
  </r>
  <r>
    <x v="1"/>
    <x v="7"/>
    <x v="7"/>
    <x v="5"/>
    <s v="Planeación, seguimiento y evaluación de políticas públicas"/>
    <x v="8"/>
    <x v="90"/>
    <x v="86"/>
    <x v="140"/>
    <n v="1"/>
    <s v="Gobierno"/>
    <n v="2"/>
    <s v="Relaciones Exteriores"/>
    <n v="1"/>
    <x v="13"/>
    <x v="15"/>
    <x v="38"/>
    <n v="1"/>
    <s v="Gasto corriente"/>
    <x v="0"/>
    <x v="0"/>
    <x v="0"/>
    <x v="0"/>
    <x v="0"/>
    <x v="0"/>
    <x v="0"/>
    <m/>
    <x v="0"/>
    <x v="0"/>
    <m/>
    <n v="62251491"/>
    <n v="0"/>
    <n v="-194785"/>
    <n v="62056706"/>
    <n v="59454481"/>
    <m/>
    <x v="1"/>
    <n v="59454481"/>
  </r>
  <r>
    <x v="1"/>
    <x v="7"/>
    <x v="7"/>
    <x v="5"/>
    <s v="Planeación, seguimiento y evaluación de políticas públicas"/>
    <x v="9"/>
    <x v="91"/>
    <x v="47"/>
    <x v="129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1"/>
    <m/>
    <x v="0"/>
    <x v="0"/>
    <m/>
    <m/>
    <m/>
    <m/>
    <m/>
    <n v="1350000"/>
    <m/>
    <x v="1"/>
    <n v="1350000"/>
  </r>
  <r>
    <x v="1"/>
    <x v="7"/>
    <x v="7"/>
    <x v="1"/>
    <s v="Específicos"/>
    <x v="2"/>
    <x v="92"/>
    <x v="18"/>
    <x v="108"/>
    <n v="1"/>
    <s v="Gobierno"/>
    <n v="2"/>
    <s v="Relaciones Exteriores"/>
    <n v="1"/>
    <x v="13"/>
    <x v="5"/>
    <x v="32"/>
    <n v="1"/>
    <s v="Gasto corriente"/>
    <x v="0"/>
    <x v="0"/>
    <x v="0"/>
    <x v="0"/>
    <x v="0"/>
    <x v="0"/>
    <x v="0"/>
    <m/>
    <x v="0"/>
    <x v="0"/>
    <m/>
    <m/>
    <m/>
    <m/>
    <m/>
    <n v="82500"/>
    <m/>
    <x v="1"/>
    <n v="82500"/>
  </r>
  <r>
    <x v="1"/>
    <x v="7"/>
    <x v="7"/>
    <x v="1"/>
    <s v="Específicos"/>
    <x v="2"/>
    <x v="92"/>
    <x v="55"/>
    <x v="134"/>
    <n v="1"/>
    <s v="Gobierno"/>
    <n v="2"/>
    <s v="Relaciones Exteriores"/>
    <n v="1"/>
    <x v="13"/>
    <x v="0"/>
    <x v="35"/>
    <n v="1"/>
    <s v="Gasto corriente"/>
    <x v="0"/>
    <x v="0"/>
    <x v="0"/>
    <x v="0"/>
    <x v="0"/>
    <x v="0"/>
    <x v="0"/>
    <m/>
    <x v="0"/>
    <x v="0"/>
    <m/>
    <n v="3375000"/>
    <n v="0"/>
    <n v="0"/>
    <n v="3375000"/>
    <n v="3375000"/>
    <m/>
    <x v="1"/>
    <n v="3375000"/>
  </r>
  <r>
    <x v="1"/>
    <x v="7"/>
    <x v="7"/>
    <x v="1"/>
    <s v="Específicos"/>
    <x v="2"/>
    <x v="92"/>
    <x v="85"/>
    <x v="139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0"/>
    <m/>
    <m/>
    <n v="0"/>
    <n v="0"/>
    <m/>
    <n v="168569737"/>
    <m/>
    <x v="1"/>
    <n v="168569737"/>
  </r>
  <r>
    <x v="1"/>
    <x v="7"/>
    <x v="7"/>
    <x v="1"/>
    <s v="Específicos"/>
    <x v="2"/>
    <x v="92"/>
    <x v="82"/>
    <x v="125"/>
    <n v="1"/>
    <s v="Gobierno"/>
    <n v="2"/>
    <s v="Relaciones Exteriores"/>
    <n v="1"/>
    <x v="13"/>
    <x v="11"/>
    <x v="36"/>
    <n v="1"/>
    <s v="Gasto corriente"/>
    <x v="0"/>
    <x v="0"/>
    <x v="0"/>
    <x v="0"/>
    <x v="0"/>
    <x v="0"/>
    <x v="0"/>
    <m/>
    <x v="0"/>
    <x v="0"/>
    <m/>
    <m/>
    <m/>
    <m/>
    <m/>
    <n v="33000000"/>
    <m/>
    <x v="1"/>
    <n v="33000000"/>
  </r>
  <r>
    <x v="1"/>
    <x v="7"/>
    <x v="7"/>
    <x v="1"/>
    <s v="Específicos"/>
    <x v="2"/>
    <x v="92"/>
    <x v="86"/>
    <x v="140"/>
    <n v="1"/>
    <s v="Gobierno"/>
    <n v="2"/>
    <s v="Relaciones Exteriores"/>
    <n v="1"/>
    <x v="13"/>
    <x v="15"/>
    <x v="38"/>
    <n v="1"/>
    <s v="Gasto corriente"/>
    <x v="0"/>
    <x v="0"/>
    <x v="0"/>
    <x v="0"/>
    <x v="0"/>
    <x v="0"/>
    <x v="0"/>
    <m/>
    <x v="0"/>
    <x v="0"/>
    <m/>
    <m/>
    <m/>
    <m/>
    <m/>
    <n v="7800000"/>
    <m/>
    <x v="1"/>
    <n v="7800000"/>
  </r>
  <r>
    <x v="1"/>
    <x v="7"/>
    <x v="7"/>
    <x v="1"/>
    <s v="Específicos"/>
    <x v="2"/>
    <x v="92"/>
    <x v="45"/>
    <x v="137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0"/>
    <m/>
    <m/>
    <n v="0"/>
    <n v="0"/>
    <m/>
    <n v="1080000"/>
    <m/>
    <x v="1"/>
    <n v="1080000"/>
  </r>
  <r>
    <x v="1"/>
    <x v="7"/>
    <x v="7"/>
    <x v="1"/>
    <s v="Específicos"/>
    <x v="2"/>
    <x v="92"/>
    <x v="46"/>
    <x v="138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0"/>
    <m/>
    <n v="810000000"/>
    <n v="0"/>
    <n v="0"/>
    <n v="810000000"/>
    <n v="787548760"/>
    <m/>
    <x v="1"/>
    <n v="787548760"/>
  </r>
  <r>
    <x v="1"/>
    <x v="7"/>
    <x v="7"/>
    <x v="1"/>
    <s v="Específicos"/>
    <x v="2"/>
    <x v="92"/>
    <x v="47"/>
    <x v="129"/>
    <n v="1"/>
    <s v="Gobierno"/>
    <n v="2"/>
    <s v="Relaciones Exteriores"/>
    <n v="1"/>
    <x v="13"/>
    <x v="4"/>
    <x v="37"/>
    <n v="1"/>
    <s v="Gasto corriente"/>
    <x v="0"/>
    <x v="0"/>
    <x v="0"/>
    <x v="0"/>
    <x v="0"/>
    <x v="0"/>
    <x v="0"/>
    <m/>
    <x v="0"/>
    <x v="0"/>
    <m/>
    <m/>
    <m/>
    <m/>
    <m/>
    <n v="7830000"/>
    <m/>
    <x v="1"/>
    <n v="7830000"/>
  </r>
  <r>
    <x v="1"/>
    <x v="8"/>
    <x v="8"/>
    <x v="8"/>
    <s v="Provisión de Bienes Públicos"/>
    <x v="2"/>
    <x v="93"/>
    <x v="87"/>
    <x v="141"/>
    <n v="1"/>
    <s v="Gobierno"/>
    <n v="9"/>
    <s v="Otros Bienes y Servicios Públicos"/>
    <n v="3"/>
    <x v="14"/>
    <x v="16"/>
    <x v="39"/>
    <n v="1"/>
    <s v="Gasto corriente"/>
    <x v="0"/>
    <x v="1"/>
    <x v="0"/>
    <x v="0"/>
    <x v="0"/>
    <x v="0"/>
    <x v="0"/>
    <m/>
    <x v="0"/>
    <x v="0"/>
    <m/>
    <n v="2063411"/>
    <n v="0"/>
    <n v="0"/>
    <n v="2063411"/>
    <n v="1981046"/>
    <m/>
    <x v="1"/>
    <n v="1981046"/>
  </r>
  <r>
    <x v="1"/>
    <x v="8"/>
    <x v="8"/>
    <x v="8"/>
    <s v="Provisión de Bienes Públicos"/>
    <x v="2"/>
    <x v="93"/>
    <x v="87"/>
    <x v="141"/>
    <n v="1"/>
    <s v="Gobierno"/>
    <n v="9"/>
    <s v="Otros Bienes y Servicios Públicos"/>
    <n v="3"/>
    <x v="14"/>
    <x v="16"/>
    <x v="39"/>
    <n v="1"/>
    <s v="Gasto corriente"/>
    <x v="0"/>
    <x v="0"/>
    <x v="0"/>
    <x v="0"/>
    <x v="0"/>
    <x v="0"/>
    <x v="0"/>
    <m/>
    <x v="0"/>
    <x v="0"/>
    <m/>
    <n v="205408606"/>
    <n v="0"/>
    <n v="-3556244"/>
    <n v="201852362"/>
    <n v="295517870"/>
    <m/>
    <x v="1"/>
    <n v="295517870"/>
  </r>
  <r>
    <x v="1"/>
    <x v="8"/>
    <x v="8"/>
    <x v="4"/>
    <s v="Prestación de Servicios Públicos"/>
    <x v="4"/>
    <x v="94"/>
    <x v="74"/>
    <x v="142"/>
    <n v="1"/>
    <s v="Gobierno"/>
    <n v="3"/>
    <s v="Hacienda"/>
    <n v="4"/>
    <x v="15"/>
    <x v="11"/>
    <x v="40"/>
    <n v="1"/>
    <s v="Gasto corriente"/>
    <x v="0"/>
    <x v="1"/>
    <x v="0"/>
    <x v="0"/>
    <x v="0"/>
    <x v="0"/>
    <x v="0"/>
    <m/>
    <x v="0"/>
    <x v="0"/>
    <m/>
    <n v="1412684"/>
    <n v="0"/>
    <n v="0"/>
    <n v="1412684"/>
    <n v="1349230"/>
    <m/>
    <x v="1"/>
    <n v="1349230"/>
  </r>
  <r>
    <x v="1"/>
    <x v="8"/>
    <x v="8"/>
    <x v="4"/>
    <s v="Prestación de Servicios Públicos"/>
    <x v="4"/>
    <x v="94"/>
    <x v="74"/>
    <x v="142"/>
    <n v="1"/>
    <s v="Gobierno"/>
    <n v="3"/>
    <s v="Hacienda"/>
    <n v="4"/>
    <x v="15"/>
    <x v="11"/>
    <x v="40"/>
    <n v="1"/>
    <s v="Gasto corriente"/>
    <x v="0"/>
    <x v="0"/>
    <x v="0"/>
    <x v="0"/>
    <x v="0"/>
    <x v="0"/>
    <x v="0"/>
    <m/>
    <x v="0"/>
    <x v="0"/>
    <m/>
    <n v="56639426"/>
    <n v="0"/>
    <n v="-1331970"/>
    <n v="55307456"/>
    <n v="60511109"/>
    <m/>
    <x v="1"/>
    <n v="60511109"/>
  </r>
  <r>
    <x v="1"/>
    <x v="8"/>
    <x v="8"/>
    <x v="4"/>
    <s v="Prestación de Servicios Públicos"/>
    <x v="4"/>
    <x v="94"/>
    <x v="74"/>
    <x v="142"/>
    <n v="1"/>
    <s v="Gobierno"/>
    <n v="3"/>
    <s v="Hacienda"/>
    <n v="4"/>
    <x v="15"/>
    <x v="11"/>
    <x v="40"/>
    <n v="2"/>
    <s v="Gasto de capital"/>
    <x v="0"/>
    <x v="0"/>
    <x v="0"/>
    <x v="0"/>
    <x v="0"/>
    <x v="0"/>
    <x v="0"/>
    <m/>
    <x v="0"/>
    <x v="0"/>
    <m/>
    <n v="1248195"/>
    <n v="0"/>
    <n v="0"/>
    <n v="1248195"/>
    <m/>
    <m/>
    <x v="1"/>
    <n v="0"/>
  </r>
  <r>
    <x v="1"/>
    <x v="8"/>
    <x v="8"/>
    <x v="4"/>
    <s v="Prestación de Servicios Públicos"/>
    <x v="4"/>
    <x v="94"/>
    <x v="75"/>
    <x v="143"/>
    <n v="1"/>
    <s v="Gobierno"/>
    <n v="3"/>
    <s v="Hacienda"/>
    <n v="4"/>
    <x v="15"/>
    <x v="11"/>
    <x v="40"/>
    <n v="1"/>
    <s v="Gasto corriente"/>
    <x v="0"/>
    <x v="1"/>
    <x v="0"/>
    <x v="0"/>
    <x v="0"/>
    <x v="0"/>
    <x v="0"/>
    <m/>
    <x v="0"/>
    <x v="0"/>
    <m/>
    <n v="1964772"/>
    <n v="0"/>
    <n v="0"/>
    <n v="1964772"/>
    <n v="1752034"/>
    <m/>
    <x v="1"/>
    <n v="1752034"/>
  </r>
  <r>
    <x v="1"/>
    <x v="8"/>
    <x v="8"/>
    <x v="4"/>
    <s v="Prestación de Servicios Públicos"/>
    <x v="4"/>
    <x v="94"/>
    <x v="75"/>
    <x v="143"/>
    <n v="1"/>
    <s v="Gobierno"/>
    <n v="3"/>
    <s v="Hacienda"/>
    <n v="4"/>
    <x v="15"/>
    <x v="11"/>
    <x v="40"/>
    <n v="1"/>
    <s v="Gasto corriente"/>
    <x v="0"/>
    <x v="0"/>
    <x v="0"/>
    <x v="0"/>
    <x v="0"/>
    <x v="0"/>
    <x v="0"/>
    <m/>
    <x v="0"/>
    <x v="0"/>
    <m/>
    <n v="218074049"/>
    <n v="0"/>
    <n v="-41603027"/>
    <n v="176471022"/>
    <n v="138599154"/>
    <m/>
    <x v="1"/>
    <n v="138599154"/>
  </r>
  <r>
    <x v="1"/>
    <x v="8"/>
    <x v="8"/>
    <x v="4"/>
    <s v="Prestación de Servicios Públicos"/>
    <x v="4"/>
    <x v="94"/>
    <x v="72"/>
    <x v="144"/>
    <n v="1"/>
    <s v="Gobierno"/>
    <n v="3"/>
    <s v="Hacienda"/>
    <n v="4"/>
    <x v="15"/>
    <x v="11"/>
    <x v="40"/>
    <n v="1"/>
    <s v="Gasto corriente"/>
    <x v="0"/>
    <x v="1"/>
    <x v="0"/>
    <x v="0"/>
    <x v="0"/>
    <x v="0"/>
    <x v="0"/>
    <m/>
    <x v="0"/>
    <x v="0"/>
    <m/>
    <n v="1460010"/>
    <n v="0"/>
    <n v="0"/>
    <n v="1460010"/>
    <n v="1336166"/>
    <m/>
    <x v="1"/>
    <n v="1336166"/>
  </r>
  <r>
    <x v="1"/>
    <x v="8"/>
    <x v="8"/>
    <x v="4"/>
    <s v="Prestación de Servicios Públicos"/>
    <x v="4"/>
    <x v="94"/>
    <x v="72"/>
    <x v="144"/>
    <n v="1"/>
    <s v="Gobierno"/>
    <n v="3"/>
    <s v="Hacienda"/>
    <n v="4"/>
    <x v="15"/>
    <x v="11"/>
    <x v="40"/>
    <n v="1"/>
    <s v="Gasto corriente"/>
    <x v="0"/>
    <x v="0"/>
    <x v="0"/>
    <x v="0"/>
    <x v="0"/>
    <x v="0"/>
    <x v="0"/>
    <m/>
    <x v="0"/>
    <x v="0"/>
    <m/>
    <n v="49397170"/>
    <n v="0"/>
    <n v="-4139744"/>
    <n v="45257426"/>
    <n v="47937695"/>
    <m/>
    <x v="1"/>
    <n v="47937695"/>
  </r>
  <r>
    <x v="1"/>
    <x v="8"/>
    <x v="8"/>
    <x v="4"/>
    <s v="Prestación de Servicios Públicos"/>
    <x v="4"/>
    <x v="94"/>
    <x v="76"/>
    <x v="145"/>
    <n v="1"/>
    <s v="Gobierno"/>
    <n v="3"/>
    <s v="Hacienda"/>
    <n v="4"/>
    <x v="15"/>
    <x v="11"/>
    <x v="40"/>
    <n v="1"/>
    <s v="Gasto corriente"/>
    <x v="0"/>
    <x v="1"/>
    <x v="0"/>
    <x v="0"/>
    <x v="0"/>
    <x v="0"/>
    <x v="0"/>
    <m/>
    <x v="0"/>
    <x v="0"/>
    <m/>
    <n v="2805236"/>
    <n v="0"/>
    <n v="0"/>
    <n v="2805236"/>
    <n v="2638107"/>
    <m/>
    <x v="1"/>
    <n v="2638107"/>
  </r>
  <r>
    <x v="1"/>
    <x v="8"/>
    <x v="8"/>
    <x v="4"/>
    <s v="Prestación de Servicios Públicos"/>
    <x v="4"/>
    <x v="94"/>
    <x v="76"/>
    <x v="145"/>
    <n v="1"/>
    <s v="Gobierno"/>
    <n v="3"/>
    <s v="Hacienda"/>
    <n v="4"/>
    <x v="15"/>
    <x v="11"/>
    <x v="40"/>
    <n v="1"/>
    <s v="Gasto corriente"/>
    <x v="0"/>
    <x v="0"/>
    <x v="0"/>
    <x v="0"/>
    <x v="0"/>
    <x v="0"/>
    <x v="0"/>
    <m/>
    <x v="0"/>
    <x v="0"/>
    <m/>
    <n v="78023544"/>
    <n v="0"/>
    <n v="-12780"/>
    <n v="78010764"/>
    <n v="80416411"/>
    <m/>
    <x v="1"/>
    <n v="80416411"/>
  </r>
  <r>
    <x v="1"/>
    <x v="8"/>
    <x v="8"/>
    <x v="4"/>
    <s v="Prestación de Servicios Públicos"/>
    <x v="4"/>
    <x v="94"/>
    <x v="77"/>
    <x v="146"/>
    <n v="1"/>
    <s v="Gobierno"/>
    <n v="3"/>
    <s v="Hacienda"/>
    <n v="4"/>
    <x v="15"/>
    <x v="11"/>
    <x v="40"/>
    <n v="1"/>
    <s v="Gasto corriente"/>
    <x v="0"/>
    <x v="1"/>
    <x v="0"/>
    <x v="0"/>
    <x v="0"/>
    <x v="0"/>
    <x v="0"/>
    <m/>
    <x v="0"/>
    <x v="0"/>
    <m/>
    <n v="1029903"/>
    <n v="0"/>
    <n v="0"/>
    <n v="1029903"/>
    <n v="932357"/>
    <m/>
    <x v="1"/>
    <n v="932357"/>
  </r>
  <r>
    <x v="1"/>
    <x v="8"/>
    <x v="8"/>
    <x v="4"/>
    <s v="Prestación de Servicios Públicos"/>
    <x v="4"/>
    <x v="94"/>
    <x v="77"/>
    <x v="146"/>
    <n v="1"/>
    <s v="Gobierno"/>
    <n v="3"/>
    <s v="Hacienda"/>
    <n v="4"/>
    <x v="15"/>
    <x v="11"/>
    <x v="40"/>
    <n v="1"/>
    <s v="Gasto corriente"/>
    <x v="0"/>
    <x v="0"/>
    <x v="0"/>
    <x v="0"/>
    <x v="0"/>
    <x v="0"/>
    <x v="0"/>
    <m/>
    <x v="0"/>
    <x v="0"/>
    <m/>
    <n v="37889045"/>
    <n v="0"/>
    <n v="-1569374"/>
    <n v="36319671"/>
    <n v="34100604"/>
    <m/>
    <x v="1"/>
    <n v="34100604"/>
  </r>
  <r>
    <x v="1"/>
    <x v="8"/>
    <x v="8"/>
    <x v="4"/>
    <s v="Prestación de Servicios Públicos"/>
    <x v="6"/>
    <x v="95"/>
    <x v="88"/>
    <x v="147"/>
    <n v="1"/>
    <s v="Gobierno"/>
    <n v="4"/>
    <s v="Gobernación"/>
    <n v="3"/>
    <x v="9"/>
    <x v="5"/>
    <x v="41"/>
    <n v="1"/>
    <s v="Gasto corriente"/>
    <x v="0"/>
    <x v="1"/>
    <x v="0"/>
    <x v="0"/>
    <x v="0"/>
    <x v="0"/>
    <x v="0"/>
    <m/>
    <x v="0"/>
    <x v="0"/>
    <m/>
    <n v="1911732"/>
    <n v="0"/>
    <n v="0"/>
    <n v="1911732"/>
    <m/>
    <m/>
    <x v="1"/>
    <n v="0"/>
  </r>
  <r>
    <x v="1"/>
    <x v="8"/>
    <x v="8"/>
    <x v="4"/>
    <s v="Prestación de Servicios Públicos"/>
    <x v="6"/>
    <x v="95"/>
    <x v="88"/>
    <x v="147"/>
    <n v="1"/>
    <s v="Gobierno"/>
    <n v="4"/>
    <s v="Gobernación"/>
    <n v="3"/>
    <x v="9"/>
    <x v="5"/>
    <x v="41"/>
    <n v="1"/>
    <s v="Gasto corriente"/>
    <x v="0"/>
    <x v="0"/>
    <x v="0"/>
    <x v="0"/>
    <x v="0"/>
    <x v="0"/>
    <x v="0"/>
    <m/>
    <x v="0"/>
    <x v="0"/>
    <m/>
    <n v="129870126"/>
    <n v="36000000"/>
    <n v="-4953132"/>
    <n v="160916994"/>
    <n v="159352284"/>
    <m/>
    <x v="1"/>
    <n v="159352284"/>
  </r>
  <r>
    <x v="1"/>
    <x v="8"/>
    <x v="8"/>
    <x v="4"/>
    <s v="Prestación de Servicios Públicos"/>
    <x v="6"/>
    <x v="95"/>
    <x v="88"/>
    <x v="147"/>
    <n v="1"/>
    <s v="Gobierno"/>
    <n v="4"/>
    <s v="Gobernación"/>
    <n v="3"/>
    <x v="9"/>
    <x v="5"/>
    <x v="41"/>
    <n v="2"/>
    <s v="Gasto de capital"/>
    <x v="0"/>
    <x v="0"/>
    <x v="0"/>
    <x v="0"/>
    <x v="0"/>
    <x v="0"/>
    <x v="0"/>
    <m/>
    <x v="0"/>
    <x v="0"/>
    <m/>
    <n v="0"/>
    <n v="2000000"/>
    <n v="0"/>
    <n v="2000000"/>
    <n v="3100000"/>
    <m/>
    <x v="1"/>
    <n v="3100000"/>
  </r>
  <r>
    <x v="1"/>
    <x v="8"/>
    <x v="8"/>
    <x v="4"/>
    <s v="Prestación de Servicios Públicos"/>
    <x v="7"/>
    <x v="96"/>
    <x v="89"/>
    <x v="148"/>
    <n v="1"/>
    <s v="Gobierno"/>
    <n v="4"/>
    <s v="Gobernación"/>
    <n v="8"/>
    <x v="16"/>
    <x v="6"/>
    <x v="42"/>
    <n v="1"/>
    <s v="Gasto corriente"/>
    <x v="0"/>
    <x v="1"/>
    <x v="0"/>
    <x v="0"/>
    <x v="0"/>
    <x v="0"/>
    <x v="0"/>
    <m/>
    <x v="0"/>
    <x v="0"/>
    <m/>
    <n v="3771647"/>
    <n v="0"/>
    <n v="0"/>
    <n v="3771647"/>
    <n v="4392569"/>
    <m/>
    <x v="1"/>
    <n v="4392569"/>
  </r>
  <r>
    <x v="1"/>
    <x v="8"/>
    <x v="8"/>
    <x v="4"/>
    <s v="Prestación de Servicios Públicos"/>
    <x v="7"/>
    <x v="96"/>
    <x v="89"/>
    <x v="148"/>
    <n v="1"/>
    <s v="Gobierno"/>
    <n v="4"/>
    <s v="Gobernación"/>
    <n v="8"/>
    <x v="16"/>
    <x v="6"/>
    <x v="42"/>
    <n v="1"/>
    <s v="Gasto corriente"/>
    <x v="0"/>
    <x v="0"/>
    <x v="0"/>
    <x v="0"/>
    <x v="0"/>
    <x v="0"/>
    <x v="0"/>
    <m/>
    <x v="0"/>
    <x v="0"/>
    <m/>
    <n v="231586907"/>
    <n v="0"/>
    <n v="0"/>
    <n v="231586907"/>
    <n v="253003381"/>
    <m/>
    <x v="8"/>
    <n v="433003381"/>
  </r>
  <r>
    <x v="1"/>
    <x v="8"/>
    <x v="8"/>
    <x v="4"/>
    <s v="Prestación de Servicios Públicos"/>
    <x v="7"/>
    <x v="96"/>
    <x v="89"/>
    <x v="148"/>
    <n v="1"/>
    <s v="Gobierno"/>
    <n v="4"/>
    <s v="Gobernación"/>
    <n v="8"/>
    <x v="16"/>
    <x v="6"/>
    <x v="42"/>
    <n v="2"/>
    <s v="Gasto de capital"/>
    <x v="0"/>
    <x v="0"/>
    <x v="0"/>
    <x v="0"/>
    <x v="0"/>
    <x v="0"/>
    <x v="0"/>
    <m/>
    <x v="0"/>
    <x v="0"/>
    <m/>
    <n v="1100000"/>
    <n v="0"/>
    <n v="0"/>
    <n v="1100000"/>
    <n v="5533480"/>
    <m/>
    <x v="1"/>
    <n v="5533480"/>
  </r>
  <r>
    <x v="1"/>
    <x v="8"/>
    <x v="8"/>
    <x v="4"/>
    <s v="Prestación de Servicios Públicos"/>
    <x v="9"/>
    <x v="97"/>
    <x v="90"/>
    <x v="149"/>
    <n v="1"/>
    <s v="Gobierno"/>
    <n v="9"/>
    <s v="Otros Bienes y Servicios Públicos"/>
    <n v="3"/>
    <x v="14"/>
    <x v="10"/>
    <x v="43"/>
    <n v="1"/>
    <s v="Gasto corriente"/>
    <x v="0"/>
    <x v="1"/>
    <x v="0"/>
    <x v="0"/>
    <x v="0"/>
    <x v="0"/>
    <x v="0"/>
    <m/>
    <x v="0"/>
    <x v="0"/>
    <m/>
    <n v="2513093"/>
    <n v="0"/>
    <n v="0"/>
    <n v="2513093"/>
    <n v="2403324"/>
    <m/>
    <x v="1"/>
    <n v="2403324"/>
  </r>
  <r>
    <x v="1"/>
    <x v="8"/>
    <x v="8"/>
    <x v="4"/>
    <s v="Prestación de Servicios Públicos"/>
    <x v="9"/>
    <x v="97"/>
    <x v="90"/>
    <x v="149"/>
    <n v="1"/>
    <s v="Gobierno"/>
    <n v="9"/>
    <s v="Otros Bienes y Servicios Públicos"/>
    <n v="3"/>
    <x v="14"/>
    <x v="10"/>
    <x v="43"/>
    <n v="1"/>
    <s v="Gasto corriente"/>
    <x v="0"/>
    <x v="0"/>
    <x v="0"/>
    <x v="0"/>
    <x v="0"/>
    <x v="0"/>
    <x v="0"/>
    <m/>
    <x v="0"/>
    <x v="0"/>
    <m/>
    <n v="84519634"/>
    <n v="0"/>
    <n v="-5396615"/>
    <n v="79123019"/>
    <n v="176721282"/>
    <m/>
    <x v="1"/>
    <n v="176721282"/>
  </r>
  <r>
    <x v="1"/>
    <x v="8"/>
    <x v="8"/>
    <x v="4"/>
    <s v="Prestación de Servicios Públicos"/>
    <x v="9"/>
    <x v="97"/>
    <x v="90"/>
    <x v="149"/>
    <n v="1"/>
    <s v="Gobierno"/>
    <n v="9"/>
    <s v="Otros Bienes y Servicios Públicos"/>
    <n v="3"/>
    <x v="14"/>
    <x v="10"/>
    <x v="43"/>
    <n v="2"/>
    <s v="Gasto de capital"/>
    <x v="0"/>
    <x v="0"/>
    <x v="0"/>
    <x v="0"/>
    <x v="0"/>
    <x v="0"/>
    <x v="0"/>
    <m/>
    <x v="0"/>
    <x v="0"/>
    <m/>
    <n v="22238000"/>
    <n v="0"/>
    <n v="-846309"/>
    <n v="21391691"/>
    <n v="13800000"/>
    <m/>
    <x v="1"/>
    <n v="13800000"/>
  </r>
  <r>
    <x v="1"/>
    <x v="8"/>
    <x v="8"/>
    <x v="4"/>
    <s v="Prestación de Servicios Públicos"/>
    <x v="12"/>
    <x v="98"/>
    <x v="91"/>
    <x v="150"/>
    <n v="1"/>
    <s v="Gobierno"/>
    <n v="3"/>
    <s v="Hacienda"/>
    <n v="6"/>
    <x v="17"/>
    <x v="15"/>
    <x v="44"/>
    <n v="1"/>
    <s v="Gasto corriente"/>
    <x v="0"/>
    <x v="1"/>
    <x v="0"/>
    <x v="0"/>
    <x v="0"/>
    <x v="0"/>
    <x v="0"/>
    <m/>
    <x v="0"/>
    <x v="0"/>
    <m/>
    <n v="8807640"/>
    <n v="0"/>
    <n v="0"/>
    <n v="8807640"/>
    <n v="10270972"/>
    <m/>
    <x v="1"/>
    <n v="10270972"/>
  </r>
  <r>
    <x v="1"/>
    <x v="8"/>
    <x v="8"/>
    <x v="4"/>
    <s v="Prestación de Servicios Públicos"/>
    <x v="12"/>
    <x v="98"/>
    <x v="91"/>
    <x v="150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539616798"/>
    <n v="0"/>
    <n v="-30318224"/>
    <n v="509298574"/>
    <n v="508790563"/>
    <m/>
    <x v="1"/>
    <n v="508790563"/>
  </r>
  <r>
    <x v="1"/>
    <x v="8"/>
    <x v="8"/>
    <x v="4"/>
    <s v="Prestación de Servicios Públicos"/>
    <x v="12"/>
    <x v="98"/>
    <x v="91"/>
    <x v="150"/>
    <n v="1"/>
    <s v="Gobierno"/>
    <n v="3"/>
    <s v="Hacienda"/>
    <n v="6"/>
    <x v="17"/>
    <x v="15"/>
    <x v="44"/>
    <n v="2"/>
    <s v="Gasto de capital"/>
    <x v="0"/>
    <x v="0"/>
    <x v="0"/>
    <x v="0"/>
    <x v="0"/>
    <x v="0"/>
    <x v="0"/>
    <m/>
    <x v="0"/>
    <x v="0"/>
    <m/>
    <n v="5000000"/>
    <n v="0"/>
    <n v="-339184"/>
    <n v="4660816"/>
    <m/>
    <m/>
    <x v="1"/>
    <n v="0"/>
  </r>
  <r>
    <x v="1"/>
    <x v="8"/>
    <x v="8"/>
    <x v="4"/>
    <s v="Prestación de Servicios Públicos"/>
    <x v="0"/>
    <x v="99"/>
    <x v="92"/>
    <x v="151"/>
    <n v="1"/>
    <s v="Gobierno"/>
    <n v="3"/>
    <s v="Hacienda"/>
    <n v="1"/>
    <x v="18"/>
    <x v="1"/>
    <x v="45"/>
    <n v="1"/>
    <s v="Gasto corriente"/>
    <x v="0"/>
    <x v="1"/>
    <x v="0"/>
    <x v="0"/>
    <x v="0"/>
    <x v="0"/>
    <x v="0"/>
    <m/>
    <x v="0"/>
    <x v="0"/>
    <m/>
    <n v="101326967"/>
    <n v="0"/>
    <n v="0"/>
    <n v="101326967"/>
    <n v="101326967"/>
    <m/>
    <x v="1"/>
    <n v="101326967"/>
  </r>
  <r>
    <x v="1"/>
    <x v="8"/>
    <x v="8"/>
    <x v="4"/>
    <s v="Prestación de Servicios Públicos"/>
    <x v="0"/>
    <x v="99"/>
    <x v="92"/>
    <x v="151"/>
    <n v="1"/>
    <s v="Gobierno"/>
    <n v="3"/>
    <s v="Hacienda"/>
    <n v="1"/>
    <x v="18"/>
    <x v="1"/>
    <x v="45"/>
    <n v="1"/>
    <s v="Gasto corriente"/>
    <x v="0"/>
    <x v="0"/>
    <x v="0"/>
    <x v="0"/>
    <x v="0"/>
    <x v="0"/>
    <x v="0"/>
    <m/>
    <x v="0"/>
    <x v="0"/>
    <m/>
    <n v="2031557553"/>
    <n v="0"/>
    <n v="-40798499"/>
    <n v="1990759054"/>
    <n v="2550069481"/>
    <n v="661289520"/>
    <x v="1"/>
    <n v="1888779961"/>
  </r>
  <r>
    <x v="1"/>
    <x v="8"/>
    <x v="8"/>
    <x v="4"/>
    <s v="Prestación de Servicios Públicos"/>
    <x v="0"/>
    <x v="99"/>
    <x v="92"/>
    <x v="151"/>
    <n v="1"/>
    <s v="Gobierno"/>
    <n v="3"/>
    <s v="Hacienda"/>
    <n v="1"/>
    <x v="18"/>
    <x v="1"/>
    <x v="45"/>
    <n v="2"/>
    <s v="Gasto de capital"/>
    <x v="0"/>
    <x v="0"/>
    <x v="0"/>
    <x v="0"/>
    <x v="0"/>
    <x v="0"/>
    <x v="0"/>
    <m/>
    <x v="0"/>
    <x v="0"/>
    <m/>
    <n v="12867567"/>
    <n v="0"/>
    <n v="0"/>
    <n v="12867567"/>
    <n v="22679882"/>
    <m/>
    <x v="1"/>
    <n v="22679882"/>
  </r>
  <r>
    <x v="1"/>
    <x v="8"/>
    <x v="8"/>
    <x v="4"/>
    <s v="Prestación de Servicios Públicos"/>
    <x v="25"/>
    <x v="100"/>
    <x v="92"/>
    <x v="151"/>
    <n v="1"/>
    <s v="Gobierno"/>
    <n v="3"/>
    <s v="Hacienda"/>
    <n v="1"/>
    <x v="18"/>
    <x v="1"/>
    <x v="45"/>
    <n v="1"/>
    <s v="Gasto corriente"/>
    <x v="0"/>
    <x v="1"/>
    <x v="0"/>
    <x v="0"/>
    <x v="0"/>
    <x v="0"/>
    <x v="0"/>
    <m/>
    <x v="0"/>
    <x v="0"/>
    <m/>
    <n v="367802920"/>
    <n v="0"/>
    <n v="0"/>
    <n v="367802920"/>
    <n v="449273950"/>
    <m/>
    <x v="1"/>
    <n v="449273950"/>
  </r>
  <r>
    <x v="1"/>
    <x v="8"/>
    <x v="8"/>
    <x v="4"/>
    <s v="Prestación de Servicios Públicos"/>
    <x v="25"/>
    <x v="100"/>
    <x v="92"/>
    <x v="151"/>
    <n v="1"/>
    <s v="Gobierno"/>
    <n v="3"/>
    <s v="Hacienda"/>
    <n v="1"/>
    <x v="18"/>
    <x v="1"/>
    <x v="45"/>
    <n v="1"/>
    <s v="Gasto corriente"/>
    <x v="0"/>
    <x v="0"/>
    <x v="0"/>
    <x v="0"/>
    <x v="0"/>
    <x v="0"/>
    <x v="0"/>
    <m/>
    <x v="0"/>
    <x v="0"/>
    <m/>
    <n v="7438556320"/>
    <n v="0"/>
    <n v="-275790755"/>
    <n v="7162765565"/>
    <n v="7590353060"/>
    <m/>
    <x v="1"/>
    <n v="7590353060"/>
  </r>
  <r>
    <x v="1"/>
    <x v="8"/>
    <x v="8"/>
    <x v="4"/>
    <s v="Prestación de Servicios Públicos"/>
    <x v="25"/>
    <x v="100"/>
    <x v="92"/>
    <x v="151"/>
    <n v="1"/>
    <s v="Gobierno"/>
    <n v="3"/>
    <s v="Hacienda"/>
    <n v="1"/>
    <x v="18"/>
    <x v="1"/>
    <x v="45"/>
    <n v="2"/>
    <s v="Gasto de capital"/>
    <x v="0"/>
    <x v="0"/>
    <x v="0"/>
    <x v="0"/>
    <x v="0"/>
    <x v="0"/>
    <x v="0"/>
    <m/>
    <x v="0"/>
    <x v="0"/>
    <m/>
    <n v="30000000"/>
    <n v="0"/>
    <n v="-2035103"/>
    <n v="27964897"/>
    <n v="35000000"/>
    <m/>
    <x v="1"/>
    <n v="35000000"/>
  </r>
  <r>
    <x v="1"/>
    <x v="8"/>
    <x v="8"/>
    <x v="4"/>
    <s v="Prestación de Servicios Públicos"/>
    <x v="1"/>
    <x v="101"/>
    <x v="92"/>
    <x v="151"/>
    <n v="1"/>
    <s v="Gobierno"/>
    <n v="3"/>
    <s v="Hacienda"/>
    <n v="1"/>
    <x v="18"/>
    <x v="1"/>
    <x v="45"/>
    <n v="1"/>
    <s v="Gasto corriente"/>
    <x v="0"/>
    <x v="1"/>
    <x v="0"/>
    <x v="0"/>
    <x v="0"/>
    <x v="0"/>
    <x v="0"/>
    <m/>
    <x v="0"/>
    <x v="0"/>
    <m/>
    <m/>
    <m/>
    <m/>
    <m/>
    <n v="4738197"/>
    <m/>
    <x v="1"/>
    <n v="4738197"/>
  </r>
  <r>
    <x v="1"/>
    <x v="8"/>
    <x v="8"/>
    <x v="4"/>
    <s v="Prestación de Servicios Públicos"/>
    <x v="1"/>
    <x v="101"/>
    <x v="92"/>
    <x v="151"/>
    <n v="1"/>
    <s v="Gobierno"/>
    <n v="3"/>
    <s v="Hacienda"/>
    <n v="1"/>
    <x v="18"/>
    <x v="1"/>
    <x v="45"/>
    <n v="1"/>
    <s v="Gasto corriente"/>
    <x v="0"/>
    <x v="0"/>
    <x v="0"/>
    <x v="0"/>
    <x v="0"/>
    <x v="0"/>
    <x v="0"/>
    <m/>
    <x v="0"/>
    <x v="0"/>
    <m/>
    <m/>
    <m/>
    <m/>
    <m/>
    <n v="186360182"/>
    <m/>
    <x v="1"/>
    <n v="186360182"/>
  </r>
  <r>
    <x v="1"/>
    <x v="8"/>
    <x v="8"/>
    <x v="9"/>
    <s v="Promoción y fomento"/>
    <x v="2"/>
    <x v="102"/>
    <x v="93"/>
    <x v="152"/>
    <n v="3"/>
    <s v="Desarrollo Económico"/>
    <n v="5"/>
    <s v="Servicios Financieros"/>
    <n v="1"/>
    <x v="19"/>
    <x v="12"/>
    <x v="46"/>
    <n v="2"/>
    <s v="Gasto de capital"/>
    <x v="0"/>
    <x v="0"/>
    <x v="0"/>
    <x v="0"/>
    <x v="1"/>
    <x v="0"/>
    <x v="0"/>
    <m/>
    <x v="0"/>
    <x v="0"/>
    <m/>
    <n v="50904255"/>
    <n v="49095745"/>
    <n v="0"/>
    <n v="100000000"/>
    <n v="46510200"/>
    <m/>
    <x v="1"/>
    <n v="46510200"/>
  </r>
  <r>
    <x v="1"/>
    <x v="8"/>
    <x v="8"/>
    <x v="9"/>
    <s v="Promoción y fomento"/>
    <x v="3"/>
    <x v="103"/>
    <x v="93"/>
    <x v="152"/>
    <n v="3"/>
    <s v="Desarrollo Económico"/>
    <n v="5"/>
    <s v="Servicios Financieros"/>
    <n v="1"/>
    <x v="19"/>
    <x v="12"/>
    <x v="46"/>
    <n v="2"/>
    <s v="Gasto de capital"/>
    <x v="0"/>
    <x v="0"/>
    <x v="0"/>
    <x v="0"/>
    <x v="1"/>
    <x v="0"/>
    <x v="0"/>
    <m/>
    <x v="0"/>
    <x v="0"/>
    <m/>
    <n v="111989362"/>
    <n v="114094638"/>
    <n v="0"/>
    <n v="226084000"/>
    <n v="105174300"/>
    <m/>
    <x v="9"/>
    <n v="880274300"/>
  </r>
  <r>
    <x v="1"/>
    <x v="8"/>
    <x v="8"/>
    <x v="9"/>
    <s v="Promoción y fomento"/>
    <x v="7"/>
    <x v="104"/>
    <x v="94"/>
    <x v="153"/>
    <n v="3"/>
    <s v="Desarrollo Económico"/>
    <n v="5"/>
    <s v="Servicios Financieros"/>
    <n v="1"/>
    <x v="19"/>
    <x v="17"/>
    <x v="47"/>
    <n v="1"/>
    <s v="Gasto corriente"/>
    <x v="0"/>
    <x v="0"/>
    <x v="0"/>
    <x v="0"/>
    <x v="0"/>
    <x v="0"/>
    <x v="0"/>
    <m/>
    <x v="0"/>
    <x v="0"/>
    <m/>
    <n v="28712000"/>
    <n v="0"/>
    <n v="0"/>
    <n v="28712000"/>
    <n v="75000000"/>
    <m/>
    <x v="1"/>
    <n v="75000000"/>
  </r>
  <r>
    <x v="1"/>
    <x v="8"/>
    <x v="8"/>
    <x v="9"/>
    <s v="Promoción y fomento"/>
    <x v="7"/>
    <x v="104"/>
    <x v="94"/>
    <x v="153"/>
    <n v="3"/>
    <s v="Desarrollo Económico"/>
    <n v="5"/>
    <s v="Servicios Financieros"/>
    <n v="1"/>
    <x v="19"/>
    <x v="17"/>
    <x v="47"/>
    <n v="2"/>
    <s v="Gasto de capital"/>
    <x v="0"/>
    <x v="0"/>
    <x v="0"/>
    <x v="0"/>
    <x v="0"/>
    <x v="0"/>
    <x v="0"/>
    <m/>
    <x v="0"/>
    <x v="0"/>
    <m/>
    <n v="428000000"/>
    <n v="0"/>
    <n v="-29034128"/>
    <n v="398965872"/>
    <n v="518700781"/>
    <m/>
    <x v="1"/>
    <n v="518700781"/>
  </r>
  <r>
    <x v="1"/>
    <x v="8"/>
    <x v="8"/>
    <x v="9"/>
    <s v="Promoción y fomento"/>
    <x v="11"/>
    <x v="105"/>
    <x v="95"/>
    <x v="154"/>
    <n v="3"/>
    <s v="Desarrollo Económico"/>
    <n v="5"/>
    <s v="Servicios Financieros"/>
    <n v="2"/>
    <x v="20"/>
    <x v="12"/>
    <x v="46"/>
    <n v="2"/>
    <s v="Gasto de capital"/>
    <x v="0"/>
    <x v="0"/>
    <x v="0"/>
    <x v="0"/>
    <x v="1"/>
    <x v="0"/>
    <x v="0"/>
    <m/>
    <x v="0"/>
    <x v="0"/>
    <m/>
    <n v="80000000"/>
    <n v="100000000"/>
    <n v="0"/>
    <n v="180000000"/>
    <n v="80000103"/>
    <m/>
    <x v="10"/>
    <n v="180000103"/>
  </r>
  <r>
    <x v="1"/>
    <x v="8"/>
    <x v="8"/>
    <x v="9"/>
    <s v="Promoción y fomento"/>
    <x v="18"/>
    <x v="106"/>
    <x v="96"/>
    <x v="155"/>
    <n v="3"/>
    <s v="Desarrollo Económico"/>
    <n v="5"/>
    <s v="Servicios Financieros"/>
    <n v="2"/>
    <x v="20"/>
    <x v="12"/>
    <x v="46"/>
    <n v="2"/>
    <s v="Gasto de capital"/>
    <x v="0"/>
    <x v="0"/>
    <x v="0"/>
    <x v="0"/>
    <x v="1"/>
    <x v="0"/>
    <x v="0"/>
    <m/>
    <x v="0"/>
    <x v="0"/>
    <m/>
    <n v="300000000"/>
    <n v="500000000"/>
    <n v="0"/>
    <n v="800000000"/>
    <n v="260000388"/>
    <m/>
    <x v="11"/>
    <n v="800000388"/>
  </r>
  <r>
    <x v="1"/>
    <x v="8"/>
    <x v="8"/>
    <x v="9"/>
    <s v="Promoción y fomento"/>
    <x v="22"/>
    <x v="107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1"/>
    <m/>
    <x v="0"/>
    <x v="0"/>
    <m/>
    <n v="41842558"/>
    <n v="9957442"/>
    <n v="0"/>
    <n v="51800000"/>
    <n v="54334080"/>
    <m/>
    <x v="12"/>
    <n v="83334080"/>
  </r>
  <r>
    <x v="1"/>
    <x v="8"/>
    <x v="8"/>
    <x v="9"/>
    <s v="Promoción y fomento"/>
    <x v="21"/>
    <x v="108"/>
    <x v="98"/>
    <x v="157"/>
    <n v="1"/>
    <s v="Gobierno"/>
    <n v="9"/>
    <s v="Otros Bienes y Servicios Públicos"/>
    <n v="3"/>
    <x v="14"/>
    <x v="14"/>
    <x v="49"/>
    <n v="1"/>
    <s v="Gasto corriente"/>
    <x v="0"/>
    <x v="0"/>
    <x v="0"/>
    <x v="0"/>
    <x v="0"/>
    <x v="0"/>
    <x v="0"/>
    <m/>
    <x v="0"/>
    <x v="0"/>
    <m/>
    <n v="1114804192"/>
    <n v="0"/>
    <n v="-69272400"/>
    <n v="1045531792"/>
    <n v="1151893214"/>
    <m/>
    <x v="1"/>
    <n v="1151893214"/>
  </r>
  <r>
    <x v="1"/>
    <x v="8"/>
    <x v="8"/>
    <x v="9"/>
    <s v="Promoción y fomento"/>
    <x v="26"/>
    <x v="109"/>
    <x v="93"/>
    <x v="152"/>
    <n v="3"/>
    <s v="Desarrollo Económico"/>
    <n v="5"/>
    <s v="Servicios Financieros"/>
    <n v="1"/>
    <x v="19"/>
    <x v="12"/>
    <x v="46"/>
    <n v="2"/>
    <s v="Gasto de capital"/>
    <x v="0"/>
    <x v="0"/>
    <x v="0"/>
    <x v="0"/>
    <x v="1"/>
    <x v="0"/>
    <x v="0"/>
    <m/>
    <x v="0"/>
    <x v="0"/>
    <m/>
    <n v="244340426"/>
    <n v="348075574"/>
    <n v="0"/>
    <n v="592416000"/>
    <n v="235616619"/>
    <m/>
    <x v="1"/>
    <n v="235616619"/>
  </r>
  <r>
    <x v="1"/>
    <x v="8"/>
    <x v="8"/>
    <x v="9"/>
    <s v="Promoción y fomento"/>
    <x v="27"/>
    <x v="110"/>
    <x v="93"/>
    <x v="152"/>
    <n v="3"/>
    <s v="Desarrollo Económico"/>
    <n v="5"/>
    <s v="Servicios Financieros"/>
    <n v="1"/>
    <x v="19"/>
    <x v="12"/>
    <x v="46"/>
    <n v="2"/>
    <s v="Gasto de capital"/>
    <x v="0"/>
    <x v="0"/>
    <x v="0"/>
    <x v="0"/>
    <x v="1"/>
    <x v="0"/>
    <x v="0"/>
    <m/>
    <x v="0"/>
    <x v="0"/>
    <m/>
    <n v="71265957"/>
    <n v="38734043"/>
    <n v="0"/>
    <n v="110000000"/>
    <n v="74199500"/>
    <m/>
    <x v="1"/>
    <n v="74199500"/>
  </r>
  <r>
    <x v="1"/>
    <x v="8"/>
    <x v="8"/>
    <x v="9"/>
    <s v="Promoción y fomento"/>
    <x v="28"/>
    <x v="111"/>
    <x v="97"/>
    <x v="156"/>
    <n v="2"/>
    <s v="Desarrollo Social"/>
    <n v="5"/>
    <s v="Asistencia Social"/>
    <n v="2"/>
    <x v="21"/>
    <x v="8"/>
    <x v="48"/>
    <n v="1"/>
    <s v="Gasto corriente"/>
    <x v="0"/>
    <x v="1"/>
    <x v="1"/>
    <x v="0"/>
    <x v="1"/>
    <x v="0"/>
    <x v="0"/>
    <m/>
    <x v="0"/>
    <x v="0"/>
    <m/>
    <n v="2448013"/>
    <n v="0"/>
    <n v="0"/>
    <n v="2448013"/>
    <n v="2437219"/>
    <m/>
    <x v="1"/>
    <n v="2437219"/>
  </r>
  <r>
    <x v="1"/>
    <x v="8"/>
    <x v="8"/>
    <x v="9"/>
    <s v="Promoción y fomento"/>
    <x v="28"/>
    <x v="111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79442966"/>
    <n v="10009021"/>
    <n v="-1705403"/>
    <n v="87746584"/>
    <n v="79232636"/>
    <m/>
    <x v="2"/>
    <n v="94232636"/>
  </r>
  <r>
    <x v="1"/>
    <x v="8"/>
    <x v="8"/>
    <x v="9"/>
    <s v="Promoción y fomento"/>
    <x v="29"/>
    <x v="112"/>
    <x v="97"/>
    <x v="156"/>
    <n v="2"/>
    <s v="Desarrollo Social"/>
    <n v="5"/>
    <s v="Asistencia Social"/>
    <n v="2"/>
    <x v="21"/>
    <x v="8"/>
    <x v="48"/>
    <n v="1"/>
    <s v="Gasto corriente"/>
    <x v="0"/>
    <x v="1"/>
    <x v="1"/>
    <x v="0"/>
    <x v="1"/>
    <x v="0"/>
    <x v="1"/>
    <m/>
    <x v="0"/>
    <x v="0"/>
    <m/>
    <n v="1245829"/>
    <n v="0"/>
    <n v="0"/>
    <n v="1245829"/>
    <n v="1132462"/>
    <m/>
    <x v="1"/>
    <n v="1132462"/>
  </r>
  <r>
    <x v="1"/>
    <x v="8"/>
    <x v="8"/>
    <x v="9"/>
    <s v="Promoción y fomento"/>
    <x v="29"/>
    <x v="112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1"/>
    <m/>
    <x v="0"/>
    <x v="0"/>
    <m/>
    <n v="31993064"/>
    <n v="34961107"/>
    <n v="-1764083"/>
    <n v="65190088"/>
    <n v="62087671"/>
    <m/>
    <x v="13"/>
    <n v="130087671"/>
  </r>
  <r>
    <x v="1"/>
    <x v="8"/>
    <x v="8"/>
    <x v="9"/>
    <s v="Promoción y fomento"/>
    <x v="30"/>
    <x v="113"/>
    <x v="94"/>
    <x v="153"/>
    <n v="3"/>
    <s v="Desarrollo Económico"/>
    <n v="5"/>
    <s v="Servicios Financieros"/>
    <n v="1"/>
    <x v="19"/>
    <x v="17"/>
    <x v="47"/>
    <n v="1"/>
    <s v="Gasto corriente"/>
    <x v="0"/>
    <x v="0"/>
    <x v="0"/>
    <x v="0"/>
    <x v="1"/>
    <x v="0"/>
    <x v="0"/>
    <m/>
    <x v="0"/>
    <x v="0"/>
    <m/>
    <n v="47000000"/>
    <n v="99700000"/>
    <n v="-2374261"/>
    <n v="144325739"/>
    <m/>
    <m/>
    <x v="1"/>
    <n v="0"/>
  </r>
  <r>
    <x v="1"/>
    <x v="8"/>
    <x v="8"/>
    <x v="10"/>
    <s v="Regulación y supervisión"/>
    <x v="2"/>
    <x v="114"/>
    <x v="50"/>
    <x v="158"/>
    <n v="1"/>
    <s v="Gobierno"/>
    <n v="3"/>
    <s v="Hacienda"/>
    <n v="6"/>
    <x v="17"/>
    <x v="15"/>
    <x v="44"/>
    <n v="1"/>
    <s v="Gasto corriente"/>
    <x v="0"/>
    <x v="1"/>
    <x v="0"/>
    <x v="0"/>
    <x v="0"/>
    <x v="0"/>
    <x v="0"/>
    <m/>
    <x v="0"/>
    <x v="0"/>
    <m/>
    <n v="1305323"/>
    <n v="0"/>
    <n v="0"/>
    <n v="1305323"/>
    <n v="1264042"/>
    <m/>
    <x v="1"/>
    <n v="1264042"/>
  </r>
  <r>
    <x v="1"/>
    <x v="8"/>
    <x v="8"/>
    <x v="10"/>
    <s v="Regulación y supervisión"/>
    <x v="2"/>
    <x v="114"/>
    <x v="50"/>
    <x v="158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57782132"/>
    <n v="0"/>
    <n v="-1297410"/>
    <n v="56484722"/>
    <n v="58610752"/>
    <m/>
    <x v="1"/>
    <n v="58610752"/>
  </r>
  <r>
    <x v="1"/>
    <x v="8"/>
    <x v="8"/>
    <x v="10"/>
    <s v="Regulación y supervisión"/>
    <x v="2"/>
    <x v="114"/>
    <x v="50"/>
    <x v="158"/>
    <n v="1"/>
    <s v="Gobierno"/>
    <n v="3"/>
    <s v="Hacienda"/>
    <n v="6"/>
    <x v="17"/>
    <x v="15"/>
    <x v="44"/>
    <n v="2"/>
    <s v="Gasto de capital"/>
    <x v="0"/>
    <x v="0"/>
    <x v="0"/>
    <x v="0"/>
    <x v="0"/>
    <x v="0"/>
    <x v="0"/>
    <m/>
    <x v="0"/>
    <x v="0"/>
    <m/>
    <m/>
    <m/>
    <m/>
    <m/>
    <n v="2500000"/>
    <m/>
    <x v="1"/>
    <n v="2500000"/>
  </r>
  <r>
    <x v="1"/>
    <x v="8"/>
    <x v="8"/>
    <x v="10"/>
    <s v="Regulación y supervisión"/>
    <x v="2"/>
    <x v="114"/>
    <x v="51"/>
    <x v="159"/>
    <n v="1"/>
    <s v="Gobierno"/>
    <n v="3"/>
    <s v="Hacienda"/>
    <n v="6"/>
    <x v="17"/>
    <x v="15"/>
    <x v="44"/>
    <n v="1"/>
    <s v="Gasto corriente"/>
    <x v="0"/>
    <x v="1"/>
    <x v="0"/>
    <x v="0"/>
    <x v="0"/>
    <x v="0"/>
    <x v="0"/>
    <m/>
    <x v="0"/>
    <x v="0"/>
    <m/>
    <n v="1703836"/>
    <n v="0"/>
    <n v="0"/>
    <n v="1703836"/>
    <n v="1621471"/>
    <m/>
    <x v="1"/>
    <n v="1621471"/>
  </r>
  <r>
    <x v="1"/>
    <x v="8"/>
    <x v="8"/>
    <x v="10"/>
    <s v="Regulación y supervisión"/>
    <x v="2"/>
    <x v="114"/>
    <x v="51"/>
    <x v="159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90037297"/>
    <n v="0"/>
    <n v="-2075704"/>
    <n v="87961593"/>
    <n v="70525106"/>
    <m/>
    <x v="1"/>
    <n v="70525106"/>
  </r>
  <r>
    <x v="1"/>
    <x v="8"/>
    <x v="8"/>
    <x v="10"/>
    <s v="Regulación y supervisión"/>
    <x v="2"/>
    <x v="114"/>
    <x v="51"/>
    <x v="159"/>
    <n v="1"/>
    <s v="Gobierno"/>
    <n v="3"/>
    <s v="Hacienda"/>
    <n v="6"/>
    <x v="17"/>
    <x v="15"/>
    <x v="44"/>
    <n v="2"/>
    <s v="Gasto de capital"/>
    <x v="0"/>
    <x v="0"/>
    <x v="0"/>
    <x v="0"/>
    <x v="0"/>
    <x v="0"/>
    <x v="0"/>
    <m/>
    <x v="0"/>
    <x v="0"/>
    <m/>
    <m/>
    <m/>
    <m/>
    <m/>
    <n v="2500000"/>
    <m/>
    <x v="1"/>
    <n v="2500000"/>
  </r>
  <r>
    <x v="1"/>
    <x v="8"/>
    <x v="8"/>
    <x v="10"/>
    <s v="Regulación y supervisión"/>
    <x v="2"/>
    <x v="114"/>
    <x v="52"/>
    <x v="160"/>
    <n v="1"/>
    <s v="Gobierno"/>
    <n v="3"/>
    <s v="Hacienda"/>
    <n v="6"/>
    <x v="17"/>
    <x v="15"/>
    <x v="44"/>
    <n v="1"/>
    <s v="Gasto corriente"/>
    <x v="0"/>
    <x v="1"/>
    <x v="0"/>
    <x v="0"/>
    <x v="0"/>
    <x v="0"/>
    <x v="0"/>
    <m/>
    <x v="0"/>
    <x v="0"/>
    <m/>
    <n v="1265845"/>
    <n v="0"/>
    <n v="0"/>
    <n v="1265845"/>
    <n v="1252085"/>
    <m/>
    <x v="1"/>
    <n v="1252085"/>
  </r>
  <r>
    <x v="1"/>
    <x v="8"/>
    <x v="8"/>
    <x v="10"/>
    <s v="Regulación y supervisión"/>
    <x v="2"/>
    <x v="114"/>
    <x v="52"/>
    <x v="160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51739427"/>
    <n v="0"/>
    <n v="-2444004"/>
    <n v="49295423"/>
    <n v="52750742"/>
    <m/>
    <x v="1"/>
    <n v="52750742"/>
  </r>
  <r>
    <x v="1"/>
    <x v="8"/>
    <x v="8"/>
    <x v="10"/>
    <s v="Regulación y supervisión"/>
    <x v="3"/>
    <x v="115"/>
    <x v="3"/>
    <x v="161"/>
    <n v="1"/>
    <s v="Gobierno"/>
    <n v="3"/>
    <s v="Hacienda"/>
    <n v="6"/>
    <x v="17"/>
    <x v="15"/>
    <x v="44"/>
    <n v="1"/>
    <s v="Gasto corriente"/>
    <x v="0"/>
    <x v="1"/>
    <x v="0"/>
    <x v="0"/>
    <x v="0"/>
    <x v="0"/>
    <x v="0"/>
    <m/>
    <x v="0"/>
    <x v="0"/>
    <m/>
    <n v="808987"/>
    <n v="0"/>
    <n v="0"/>
    <n v="808987"/>
    <n v="808987"/>
    <m/>
    <x v="1"/>
    <n v="808987"/>
  </r>
  <r>
    <x v="1"/>
    <x v="8"/>
    <x v="8"/>
    <x v="10"/>
    <s v="Regulación y supervisión"/>
    <x v="3"/>
    <x v="115"/>
    <x v="3"/>
    <x v="161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46473908"/>
    <n v="0"/>
    <n v="-573562"/>
    <n v="45900346"/>
    <n v="64827940"/>
    <m/>
    <x v="1"/>
    <n v="64827940"/>
  </r>
  <r>
    <x v="1"/>
    <x v="8"/>
    <x v="8"/>
    <x v="10"/>
    <s v="Regulación y supervisión"/>
    <x v="4"/>
    <x v="116"/>
    <x v="40"/>
    <x v="162"/>
    <n v="1"/>
    <s v="Gobierno"/>
    <n v="3"/>
    <s v="Hacienda"/>
    <n v="6"/>
    <x v="17"/>
    <x v="15"/>
    <x v="44"/>
    <n v="1"/>
    <s v="Gasto corriente"/>
    <x v="0"/>
    <x v="1"/>
    <x v="0"/>
    <x v="0"/>
    <x v="0"/>
    <x v="0"/>
    <x v="0"/>
    <m/>
    <x v="0"/>
    <x v="0"/>
    <m/>
    <n v="5240696"/>
    <n v="0"/>
    <n v="0"/>
    <n v="5240696"/>
    <n v="6184320"/>
    <m/>
    <x v="1"/>
    <n v="6184320"/>
  </r>
  <r>
    <x v="1"/>
    <x v="8"/>
    <x v="8"/>
    <x v="10"/>
    <s v="Regulación y supervisión"/>
    <x v="4"/>
    <x v="116"/>
    <x v="40"/>
    <x v="162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161477723"/>
    <n v="0"/>
    <n v="-9492515"/>
    <n v="151985208"/>
    <n v="159337399"/>
    <m/>
    <x v="1"/>
    <n v="159337399"/>
  </r>
  <r>
    <x v="1"/>
    <x v="8"/>
    <x v="8"/>
    <x v="10"/>
    <s v="Regulación y supervisión"/>
    <x v="4"/>
    <x v="116"/>
    <x v="40"/>
    <x v="162"/>
    <n v="1"/>
    <s v="Gobierno"/>
    <n v="3"/>
    <s v="Hacienda"/>
    <n v="6"/>
    <x v="17"/>
    <x v="15"/>
    <x v="44"/>
    <n v="2"/>
    <s v="Gasto de capital"/>
    <x v="0"/>
    <x v="0"/>
    <x v="0"/>
    <x v="0"/>
    <x v="0"/>
    <x v="0"/>
    <x v="0"/>
    <m/>
    <x v="0"/>
    <x v="0"/>
    <m/>
    <n v="198040"/>
    <n v="0"/>
    <n v="-13434"/>
    <n v="184606"/>
    <n v="600047"/>
    <m/>
    <x v="1"/>
    <n v="600047"/>
  </r>
  <r>
    <x v="1"/>
    <x v="8"/>
    <x v="8"/>
    <x v="10"/>
    <s v="Regulación y supervisión"/>
    <x v="5"/>
    <x v="117"/>
    <x v="32"/>
    <x v="163"/>
    <n v="1"/>
    <s v="Gobierno"/>
    <n v="3"/>
    <s v="Hacienda"/>
    <n v="6"/>
    <x v="17"/>
    <x v="15"/>
    <x v="44"/>
    <n v="1"/>
    <s v="Gasto corriente"/>
    <x v="0"/>
    <x v="1"/>
    <x v="0"/>
    <x v="0"/>
    <x v="0"/>
    <x v="0"/>
    <x v="0"/>
    <m/>
    <x v="0"/>
    <x v="0"/>
    <m/>
    <n v="4542724"/>
    <n v="0"/>
    <n v="0"/>
    <n v="4542724"/>
    <n v="5223553"/>
    <m/>
    <x v="1"/>
    <n v="5223553"/>
  </r>
  <r>
    <x v="1"/>
    <x v="8"/>
    <x v="8"/>
    <x v="10"/>
    <s v="Regulación y supervisión"/>
    <x v="5"/>
    <x v="117"/>
    <x v="32"/>
    <x v="163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179278781"/>
    <n v="0"/>
    <n v="-13530588"/>
    <n v="165748193"/>
    <n v="178694447"/>
    <m/>
    <x v="1"/>
    <n v="178694447"/>
  </r>
  <r>
    <x v="1"/>
    <x v="8"/>
    <x v="8"/>
    <x v="10"/>
    <s v="Regulación y supervisión"/>
    <x v="6"/>
    <x v="118"/>
    <x v="31"/>
    <x v="164"/>
    <n v="1"/>
    <s v="Gobierno"/>
    <n v="3"/>
    <s v="Hacienda"/>
    <n v="6"/>
    <x v="17"/>
    <x v="15"/>
    <x v="44"/>
    <n v="1"/>
    <s v="Gasto corriente"/>
    <x v="0"/>
    <x v="1"/>
    <x v="0"/>
    <x v="0"/>
    <x v="0"/>
    <x v="0"/>
    <x v="0"/>
    <m/>
    <x v="0"/>
    <x v="0"/>
    <m/>
    <n v="34258463"/>
    <n v="0"/>
    <n v="0"/>
    <n v="34258463"/>
    <n v="48735228"/>
    <m/>
    <x v="1"/>
    <n v="48735228"/>
  </r>
  <r>
    <x v="1"/>
    <x v="8"/>
    <x v="8"/>
    <x v="10"/>
    <s v="Regulación y supervisión"/>
    <x v="6"/>
    <x v="118"/>
    <x v="31"/>
    <x v="164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714350311"/>
    <n v="0"/>
    <n v="-22673570"/>
    <n v="691676741"/>
    <n v="674406998"/>
    <m/>
    <x v="1"/>
    <n v="674406998"/>
  </r>
  <r>
    <x v="1"/>
    <x v="8"/>
    <x v="8"/>
    <x v="0"/>
    <s v="Proyectos de Inversión"/>
    <x v="15"/>
    <x v="119"/>
    <x v="97"/>
    <x v="156"/>
    <n v="2"/>
    <s v="Desarrollo Social"/>
    <n v="5"/>
    <s v="Asistencia Social"/>
    <n v="2"/>
    <x v="21"/>
    <x v="8"/>
    <x v="48"/>
    <n v="2"/>
    <s v="Gasto de capital"/>
    <x v="0"/>
    <x v="0"/>
    <x v="1"/>
    <x v="0"/>
    <x v="1"/>
    <x v="0"/>
    <x v="0"/>
    <m/>
    <x v="0"/>
    <x v="0"/>
    <m/>
    <m/>
    <n v="0"/>
    <n v="0"/>
    <m/>
    <n v="4000000"/>
    <m/>
    <x v="14"/>
    <n v="25000000"/>
  </r>
  <r>
    <x v="1"/>
    <x v="8"/>
    <x v="8"/>
    <x v="0"/>
    <s v="Proyectos de Inversión"/>
    <x v="0"/>
    <x v="0"/>
    <x v="97"/>
    <x v="156"/>
    <n v="2"/>
    <s v="Desarrollo Social"/>
    <n v="5"/>
    <s v="Asistencia Social"/>
    <n v="2"/>
    <x v="21"/>
    <x v="8"/>
    <x v="48"/>
    <n v="2"/>
    <s v="Gasto de capital"/>
    <x v="0"/>
    <x v="0"/>
    <x v="1"/>
    <x v="0"/>
    <x v="1"/>
    <x v="0"/>
    <x v="0"/>
    <m/>
    <x v="0"/>
    <x v="0"/>
    <m/>
    <n v="18072850"/>
    <n v="0"/>
    <n v="0"/>
    <n v="18072850"/>
    <m/>
    <m/>
    <x v="1"/>
    <n v="0"/>
  </r>
  <r>
    <x v="1"/>
    <x v="8"/>
    <x v="8"/>
    <x v="0"/>
    <s v="Proyectos de Inversión"/>
    <x v="1"/>
    <x v="1"/>
    <x v="97"/>
    <x v="156"/>
    <n v="2"/>
    <s v="Desarrollo Social"/>
    <n v="5"/>
    <s v="Asistencia Social"/>
    <n v="2"/>
    <x v="21"/>
    <x v="8"/>
    <x v="48"/>
    <n v="2"/>
    <s v="Gasto de capital"/>
    <x v="0"/>
    <x v="0"/>
    <x v="1"/>
    <x v="0"/>
    <x v="1"/>
    <x v="0"/>
    <x v="0"/>
    <m/>
    <x v="0"/>
    <x v="0"/>
    <m/>
    <n v="18030254"/>
    <n v="0"/>
    <n v="-6784"/>
    <n v="18023470"/>
    <n v="10000000"/>
    <m/>
    <x v="15"/>
    <n v="30500000"/>
  </r>
  <r>
    <x v="1"/>
    <x v="8"/>
    <x v="8"/>
    <x v="0"/>
    <s v="Proyectos de Inversión"/>
    <x v="1"/>
    <x v="1"/>
    <x v="92"/>
    <x v="151"/>
    <n v="1"/>
    <s v="Gobierno"/>
    <n v="3"/>
    <s v="Hacienda"/>
    <n v="1"/>
    <x v="18"/>
    <x v="1"/>
    <x v="45"/>
    <n v="2"/>
    <s v="Gasto de capital"/>
    <x v="0"/>
    <x v="0"/>
    <x v="0"/>
    <x v="0"/>
    <x v="0"/>
    <x v="0"/>
    <x v="0"/>
    <m/>
    <x v="0"/>
    <x v="0"/>
    <m/>
    <n v="1000000"/>
    <n v="0"/>
    <n v="0"/>
    <n v="1000000"/>
    <n v="1000000"/>
    <m/>
    <x v="1"/>
    <n v="1000000"/>
  </r>
  <r>
    <x v="1"/>
    <x v="8"/>
    <x v="8"/>
    <x v="0"/>
    <s v="Proyectos de Inversión"/>
    <x v="31"/>
    <x v="120"/>
    <x v="97"/>
    <x v="156"/>
    <n v="2"/>
    <s v="Desarrollo Social"/>
    <n v="5"/>
    <s v="Asistencia Social"/>
    <n v="2"/>
    <x v="21"/>
    <x v="8"/>
    <x v="48"/>
    <n v="2"/>
    <s v="Gasto de capital"/>
    <x v="0"/>
    <x v="0"/>
    <x v="1"/>
    <x v="0"/>
    <x v="1"/>
    <x v="0"/>
    <x v="0"/>
    <m/>
    <x v="0"/>
    <x v="0"/>
    <m/>
    <m/>
    <n v="0"/>
    <n v="0"/>
    <m/>
    <n v="1500000"/>
    <m/>
    <x v="16"/>
    <n v="3000000"/>
  </r>
  <r>
    <x v="1"/>
    <x v="8"/>
    <x v="8"/>
    <x v="2"/>
    <s v="Apoyo al proceso presupuestario y para mejorar la eficiencia institucional"/>
    <x v="2"/>
    <x v="34"/>
    <x v="20"/>
    <x v="165"/>
    <n v="1"/>
    <s v="Gobierno"/>
    <n v="3"/>
    <s v="Hacienda"/>
    <n v="3"/>
    <x v="22"/>
    <x v="3"/>
    <x v="12"/>
    <n v="1"/>
    <s v="Gasto corriente"/>
    <x v="0"/>
    <x v="1"/>
    <x v="0"/>
    <x v="0"/>
    <x v="0"/>
    <x v="0"/>
    <x v="0"/>
    <m/>
    <x v="0"/>
    <x v="0"/>
    <m/>
    <n v="2864183"/>
    <n v="0"/>
    <n v="0"/>
    <n v="2864183"/>
    <n v="2766835"/>
    <m/>
    <x v="1"/>
    <n v="2766835"/>
  </r>
  <r>
    <x v="1"/>
    <x v="8"/>
    <x v="8"/>
    <x v="2"/>
    <s v="Apoyo al proceso presupuestario y para mejorar la eficiencia institucional"/>
    <x v="2"/>
    <x v="34"/>
    <x v="20"/>
    <x v="165"/>
    <n v="1"/>
    <s v="Gobierno"/>
    <n v="3"/>
    <s v="Hacienda"/>
    <n v="3"/>
    <x v="22"/>
    <x v="3"/>
    <x v="12"/>
    <n v="1"/>
    <s v="Gasto corriente"/>
    <x v="0"/>
    <x v="0"/>
    <x v="0"/>
    <x v="0"/>
    <x v="0"/>
    <x v="0"/>
    <x v="0"/>
    <m/>
    <x v="0"/>
    <x v="0"/>
    <m/>
    <n v="105863543"/>
    <n v="0"/>
    <n v="-9912650"/>
    <n v="95950893"/>
    <n v="110904683"/>
    <m/>
    <x v="1"/>
    <n v="110904683"/>
  </r>
  <r>
    <x v="1"/>
    <x v="8"/>
    <x v="8"/>
    <x v="2"/>
    <s v="Apoyo al proceso presupuestario y para mejorar la eficiencia institucional"/>
    <x v="2"/>
    <x v="34"/>
    <x v="20"/>
    <x v="165"/>
    <n v="1"/>
    <s v="Gobierno"/>
    <n v="3"/>
    <s v="Hacienda"/>
    <n v="3"/>
    <x v="22"/>
    <x v="3"/>
    <x v="12"/>
    <n v="2"/>
    <s v="Gasto de capital"/>
    <x v="0"/>
    <x v="0"/>
    <x v="0"/>
    <x v="0"/>
    <x v="0"/>
    <x v="0"/>
    <x v="0"/>
    <m/>
    <x v="0"/>
    <x v="0"/>
    <m/>
    <n v="34938125"/>
    <n v="0"/>
    <n v="0"/>
    <n v="34938125"/>
    <n v="32038125"/>
    <m/>
    <x v="1"/>
    <n v="32038125"/>
  </r>
  <r>
    <x v="1"/>
    <x v="8"/>
    <x v="8"/>
    <x v="2"/>
    <s v="Apoyo al proceso presupuestario y para mejorar la eficiencia institucional"/>
    <x v="2"/>
    <x v="34"/>
    <x v="6"/>
    <x v="166"/>
    <n v="1"/>
    <s v="Gobierno"/>
    <n v="3"/>
    <s v="Hacienda"/>
    <n v="3"/>
    <x v="22"/>
    <x v="3"/>
    <x v="12"/>
    <n v="1"/>
    <s v="Gasto corriente"/>
    <x v="0"/>
    <x v="1"/>
    <x v="0"/>
    <x v="0"/>
    <x v="0"/>
    <x v="0"/>
    <x v="0"/>
    <m/>
    <x v="0"/>
    <x v="0"/>
    <m/>
    <n v="581587"/>
    <n v="0"/>
    <n v="0"/>
    <n v="581587"/>
    <n v="553426"/>
    <m/>
    <x v="1"/>
    <n v="553426"/>
  </r>
  <r>
    <x v="1"/>
    <x v="8"/>
    <x v="8"/>
    <x v="2"/>
    <s v="Apoyo al proceso presupuestario y para mejorar la eficiencia institucional"/>
    <x v="2"/>
    <x v="34"/>
    <x v="6"/>
    <x v="166"/>
    <n v="1"/>
    <s v="Gobierno"/>
    <n v="3"/>
    <s v="Hacienda"/>
    <n v="3"/>
    <x v="22"/>
    <x v="3"/>
    <x v="12"/>
    <n v="1"/>
    <s v="Gasto corriente"/>
    <x v="0"/>
    <x v="0"/>
    <x v="0"/>
    <x v="0"/>
    <x v="0"/>
    <x v="0"/>
    <x v="0"/>
    <m/>
    <x v="0"/>
    <x v="0"/>
    <m/>
    <n v="19199069"/>
    <n v="0"/>
    <n v="-1688396"/>
    <n v="17510673"/>
    <n v="24260544"/>
    <m/>
    <x v="1"/>
    <n v="24260544"/>
  </r>
  <r>
    <x v="1"/>
    <x v="8"/>
    <x v="8"/>
    <x v="2"/>
    <s v="Apoyo al proceso presupuestario y para mejorar la eficiencia institucional"/>
    <x v="2"/>
    <x v="34"/>
    <x v="61"/>
    <x v="39"/>
    <n v="1"/>
    <s v="Gobierno"/>
    <n v="3"/>
    <s v="Hacienda"/>
    <n v="3"/>
    <x v="22"/>
    <x v="3"/>
    <x v="12"/>
    <n v="1"/>
    <s v="Gasto corriente"/>
    <x v="0"/>
    <x v="1"/>
    <x v="0"/>
    <x v="0"/>
    <x v="0"/>
    <x v="0"/>
    <x v="0"/>
    <m/>
    <x v="0"/>
    <x v="0"/>
    <m/>
    <n v="882242"/>
    <n v="0"/>
    <n v="0"/>
    <n v="882242"/>
    <n v="867290"/>
    <m/>
    <x v="1"/>
    <n v="867290"/>
  </r>
  <r>
    <x v="1"/>
    <x v="8"/>
    <x v="8"/>
    <x v="2"/>
    <s v="Apoyo al proceso presupuestario y para mejorar la eficiencia institucional"/>
    <x v="2"/>
    <x v="34"/>
    <x v="61"/>
    <x v="39"/>
    <n v="1"/>
    <s v="Gobierno"/>
    <n v="3"/>
    <s v="Hacienda"/>
    <n v="3"/>
    <x v="22"/>
    <x v="3"/>
    <x v="12"/>
    <n v="1"/>
    <s v="Gasto corriente"/>
    <x v="0"/>
    <x v="0"/>
    <x v="0"/>
    <x v="0"/>
    <x v="0"/>
    <x v="0"/>
    <x v="0"/>
    <m/>
    <x v="0"/>
    <x v="0"/>
    <m/>
    <n v="56604468"/>
    <n v="0"/>
    <n v="-5106176"/>
    <n v="51498292"/>
    <n v="43369041"/>
    <m/>
    <x v="1"/>
    <n v="43369041"/>
  </r>
  <r>
    <x v="1"/>
    <x v="8"/>
    <x v="8"/>
    <x v="2"/>
    <s v="Apoyo al proceso presupuestario y para mejorar la eficiencia institucional"/>
    <x v="2"/>
    <x v="34"/>
    <x v="62"/>
    <x v="167"/>
    <n v="1"/>
    <s v="Gobierno"/>
    <n v="3"/>
    <s v="Hacienda"/>
    <n v="3"/>
    <x v="22"/>
    <x v="3"/>
    <x v="12"/>
    <n v="1"/>
    <s v="Gasto corriente"/>
    <x v="0"/>
    <x v="1"/>
    <x v="0"/>
    <x v="0"/>
    <x v="0"/>
    <x v="0"/>
    <x v="0"/>
    <m/>
    <x v="0"/>
    <x v="0"/>
    <m/>
    <n v="2603053"/>
    <n v="0"/>
    <n v="0"/>
    <n v="2603053"/>
    <n v="2502933"/>
    <m/>
    <x v="1"/>
    <n v="2502933"/>
  </r>
  <r>
    <x v="1"/>
    <x v="8"/>
    <x v="8"/>
    <x v="2"/>
    <s v="Apoyo al proceso presupuestario y para mejorar la eficiencia institucional"/>
    <x v="2"/>
    <x v="34"/>
    <x v="62"/>
    <x v="167"/>
    <n v="1"/>
    <s v="Gobierno"/>
    <n v="3"/>
    <s v="Hacienda"/>
    <n v="3"/>
    <x v="22"/>
    <x v="3"/>
    <x v="12"/>
    <n v="1"/>
    <s v="Gasto corriente"/>
    <x v="0"/>
    <x v="0"/>
    <x v="0"/>
    <x v="0"/>
    <x v="0"/>
    <x v="0"/>
    <x v="0"/>
    <m/>
    <x v="0"/>
    <x v="0"/>
    <m/>
    <n v="69801127"/>
    <n v="0"/>
    <n v="-7645892"/>
    <n v="62155235"/>
    <n v="59873075"/>
    <m/>
    <x v="1"/>
    <n v="59873075"/>
  </r>
  <r>
    <x v="1"/>
    <x v="8"/>
    <x v="8"/>
    <x v="2"/>
    <s v="Apoyo al proceso presupuestario y para mejorar la eficiencia institucional"/>
    <x v="2"/>
    <x v="34"/>
    <x v="62"/>
    <x v="167"/>
    <n v="1"/>
    <s v="Gobierno"/>
    <n v="3"/>
    <s v="Hacienda"/>
    <n v="3"/>
    <x v="22"/>
    <x v="3"/>
    <x v="12"/>
    <n v="2"/>
    <s v="Gasto de capital"/>
    <x v="0"/>
    <x v="0"/>
    <x v="0"/>
    <x v="0"/>
    <x v="0"/>
    <x v="0"/>
    <x v="0"/>
    <m/>
    <x v="0"/>
    <x v="0"/>
    <m/>
    <n v="324473"/>
    <n v="0"/>
    <n v="0"/>
    <n v="324473"/>
    <m/>
    <m/>
    <x v="1"/>
    <n v="0"/>
  </r>
  <r>
    <x v="1"/>
    <x v="8"/>
    <x v="8"/>
    <x v="2"/>
    <s v="Apoyo al proceso presupuestario y para mejorar la eficiencia institucional"/>
    <x v="2"/>
    <x v="34"/>
    <x v="63"/>
    <x v="69"/>
    <n v="1"/>
    <s v="Gobierno"/>
    <n v="3"/>
    <s v="Hacienda"/>
    <n v="3"/>
    <x v="22"/>
    <x v="3"/>
    <x v="12"/>
    <n v="1"/>
    <s v="Gasto corriente"/>
    <x v="0"/>
    <x v="1"/>
    <x v="0"/>
    <x v="0"/>
    <x v="0"/>
    <x v="0"/>
    <x v="0"/>
    <m/>
    <x v="0"/>
    <x v="0"/>
    <m/>
    <n v="19254531"/>
    <n v="0"/>
    <n v="0"/>
    <n v="19254531"/>
    <n v="37362235"/>
    <m/>
    <x v="1"/>
    <n v="37362235"/>
  </r>
  <r>
    <x v="1"/>
    <x v="8"/>
    <x v="8"/>
    <x v="2"/>
    <s v="Apoyo al proceso presupuestario y para mejorar la eficiencia institucional"/>
    <x v="2"/>
    <x v="34"/>
    <x v="63"/>
    <x v="69"/>
    <n v="1"/>
    <s v="Gobierno"/>
    <n v="3"/>
    <s v="Hacienda"/>
    <n v="3"/>
    <x v="22"/>
    <x v="3"/>
    <x v="12"/>
    <n v="1"/>
    <s v="Gasto corriente"/>
    <x v="0"/>
    <x v="0"/>
    <x v="0"/>
    <x v="0"/>
    <x v="0"/>
    <x v="0"/>
    <x v="0"/>
    <m/>
    <x v="0"/>
    <x v="0"/>
    <m/>
    <n v="738876020"/>
    <n v="0"/>
    <n v="-13193905"/>
    <n v="725682115"/>
    <n v="650702672"/>
    <m/>
    <x v="1"/>
    <n v="650702672"/>
  </r>
  <r>
    <x v="1"/>
    <x v="8"/>
    <x v="8"/>
    <x v="2"/>
    <s v="Apoyo al proceso presupuestario y para mejorar la eficiencia institucional"/>
    <x v="2"/>
    <x v="34"/>
    <x v="64"/>
    <x v="71"/>
    <n v="1"/>
    <s v="Gobierno"/>
    <n v="3"/>
    <s v="Hacienda"/>
    <n v="3"/>
    <x v="22"/>
    <x v="3"/>
    <x v="12"/>
    <n v="1"/>
    <s v="Gasto corriente"/>
    <x v="0"/>
    <x v="1"/>
    <x v="0"/>
    <x v="0"/>
    <x v="0"/>
    <x v="0"/>
    <x v="0"/>
    <m/>
    <x v="0"/>
    <x v="0"/>
    <m/>
    <n v="4915167"/>
    <n v="0"/>
    <n v="0"/>
    <n v="4915167"/>
    <n v="4366506"/>
    <m/>
    <x v="1"/>
    <n v="4366506"/>
  </r>
  <r>
    <x v="1"/>
    <x v="8"/>
    <x v="8"/>
    <x v="2"/>
    <s v="Apoyo al proceso presupuestario y para mejorar la eficiencia institucional"/>
    <x v="2"/>
    <x v="34"/>
    <x v="64"/>
    <x v="71"/>
    <n v="1"/>
    <s v="Gobierno"/>
    <n v="3"/>
    <s v="Hacienda"/>
    <n v="3"/>
    <x v="22"/>
    <x v="3"/>
    <x v="12"/>
    <n v="1"/>
    <s v="Gasto corriente"/>
    <x v="0"/>
    <x v="0"/>
    <x v="0"/>
    <x v="0"/>
    <x v="0"/>
    <x v="0"/>
    <x v="0"/>
    <m/>
    <x v="0"/>
    <x v="0"/>
    <m/>
    <n v="136500089"/>
    <n v="0"/>
    <n v="-500000"/>
    <n v="136000089"/>
    <n v="101773556"/>
    <m/>
    <x v="1"/>
    <n v="101773556"/>
  </r>
  <r>
    <x v="1"/>
    <x v="8"/>
    <x v="8"/>
    <x v="2"/>
    <s v="Apoyo al proceso presupuestario y para mejorar la eficiencia institucional"/>
    <x v="2"/>
    <x v="34"/>
    <x v="97"/>
    <x v="156"/>
    <n v="2"/>
    <s v="Desarrollo Social"/>
    <n v="5"/>
    <s v="Asistencia Social"/>
    <n v="2"/>
    <x v="21"/>
    <x v="3"/>
    <x v="12"/>
    <n v="1"/>
    <s v="Gasto corriente"/>
    <x v="0"/>
    <x v="1"/>
    <x v="1"/>
    <x v="0"/>
    <x v="1"/>
    <x v="0"/>
    <x v="0"/>
    <m/>
    <x v="0"/>
    <x v="0"/>
    <m/>
    <n v="3389105"/>
    <n v="0"/>
    <n v="0"/>
    <n v="3389105"/>
    <n v="5716993"/>
    <m/>
    <x v="1"/>
    <n v="5716993"/>
  </r>
  <r>
    <x v="1"/>
    <x v="8"/>
    <x v="8"/>
    <x v="2"/>
    <s v="Apoyo al proceso presupuestario y para mejorar la eficiencia institucional"/>
    <x v="2"/>
    <x v="34"/>
    <x v="97"/>
    <x v="156"/>
    <n v="2"/>
    <s v="Desarrollo Social"/>
    <n v="5"/>
    <s v="Asistencia Social"/>
    <n v="2"/>
    <x v="21"/>
    <x v="3"/>
    <x v="12"/>
    <n v="1"/>
    <s v="Gasto corriente"/>
    <x v="0"/>
    <x v="0"/>
    <x v="1"/>
    <x v="0"/>
    <x v="1"/>
    <x v="0"/>
    <x v="0"/>
    <m/>
    <x v="0"/>
    <x v="0"/>
    <m/>
    <n v="190089042"/>
    <n v="0"/>
    <n v="-1932174"/>
    <n v="188156868"/>
    <n v="144937139"/>
    <m/>
    <x v="1"/>
    <n v="144937139"/>
  </r>
  <r>
    <x v="1"/>
    <x v="8"/>
    <x v="8"/>
    <x v="2"/>
    <s v="Apoyo al proceso presupuestario y para mejorar la eficiencia institucional"/>
    <x v="2"/>
    <x v="34"/>
    <x v="88"/>
    <x v="147"/>
    <n v="1"/>
    <s v="Gobierno"/>
    <n v="4"/>
    <s v="Gobernación"/>
    <n v="3"/>
    <x v="9"/>
    <x v="3"/>
    <x v="12"/>
    <n v="1"/>
    <s v="Gasto corriente"/>
    <x v="0"/>
    <x v="0"/>
    <x v="0"/>
    <x v="0"/>
    <x v="0"/>
    <x v="0"/>
    <x v="0"/>
    <m/>
    <x v="0"/>
    <x v="0"/>
    <m/>
    <n v="4891210"/>
    <n v="0"/>
    <n v="0"/>
    <n v="4891210"/>
    <n v="7564986"/>
    <m/>
    <x v="1"/>
    <n v="7564986"/>
  </r>
  <r>
    <x v="1"/>
    <x v="8"/>
    <x v="8"/>
    <x v="2"/>
    <s v="Apoyo al proceso presupuestario y para mejorar la eficiencia institucional"/>
    <x v="2"/>
    <x v="34"/>
    <x v="31"/>
    <x v="164"/>
    <n v="1"/>
    <s v="Gobierno"/>
    <n v="3"/>
    <s v="Hacienda"/>
    <n v="6"/>
    <x v="17"/>
    <x v="3"/>
    <x v="12"/>
    <n v="1"/>
    <s v="Gasto corriente"/>
    <x v="0"/>
    <x v="1"/>
    <x v="0"/>
    <x v="0"/>
    <x v="0"/>
    <x v="0"/>
    <x v="0"/>
    <m/>
    <x v="0"/>
    <x v="0"/>
    <m/>
    <n v="7575644"/>
    <n v="0"/>
    <n v="0"/>
    <n v="7575644"/>
    <n v="1295400"/>
    <m/>
    <x v="1"/>
    <n v="1295400"/>
  </r>
  <r>
    <x v="1"/>
    <x v="8"/>
    <x v="8"/>
    <x v="2"/>
    <s v="Apoyo al proceso presupuestario y para mejorar la eficiencia institucional"/>
    <x v="2"/>
    <x v="34"/>
    <x v="31"/>
    <x v="164"/>
    <n v="1"/>
    <s v="Gobierno"/>
    <n v="3"/>
    <s v="Hacienda"/>
    <n v="6"/>
    <x v="17"/>
    <x v="3"/>
    <x v="12"/>
    <n v="1"/>
    <s v="Gasto corriente"/>
    <x v="0"/>
    <x v="0"/>
    <x v="0"/>
    <x v="0"/>
    <x v="0"/>
    <x v="0"/>
    <x v="0"/>
    <m/>
    <x v="0"/>
    <x v="0"/>
    <m/>
    <n v="135737515"/>
    <n v="0"/>
    <n v="-5298980"/>
    <n v="130438535"/>
    <n v="145951930"/>
    <m/>
    <x v="1"/>
    <n v="145951930"/>
  </r>
  <r>
    <x v="1"/>
    <x v="8"/>
    <x v="8"/>
    <x v="2"/>
    <s v="Apoyo al proceso presupuestario y para mejorar la eficiencia institucional"/>
    <x v="2"/>
    <x v="34"/>
    <x v="32"/>
    <x v="163"/>
    <n v="1"/>
    <s v="Gobierno"/>
    <n v="3"/>
    <s v="Hacienda"/>
    <n v="6"/>
    <x v="17"/>
    <x v="3"/>
    <x v="12"/>
    <n v="1"/>
    <s v="Gasto corriente"/>
    <x v="0"/>
    <x v="1"/>
    <x v="0"/>
    <x v="0"/>
    <x v="0"/>
    <x v="0"/>
    <x v="0"/>
    <m/>
    <x v="0"/>
    <x v="0"/>
    <m/>
    <n v="214164"/>
    <n v="0"/>
    <n v="0"/>
    <n v="214164"/>
    <n v="502829"/>
    <m/>
    <x v="1"/>
    <n v="502829"/>
  </r>
  <r>
    <x v="1"/>
    <x v="8"/>
    <x v="8"/>
    <x v="2"/>
    <s v="Apoyo al proceso presupuestario y para mejorar la eficiencia institucional"/>
    <x v="2"/>
    <x v="34"/>
    <x v="32"/>
    <x v="163"/>
    <n v="1"/>
    <s v="Gobierno"/>
    <n v="3"/>
    <s v="Hacienda"/>
    <n v="6"/>
    <x v="17"/>
    <x v="3"/>
    <x v="12"/>
    <n v="1"/>
    <s v="Gasto corriente"/>
    <x v="0"/>
    <x v="0"/>
    <x v="0"/>
    <x v="0"/>
    <x v="0"/>
    <x v="0"/>
    <x v="0"/>
    <m/>
    <x v="0"/>
    <x v="0"/>
    <m/>
    <n v="5969495"/>
    <n v="0"/>
    <n v="-521308"/>
    <n v="5448187"/>
    <n v="9710195"/>
    <m/>
    <x v="1"/>
    <n v="9710195"/>
  </r>
  <r>
    <x v="1"/>
    <x v="8"/>
    <x v="8"/>
    <x v="2"/>
    <s v="Apoyo al proceso presupuestario y para mejorar la eficiencia institucional"/>
    <x v="2"/>
    <x v="34"/>
    <x v="40"/>
    <x v="162"/>
    <n v="1"/>
    <s v="Gobierno"/>
    <n v="3"/>
    <s v="Hacienda"/>
    <n v="6"/>
    <x v="17"/>
    <x v="3"/>
    <x v="12"/>
    <n v="1"/>
    <s v="Gasto corriente"/>
    <x v="0"/>
    <x v="1"/>
    <x v="0"/>
    <x v="0"/>
    <x v="0"/>
    <x v="0"/>
    <x v="0"/>
    <m/>
    <x v="0"/>
    <x v="0"/>
    <m/>
    <n v="293280"/>
    <n v="0"/>
    <n v="0"/>
    <n v="293280"/>
    <n v="362200"/>
    <m/>
    <x v="1"/>
    <n v="362200"/>
  </r>
  <r>
    <x v="1"/>
    <x v="8"/>
    <x v="8"/>
    <x v="2"/>
    <s v="Apoyo al proceso presupuestario y para mejorar la eficiencia institucional"/>
    <x v="2"/>
    <x v="34"/>
    <x v="40"/>
    <x v="162"/>
    <n v="1"/>
    <s v="Gobierno"/>
    <n v="3"/>
    <s v="Hacienda"/>
    <n v="6"/>
    <x v="17"/>
    <x v="3"/>
    <x v="12"/>
    <n v="1"/>
    <s v="Gasto corriente"/>
    <x v="0"/>
    <x v="0"/>
    <x v="0"/>
    <x v="0"/>
    <x v="0"/>
    <x v="0"/>
    <x v="0"/>
    <m/>
    <x v="0"/>
    <x v="0"/>
    <m/>
    <n v="12192504"/>
    <n v="0"/>
    <n v="0"/>
    <n v="12192504"/>
    <n v="14200191"/>
    <m/>
    <x v="1"/>
    <n v="14200191"/>
  </r>
  <r>
    <x v="1"/>
    <x v="8"/>
    <x v="8"/>
    <x v="2"/>
    <s v="Apoyo al proceso presupuestario y para mejorar la eficiencia institucional"/>
    <x v="2"/>
    <x v="34"/>
    <x v="92"/>
    <x v="151"/>
    <n v="1"/>
    <s v="Gobierno"/>
    <n v="3"/>
    <s v="Hacienda"/>
    <n v="1"/>
    <x v="18"/>
    <x v="3"/>
    <x v="12"/>
    <n v="1"/>
    <s v="Gasto corriente"/>
    <x v="0"/>
    <x v="1"/>
    <x v="0"/>
    <x v="0"/>
    <x v="0"/>
    <x v="0"/>
    <x v="0"/>
    <m/>
    <x v="0"/>
    <x v="0"/>
    <m/>
    <n v="56949625"/>
    <n v="0"/>
    <n v="0"/>
    <n v="56949625"/>
    <n v="56949625"/>
    <m/>
    <x v="1"/>
    <n v="56949625"/>
  </r>
  <r>
    <x v="1"/>
    <x v="8"/>
    <x v="8"/>
    <x v="2"/>
    <s v="Apoyo al proceso presupuestario y para mejorar la eficiencia institucional"/>
    <x v="2"/>
    <x v="34"/>
    <x v="92"/>
    <x v="151"/>
    <n v="1"/>
    <s v="Gobierno"/>
    <n v="3"/>
    <s v="Hacienda"/>
    <n v="1"/>
    <x v="18"/>
    <x v="3"/>
    <x v="12"/>
    <n v="1"/>
    <s v="Gasto corriente"/>
    <x v="0"/>
    <x v="0"/>
    <x v="0"/>
    <x v="0"/>
    <x v="0"/>
    <x v="0"/>
    <x v="0"/>
    <m/>
    <x v="0"/>
    <x v="0"/>
    <m/>
    <n v="1358879585"/>
    <n v="0"/>
    <n v="-133819757"/>
    <n v="1225059828"/>
    <n v="711169978"/>
    <m/>
    <x v="1"/>
    <n v="711169978"/>
  </r>
  <r>
    <x v="1"/>
    <x v="8"/>
    <x v="8"/>
    <x v="2"/>
    <s v="Apoyo al proceso presupuestario y para mejorar la eficiencia institucional"/>
    <x v="2"/>
    <x v="34"/>
    <x v="91"/>
    <x v="150"/>
    <n v="1"/>
    <s v="Gobierno"/>
    <n v="3"/>
    <s v="Hacienda"/>
    <n v="6"/>
    <x v="17"/>
    <x v="3"/>
    <x v="12"/>
    <n v="1"/>
    <s v="Gasto corriente"/>
    <x v="0"/>
    <x v="1"/>
    <x v="0"/>
    <x v="0"/>
    <x v="0"/>
    <x v="0"/>
    <x v="0"/>
    <m/>
    <x v="0"/>
    <x v="0"/>
    <m/>
    <n v="655864"/>
    <n v="0"/>
    <n v="0"/>
    <n v="655864"/>
    <n v="981972"/>
    <m/>
    <x v="1"/>
    <n v="981972"/>
  </r>
  <r>
    <x v="1"/>
    <x v="8"/>
    <x v="8"/>
    <x v="2"/>
    <s v="Apoyo al proceso presupuestario y para mejorar la eficiencia institucional"/>
    <x v="2"/>
    <x v="34"/>
    <x v="91"/>
    <x v="150"/>
    <n v="1"/>
    <s v="Gobierno"/>
    <n v="3"/>
    <s v="Hacienda"/>
    <n v="6"/>
    <x v="17"/>
    <x v="3"/>
    <x v="12"/>
    <n v="1"/>
    <s v="Gasto corriente"/>
    <x v="0"/>
    <x v="0"/>
    <x v="0"/>
    <x v="0"/>
    <x v="0"/>
    <x v="0"/>
    <x v="0"/>
    <m/>
    <x v="0"/>
    <x v="0"/>
    <m/>
    <n v="30198034"/>
    <n v="0"/>
    <n v="-1588201"/>
    <n v="28609833"/>
    <n v="33850833"/>
    <m/>
    <x v="1"/>
    <n v="33850833"/>
  </r>
  <r>
    <x v="1"/>
    <x v="8"/>
    <x v="8"/>
    <x v="2"/>
    <s v="Apoyo al proceso presupuestario y para mejorar la eficiencia institucional"/>
    <x v="2"/>
    <x v="34"/>
    <x v="99"/>
    <x v="168"/>
    <n v="2"/>
    <s v="Desarrollo Social"/>
    <n v="3"/>
    <s v="Urbanización, Vivienda y Desarrollo Regional"/>
    <n v="2"/>
    <x v="23"/>
    <x v="3"/>
    <x v="12"/>
    <n v="1"/>
    <s v="Gasto corriente"/>
    <x v="0"/>
    <x v="1"/>
    <x v="0"/>
    <x v="0"/>
    <x v="0"/>
    <x v="0"/>
    <x v="0"/>
    <m/>
    <x v="0"/>
    <x v="0"/>
    <m/>
    <n v="271054"/>
    <n v="0"/>
    <n v="0"/>
    <n v="271054"/>
    <n v="254474"/>
    <m/>
    <x v="1"/>
    <n v="254474"/>
  </r>
  <r>
    <x v="1"/>
    <x v="8"/>
    <x v="8"/>
    <x v="2"/>
    <s v="Apoyo al proceso presupuestario y para mejorar la eficiencia institucional"/>
    <x v="2"/>
    <x v="34"/>
    <x v="99"/>
    <x v="168"/>
    <n v="2"/>
    <s v="Desarrollo Social"/>
    <n v="3"/>
    <s v="Urbanización, Vivienda y Desarrollo Regional"/>
    <n v="2"/>
    <x v="23"/>
    <x v="3"/>
    <x v="12"/>
    <n v="1"/>
    <s v="Gasto corriente"/>
    <x v="0"/>
    <x v="0"/>
    <x v="0"/>
    <x v="0"/>
    <x v="0"/>
    <x v="0"/>
    <x v="0"/>
    <m/>
    <x v="0"/>
    <x v="0"/>
    <m/>
    <n v="31691608"/>
    <n v="0"/>
    <n v="-1275378"/>
    <n v="30416230"/>
    <n v="27656386"/>
    <m/>
    <x v="1"/>
    <n v="27656386"/>
  </r>
  <r>
    <x v="1"/>
    <x v="8"/>
    <x v="8"/>
    <x v="2"/>
    <s v="Apoyo al proceso presupuestario y para mejorar la eficiencia institucional"/>
    <x v="2"/>
    <x v="34"/>
    <x v="89"/>
    <x v="148"/>
    <n v="1"/>
    <s v="Gobierno"/>
    <n v="4"/>
    <s v="Gobernación"/>
    <n v="8"/>
    <x v="16"/>
    <x v="3"/>
    <x v="12"/>
    <n v="1"/>
    <s v="Gasto corriente"/>
    <x v="0"/>
    <x v="1"/>
    <x v="0"/>
    <x v="0"/>
    <x v="0"/>
    <x v="0"/>
    <x v="0"/>
    <m/>
    <x v="0"/>
    <x v="0"/>
    <m/>
    <n v="533647"/>
    <n v="0"/>
    <n v="0"/>
    <n v="533647"/>
    <n v="612328"/>
    <m/>
    <x v="1"/>
    <n v="612328"/>
  </r>
  <r>
    <x v="1"/>
    <x v="8"/>
    <x v="8"/>
    <x v="2"/>
    <s v="Apoyo al proceso presupuestario y para mejorar la eficiencia institucional"/>
    <x v="2"/>
    <x v="34"/>
    <x v="89"/>
    <x v="148"/>
    <n v="1"/>
    <s v="Gobierno"/>
    <n v="4"/>
    <s v="Gobernación"/>
    <n v="8"/>
    <x v="16"/>
    <x v="3"/>
    <x v="12"/>
    <n v="1"/>
    <s v="Gasto corriente"/>
    <x v="0"/>
    <x v="0"/>
    <x v="0"/>
    <x v="0"/>
    <x v="0"/>
    <x v="0"/>
    <x v="0"/>
    <m/>
    <x v="0"/>
    <x v="0"/>
    <m/>
    <n v="13860717"/>
    <n v="0"/>
    <n v="0"/>
    <n v="13860717"/>
    <n v="6326960"/>
    <m/>
    <x v="17"/>
    <n v="76326960"/>
  </r>
  <r>
    <x v="1"/>
    <x v="8"/>
    <x v="8"/>
    <x v="2"/>
    <s v="Apoyo al proceso presupuestario y para mejorar la eficiencia institucional"/>
    <x v="2"/>
    <x v="34"/>
    <x v="100"/>
    <x v="169"/>
    <n v="1"/>
    <s v="Gobierno"/>
    <n v="4"/>
    <s v="Gobernación"/>
    <n v="2"/>
    <x v="8"/>
    <x v="3"/>
    <x v="12"/>
    <n v="1"/>
    <s v="Gasto corriente"/>
    <x v="0"/>
    <x v="0"/>
    <x v="0"/>
    <x v="0"/>
    <x v="0"/>
    <x v="0"/>
    <x v="1"/>
    <m/>
    <x v="0"/>
    <x v="0"/>
    <m/>
    <n v="15071745"/>
    <n v="0"/>
    <n v="0"/>
    <n v="15071745"/>
    <n v="12994549"/>
    <m/>
    <x v="1"/>
    <n v="12994549"/>
  </r>
  <r>
    <x v="1"/>
    <x v="8"/>
    <x v="8"/>
    <x v="2"/>
    <s v="Apoyo al proceso presupuestario y para mejorar la eficiencia institucional"/>
    <x v="2"/>
    <x v="34"/>
    <x v="98"/>
    <x v="157"/>
    <n v="1"/>
    <s v="Gobierno"/>
    <n v="9"/>
    <s v="Otros Bienes y Servicios Públicos"/>
    <n v="3"/>
    <x v="14"/>
    <x v="3"/>
    <x v="12"/>
    <n v="1"/>
    <s v="Gasto corriente"/>
    <x v="0"/>
    <x v="0"/>
    <x v="0"/>
    <x v="0"/>
    <x v="0"/>
    <x v="0"/>
    <x v="0"/>
    <m/>
    <x v="0"/>
    <x v="0"/>
    <m/>
    <n v="33527713"/>
    <n v="0"/>
    <n v="0"/>
    <n v="33527713"/>
    <n v="41233859"/>
    <m/>
    <x v="1"/>
    <n v="41233859"/>
  </r>
  <r>
    <x v="1"/>
    <x v="8"/>
    <x v="8"/>
    <x v="3"/>
    <s v="Apoyo a la función pública y al mejoramiento de la gestión"/>
    <x v="2"/>
    <x v="42"/>
    <x v="19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645083"/>
    <n v="0"/>
    <n v="0"/>
    <n v="2645083"/>
    <n v="2645083"/>
    <m/>
    <x v="1"/>
    <n v="2645083"/>
  </r>
  <r>
    <x v="1"/>
    <x v="8"/>
    <x v="8"/>
    <x v="3"/>
    <s v="Apoyo a la función pública y al mejoramiento de la gestión"/>
    <x v="2"/>
    <x v="42"/>
    <x v="19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9846760"/>
    <n v="0"/>
    <n v="-4946992"/>
    <n v="64899768"/>
    <n v="63281576"/>
    <m/>
    <x v="1"/>
    <n v="63281576"/>
  </r>
  <r>
    <x v="1"/>
    <x v="8"/>
    <x v="8"/>
    <x v="3"/>
    <s v="Apoyo a la función pública y al mejoramiento de la gestión"/>
    <x v="2"/>
    <x v="42"/>
    <x v="97"/>
    <x v="156"/>
    <n v="1"/>
    <s v="Gobierno"/>
    <n v="8"/>
    <s v="Administración Pública"/>
    <n v="3"/>
    <x v="6"/>
    <x v="2"/>
    <x v="13"/>
    <n v="1"/>
    <s v="Gasto corriente"/>
    <x v="0"/>
    <x v="1"/>
    <x v="1"/>
    <x v="0"/>
    <x v="1"/>
    <x v="0"/>
    <x v="0"/>
    <m/>
    <x v="0"/>
    <x v="0"/>
    <m/>
    <n v="777741"/>
    <n v="0"/>
    <n v="0"/>
    <n v="777741"/>
    <n v="670945"/>
    <m/>
    <x v="1"/>
    <n v="670945"/>
  </r>
  <r>
    <x v="1"/>
    <x v="8"/>
    <x v="8"/>
    <x v="3"/>
    <s v="Apoyo a la función pública y al mejoramiento de la gestión"/>
    <x v="2"/>
    <x v="42"/>
    <x v="97"/>
    <x v="156"/>
    <n v="1"/>
    <s v="Gobierno"/>
    <n v="8"/>
    <s v="Administración Pública"/>
    <n v="3"/>
    <x v="6"/>
    <x v="2"/>
    <x v="13"/>
    <n v="1"/>
    <s v="Gasto corriente"/>
    <x v="0"/>
    <x v="0"/>
    <x v="1"/>
    <x v="0"/>
    <x v="1"/>
    <x v="0"/>
    <x v="0"/>
    <m/>
    <x v="0"/>
    <x v="0"/>
    <m/>
    <n v="13773278"/>
    <n v="0"/>
    <n v="-852758"/>
    <n v="12920520"/>
    <n v="11129557"/>
    <m/>
    <x v="1"/>
    <n v="11129557"/>
  </r>
  <r>
    <x v="1"/>
    <x v="8"/>
    <x v="8"/>
    <x v="3"/>
    <s v="Apoyo a la función pública y al mejoramiento de la gestión"/>
    <x v="2"/>
    <x v="42"/>
    <x v="88"/>
    <x v="14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343672"/>
    <n v="0"/>
    <n v="0"/>
    <n v="3343672"/>
    <n v="3343672"/>
    <m/>
    <x v="1"/>
    <n v="3343672"/>
  </r>
  <r>
    <x v="1"/>
    <x v="8"/>
    <x v="8"/>
    <x v="3"/>
    <s v="Apoyo a la función pública y al mejoramiento de la gestión"/>
    <x v="2"/>
    <x v="42"/>
    <x v="31"/>
    <x v="164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873578"/>
    <n v="0"/>
    <n v="0"/>
    <n v="873578"/>
    <n v="378610"/>
    <m/>
    <x v="1"/>
    <n v="378610"/>
  </r>
  <r>
    <x v="1"/>
    <x v="8"/>
    <x v="8"/>
    <x v="3"/>
    <s v="Apoyo a la función pública y al mejoramiento de la gestión"/>
    <x v="2"/>
    <x v="42"/>
    <x v="31"/>
    <x v="16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9490624"/>
    <n v="0"/>
    <n v="-557787"/>
    <n v="18932837"/>
    <n v="16720444"/>
    <m/>
    <x v="1"/>
    <n v="16720444"/>
  </r>
  <r>
    <x v="1"/>
    <x v="8"/>
    <x v="8"/>
    <x v="3"/>
    <s v="Apoyo a la función pública y al mejoramiento de la gestión"/>
    <x v="2"/>
    <x v="42"/>
    <x v="32"/>
    <x v="163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32917"/>
    <n v="0"/>
    <n v="0"/>
    <n v="232917"/>
    <n v="271994"/>
    <m/>
    <x v="1"/>
    <n v="271994"/>
  </r>
  <r>
    <x v="1"/>
    <x v="8"/>
    <x v="8"/>
    <x v="3"/>
    <s v="Apoyo a la función pública y al mejoramiento de la gestión"/>
    <x v="2"/>
    <x v="42"/>
    <x v="32"/>
    <x v="16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1526043"/>
    <n v="0"/>
    <n v="-575449"/>
    <n v="10950594"/>
    <n v="10327374"/>
    <m/>
    <x v="1"/>
    <n v="10327374"/>
  </r>
  <r>
    <x v="1"/>
    <x v="8"/>
    <x v="8"/>
    <x v="3"/>
    <s v="Apoyo a la función pública y al mejoramiento de la gestión"/>
    <x v="2"/>
    <x v="42"/>
    <x v="40"/>
    <x v="16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10880"/>
    <n v="0"/>
    <n v="0"/>
    <n v="110880"/>
    <n v="92064"/>
    <m/>
    <x v="1"/>
    <n v="92064"/>
  </r>
  <r>
    <x v="1"/>
    <x v="8"/>
    <x v="8"/>
    <x v="3"/>
    <s v="Apoyo a la función pública y al mejoramiento de la gestión"/>
    <x v="2"/>
    <x v="42"/>
    <x v="40"/>
    <x v="16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180088"/>
    <n v="0"/>
    <n v="0"/>
    <n v="6180088"/>
    <n v="6198904"/>
    <m/>
    <x v="1"/>
    <n v="6198904"/>
  </r>
  <r>
    <x v="1"/>
    <x v="8"/>
    <x v="8"/>
    <x v="3"/>
    <s v="Apoyo a la función pública y al mejoramiento de la gestión"/>
    <x v="2"/>
    <x v="42"/>
    <x v="92"/>
    <x v="151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6154667"/>
    <n v="0"/>
    <n v="0"/>
    <n v="6154667"/>
    <n v="6154667"/>
    <m/>
    <x v="1"/>
    <n v="6154667"/>
  </r>
  <r>
    <x v="1"/>
    <x v="8"/>
    <x v="8"/>
    <x v="3"/>
    <s v="Apoyo a la función pública y al mejoramiento de la gestión"/>
    <x v="2"/>
    <x v="42"/>
    <x v="92"/>
    <x v="15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17676503"/>
    <n v="0"/>
    <n v="-2000000"/>
    <n v="115676503"/>
    <n v="92306655"/>
    <m/>
    <x v="1"/>
    <n v="92306655"/>
  </r>
  <r>
    <x v="1"/>
    <x v="8"/>
    <x v="8"/>
    <x v="3"/>
    <s v="Apoyo a la función pública y al mejoramiento de la gestión"/>
    <x v="2"/>
    <x v="42"/>
    <x v="91"/>
    <x v="15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05048"/>
    <n v="0"/>
    <n v="0"/>
    <n v="105048"/>
    <n v="105791"/>
    <m/>
    <x v="1"/>
    <n v="105791"/>
  </r>
  <r>
    <x v="1"/>
    <x v="8"/>
    <x v="8"/>
    <x v="3"/>
    <s v="Apoyo a la función pública y al mejoramiento de la gestión"/>
    <x v="2"/>
    <x v="42"/>
    <x v="91"/>
    <x v="15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8068767"/>
    <n v="0"/>
    <n v="-288448"/>
    <n v="7780319"/>
    <n v="7779576"/>
    <m/>
    <x v="1"/>
    <n v="7779576"/>
  </r>
  <r>
    <x v="1"/>
    <x v="8"/>
    <x v="8"/>
    <x v="3"/>
    <s v="Apoyo a la función pública y al mejoramiento de la gestión"/>
    <x v="2"/>
    <x v="42"/>
    <x v="99"/>
    <x v="16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89891"/>
    <n v="0"/>
    <n v="0"/>
    <n v="89891"/>
    <n v="81008"/>
    <m/>
    <x v="1"/>
    <n v="81008"/>
  </r>
  <r>
    <x v="1"/>
    <x v="8"/>
    <x v="8"/>
    <x v="3"/>
    <s v="Apoyo a la función pública y al mejoramiento de la gestión"/>
    <x v="2"/>
    <x v="42"/>
    <x v="99"/>
    <x v="16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827157"/>
    <n v="0"/>
    <n v="0"/>
    <n v="2827157"/>
    <n v="2567366"/>
    <m/>
    <x v="1"/>
    <n v="2567366"/>
  </r>
  <r>
    <x v="1"/>
    <x v="8"/>
    <x v="8"/>
    <x v="3"/>
    <s v="Apoyo a la función pública y al mejoramiento de la gestión"/>
    <x v="2"/>
    <x v="42"/>
    <x v="89"/>
    <x v="14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31967"/>
    <n v="0"/>
    <n v="0"/>
    <n v="131967"/>
    <n v="171153"/>
    <m/>
    <x v="1"/>
    <n v="171153"/>
  </r>
  <r>
    <x v="1"/>
    <x v="8"/>
    <x v="8"/>
    <x v="3"/>
    <s v="Apoyo a la función pública y al mejoramiento de la gestión"/>
    <x v="2"/>
    <x v="42"/>
    <x v="89"/>
    <x v="14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5260555"/>
    <n v="0"/>
    <n v="0"/>
    <n v="5260555"/>
    <n v="5221369"/>
    <m/>
    <x v="1"/>
    <n v="5221369"/>
  </r>
  <r>
    <x v="1"/>
    <x v="8"/>
    <x v="8"/>
    <x v="3"/>
    <s v="Apoyo a la función pública y al mejoramiento de la gestión"/>
    <x v="2"/>
    <x v="42"/>
    <x v="100"/>
    <x v="16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1"/>
    <m/>
    <x v="0"/>
    <x v="0"/>
    <m/>
    <n v="7046789"/>
    <n v="0"/>
    <n v="0"/>
    <n v="7046789"/>
    <n v="6867778"/>
    <m/>
    <x v="1"/>
    <n v="6867778"/>
  </r>
  <r>
    <x v="1"/>
    <x v="8"/>
    <x v="8"/>
    <x v="3"/>
    <s v="Apoyo a la función pública y al mejoramiento de la gestión"/>
    <x v="2"/>
    <x v="42"/>
    <x v="98"/>
    <x v="15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5033069"/>
    <n v="0"/>
    <n v="0"/>
    <n v="35033069"/>
    <n v="35033069"/>
    <m/>
    <x v="1"/>
    <n v="35033069"/>
  </r>
  <r>
    <x v="1"/>
    <x v="8"/>
    <x v="8"/>
    <x v="3"/>
    <s v="Apoyo a la función pública y al mejoramiento de la gestión"/>
    <x v="32"/>
    <x v="121"/>
    <x v="63"/>
    <x v="69"/>
    <n v="1"/>
    <s v="Gobierno"/>
    <n v="8"/>
    <s v="Administración Pública"/>
    <n v="3"/>
    <x v="6"/>
    <x v="4"/>
    <x v="50"/>
    <n v="1"/>
    <s v="Gasto corriente"/>
    <x v="0"/>
    <x v="0"/>
    <x v="0"/>
    <x v="0"/>
    <x v="0"/>
    <x v="0"/>
    <x v="0"/>
    <m/>
    <x v="0"/>
    <x v="0"/>
    <m/>
    <n v="17257395"/>
    <n v="0"/>
    <n v="0"/>
    <n v="17257395"/>
    <n v="13280000"/>
    <m/>
    <x v="1"/>
    <n v="13280000"/>
  </r>
  <r>
    <x v="1"/>
    <x v="8"/>
    <x v="8"/>
    <x v="3"/>
    <s v="Apoyo a la función pública y al mejoramiento de la gestión"/>
    <x v="32"/>
    <x v="121"/>
    <x v="92"/>
    <x v="15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m/>
    <m/>
    <m/>
    <m/>
    <n v="2124000"/>
    <m/>
    <x v="1"/>
    <n v="2124000"/>
  </r>
  <r>
    <x v="1"/>
    <x v="8"/>
    <x v="8"/>
    <x v="5"/>
    <s v="Planeación, seguimiento y evaluación de políticas públicas"/>
    <x v="2"/>
    <x v="122"/>
    <x v="23"/>
    <x v="170"/>
    <n v="1"/>
    <s v="Gobierno"/>
    <n v="3"/>
    <s v="Hacienda"/>
    <n v="1"/>
    <x v="18"/>
    <x v="1"/>
    <x v="45"/>
    <n v="1"/>
    <s v="Gasto corriente"/>
    <x v="0"/>
    <x v="1"/>
    <x v="0"/>
    <x v="0"/>
    <x v="0"/>
    <x v="0"/>
    <x v="0"/>
    <m/>
    <x v="0"/>
    <x v="0"/>
    <m/>
    <n v="1014119"/>
    <n v="0"/>
    <n v="0"/>
    <n v="1014119"/>
    <n v="972286"/>
    <m/>
    <x v="1"/>
    <n v="972286"/>
  </r>
  <r>
    <x v="1"/>
    <x v="8"/>
    <x v="8"/>
    <x v="5"/>
    <s v="Planeación, seguimiento y evaluación de políticas públicas"/>
    <x v="2"/>
    <x v="122"/>
    <x v="23"/>
    <x v="170"/>
    <n v="1"/>
    <s v="Gobierno"/>
    <n v="3"/>
    <s v="Hacienda"/>
    <n v="1"/>
    <x v="18"/>
    <x v="1"/>
    <x v="45"/>
    <n v="1"/>
    <s v="Gasto corriente"/>
    <x v="0"/>
    <x v="0"/>
    <x v="0"/>
    <x v="0"/>
    <x v="0"/>
    <x v="0"/>
    <x v="0"/>
    <m/>
    <x v="0"/>
    <x v="0"/>
    <m/>
    <n v="202033991"/>
    <n v="0"/>
    <n v="-4875628"/>
    <n v="197158363"/>
    <n v="202806024"/>
    <m/>
    <x v="1"/>
    <n v="202806024"/>
  </r>
  <r>
    <x v="1"/>
    <x v="8"/>
    <x v="8"/>
    <x v="5"/>
    <s v="Planeación, seguimiento y evaluación de políticas públicas"/>
    <x v="2"/>
    <x v="122"/>
    <x v="7"/>
    <x v="171"/>
    <n v="1"/>
    <s v="Gobierno"/>
    <n v="3"/>
    <s v="Hacienda"/>
    <n v="1"/>
    <x v="18"/>
    <x v="1"/>
    <x v="45"/>
    <n v="1"/>
    <s v="Gasto corriente"/>
    <x v="0"/>
    <x v="1"/>
    <x v="0"/>
    <x v="0"/>
    <x v="0"/>
    <x v="0"/>
    <x v="0"/>
    <m/>
    <x v="0"/>
    <x v="0"/>
    <m/>
    <n v="1458717"/>
    <n v="0"/>
    <n v="0"/>
    <n v="1458717"/>
    <n v="1431236"/>
    <m/>
    <x v="1"/>
    <n v="1431236"/>
  </r>
  <r>
    <x v="1"/>
    <x v="8"/>
    <x v="8"/>
    <x v="5"/>
    <s v="Planeación, seguimiento y evaluación de políticas públicas"/>
    <x v="2"/>
    <x v="122"/>
    <x v="7"/>
    <x v="171"/>
    <n v="1"/>
    <s v="Gobierno"/>
    <n v="3"/>
    <s v="Hacienda"/>
    <n v="1"/>
    <x v="18"/>
    <x v="1"/>
    <x v="45"/>
    <n v="1"/>
    <s v="Gasto corriente"/>
    <x v="0"/>
    <x v="0"/>
    <x v="0"/>
    <x v="0"/>
    <x v="0"/>
    <x v="0"/>
    <x v="0"/>
    <m/>
    <x v="0"/>
    <x v="0"/>
    <m/>
    <n v="57714537"/>
    <n v="0"/>
    <n v="-4173522"/>
    <n v="53541015"/>
    <n v="61284722"/>
    <m/>
    <x v="1"/>
    <n v="61284722"/>
  </r>
  <r>
    <x v="1"/>
    <x v="8"/>
    <x v="8"/>
    <x v="5"/>
    <s v="Planeación, seguimiento y evaluación de políticas públicas"/>
    <x v="2"/>
    <x v="122"/>
    <x v="7"/>
    <x v="171"/>
    <n v="1"/>
    <s v="Gobierno"/>
    <n v="3"/>
    <s v="Hacienda"/>
    <n v="1"/>
    <x v="18"/>
    <x v="1"/>
    <x v="45"/>
    <n v="2"/>
    <s v="Gasto de capital"/>
    <x v="0"/>
    <x v="0"/>
    <x v="0"/>
    <x v="0"/>
    <x v="0"/>
    <x v="0"/>
    <x v="0"/>
    <m/>
    <x v="0"/>
    <x v="0"/>
    <m/>
    <n v="5900000"/>
    <n v="0"/>
    <n v="0"/>
    <n v="5900000"/>
    <n v="4000000"/>
    <m/>
    <x v="1"/>
    <n v="4000000"/>
  </r>
  <r>
    <x v="1"/>
    <x v="8"/>
    <x v="8"/>
    <x v="5"/>
    <s v="Planeación, seguimiento y evaluación de políticas públicas"/>
    <x v="2"/>
    <x v="122"/>
    <x v="53"/>
    <x v="172"/>
    <n v="1"/>
    <s v="Gobierno"/>
    <n v="3"/>
    <s v="Hacienda"/>
    <n v="1"/>
    <x v="18"/>
    <x v="1"/>
    <x v="45"/>
    <n v="1"/>
    <s v="Gasto corriente"/>
    <x v="0"/>
    <x v="1"/>
    <x v="0"/>
    <x v="0"/>
    <x v="0"/>
    <x v="0"/>
    <x v="0"/>
    <m/>
    <x v="0"/>
    <x v="0"/>
    <m/>
    <n v="2289431"/>
    <n v="0"/>
    <n v="0"/>
    <n v="2289431"/>
    <n v="2289431"/>
    <m/>
    <x v="1"/>
    <n v="2289431"/>
  </r>
  <r>
    <x v="1"/>
    <x v="8"/>
    <x v="8"/>
    <x v="5"/>
    <s v="Planeación, seguimiento y evaluación de políticas públicas"/>
    <x v="2"/>
    <x v="122"/>
    <x v="53"/>
    <x v="172"/>
    <n v="1"/>
    <s v="Gobierno"/>
    <n v="3"/>
    <s v="Hacienda"/>
    <n v="1"/>
    <x v="18"/>
    <x v="1"/>
    <x v="45"/>
    <n v="1"/>
    <s v="Gasto corriente"/>
    <x v="0"/>
    <x v="0"/>
    <x v="0"/>
    <x v="0"/>
    <x v="0"/>
    <x v="0"/>
    <x v="0"/>
    <m/>
    <x v="0"/>
    <x v="0"/>
    <m/>
    <n v="85555626"/>
    <n v="0"/>
    <n v="-7468636"/>
    <n v="78086990"/>
    <n v="81229516"/>
    <m/>
    <x v="1"/>
    <n v="81229516"/>
  </r>
  <r>
    <x v="1"/>
    <x v="8"/>
    <x v="8"/>
    <x v="5"/>
    <s v="Planeación, seguimiento y evaluación de políticas públicas"/>
    <x v="2"/>
    <x v="122"/>
    <x v="54"/>
    <x v="173"/>
    <n v="1"/>
    <s v="Gobierno"/>
    <n v="3"/>
    <s v="Hacienda"/>
    <n v="1"/>
    <x v="18"/>
    <x v="1"/>
    <x v="45"/>
    <n v="1"/>
    <s v="Gasto corriente"/>
    <x v="0"/>
    <x v="1"/>
    <x v="0"/>
    <x v="0"/>
    <x v="0"/>
    <x v="0"/>
    <x v="0"/>
    <m/>
    <x v="0"/>
    <x v="0"/>
    <m/>
    <n v="1276827"/>
    <n v="0"/>
    <n v="0"/>
    <n v="1276827"/>
    <n v="1276827"/>
    <m/>
    <x v="1"/>
    <n v="1276827"/>
  </r>
  <r>
    <x v="1"/>
    <x v="8"/>
    <x v="8"/>
    <x v="5"/>
    <s v="Planeación, seguimiento y evaluación de políticas públicas"/>
    <x v="2"/>
    <x v="122"/>
    <x v="54"/>
    <x v="173"/>
    <n v="1"/>
    <s v="Gobierno"/>
    <n v="3"/>
    <s v="Hacienda"/>
    <n v="1"/>
    <x v="18"/>
    <x v="1"/>
    <x v="45"/>
    <n v="1"/>
    <s v="Gasto corriente"/>
    <x v="0"/>
    <x v="0"/>
    <x v="0"/>
    <x v="0"/>
    <x v="0"/>
    <x v="0"/>
    <x v="0"/>
    <m/>
    <x v="0"/>
    <x v="0"/>
    <m/>
    <n v="58422851"/>
    <n v="0"/>
    <n v="-3518240"/>
    <n v="54904611"/>
    <n v="62278329"/>
    <m/>
    <x v="1"/>
    <n v="62278329"/>
  </r>
  <r>
    <x v="1"/>
    <x v="8"/>
    <x v="8"/>
    <x v="5"/>
    <s v="Planeación, seguimiento y evaluación de políticas públicas"/>
    <x v="3"/>
    <x v="123"/>
    <x v="38"/>
    <x v="174"/>
    <n v="1"/>
    <s v="Gobierno"/>
    <n v="3"/>
    <s v="Hacienda"/>
    <n v="2"/>
    <x v="24"/>
    <x v="0"/>
    <x v="51"/>
    <n v="1"/>
    <s v="Gasto corriente"/>
    <x v="0"/>
    <x v="1"/>
    <x v="0"/>
    <x v="0"/>
    <x v="0"/>
    <x v="0"/>
    <x v="0"/>
    <m/>
    <x v="0"/>
    <x v="0"/>
    <m/>
    <n v="2171792"/>
    <n v="0"/>
    <n v="0"/>
    <n v="2171792"/>
    <n v="1904955"/>
    <m/>
    <x v="1"/>
    <n v="1904955"/>
  </r>
  <r>
    <x v="1"/>
    <x v="8"/>
    <x v="8"/>
    <x v="5"/>
    <s v="Planeación, seguimiento y evaluación de políticas públicas"/>
    <x v="3"/>
    <x v="123"/>
    <x v="38"/>
    <x v="174"/>
    <n v="1"/>
    <s v="Gobierno"/>
    <n v="3"/>
    <s v="Hacienda"/>
    <n v="2"/>
    <x v="24"/>
    <x v="0"/>
    <x v="51"/>
    <n v="1"/>
    <s v="Gasto corriente"/>
    <x v="0"/>
    <x v="0"/>
    <x v="0"/>
    <x v="0"/>
    <x v="0"/>
    <x v="0"/>
    <x v="0"/>
    <m/>
    <x v="0"/>
    <x v="0"/>
    <m/>
    <n v="79689618"/>
    <n v="0"/>
    <n v="-3609742"/>
    <n v="76079876"/>
    <n v="85758429"/>
    <m/>
    <x v="1"/>
    <n v="85758429"/>
  </r>
  <r>
    <x v="1"/>
    <x v="8"/>
    <x v="8"/>
    <x v="5"/>
    <s v="Planeación, seguimiento y evaluación de políticas públicas"/>
    <x v="3"/>
    <x v="123"/>
    <x v="38"/>
    <x v="174"/>
    <n v="1"/>
    <s v="Gobierno"/>
    <n v="3"/>
    <s v="Hacienda"/>
    <n v="2"/>
    <x v="24"/>
    <x v="0"/>
    <x v="51"/>
    <n v="2"/>
    <s v="Gasto de capital"/>
    <x v="0"/>
    <x v="0"/>
    <x v="0"/>
    <x v="0"/>
    <x v="0"/>
    <x v="0"/>
    <x v="0"/>
    <m/>
    <x v="0"/>
    <x v="0"/>
    <m/>
    <m/>
    <n v="0"/>
    <n v="0"/>
    <m/>
    <n v="532875"/>
    <m/>
    <x v="1"/>
    <n v="532875"/>
  </r>
  <r>
    <x v="1"/>
    <x v="8"/>
    <x v="8"/>
    <x v="5"/>
    <s v="Planeación, seguimiento y evaluación de políticas públicas"/>
    <x v="3"/>
    <x v="123"/>
    <x v="39"/>
    <x v="175"/>
    <n v="1"/>
    <s v="Gobierno"/>
    <n v="3"/>
    <s v="Hacienda"/>
    <n v="2"/>
    <x v="24"/>
    <x v="0"/>
    <x v="51"/>
    <n v="1"/>
    <s v="Gasto corriente"/>
    <x v="0"/>
    <x v="1"/>
    <x v="0"/>
    <x v="0"/>
    <x v="0"/>
    <x v="0"/>
    <x v="0"/>
    <m/>
    <x v="0"/>
    <x v="0"/>
    <m/>
    <n v="770164"/>
    <n v="0"/>
    <n v="0"/>
    <n v="770164"/>
    <n v="742130"/>
    <m/>
    <x v="1"/>
    <n v="742130"/>
  </r>
  <r>
    <x v="1"/>
    <x v="8"/>
    <x v="8"/>
    <x v="5"/>
    <s v="Planeación, seguimiento y evaluación de políticas públicas"/>
    <x v="3"/>
    <x v="123"/>
    <x v="39"/>
    <x v="175"/>
    <n v="1"/>
    <s v="Gobierno"/>
    <n v="3"/>
    <s v="Hacienda"/>
    <n v="2"/>
    <x v="24"/>
    <x v="0"/>
    <x v="51"/>
    <n v="1"/>
    <s v="Gasto corriente"/>
    <x v="0"/>
    <x v="0"/>
    <x v="0"/>
    <x v="0"/>
    <x v="0"/>
    <x v="0"/>
    <x v="0"/>
    <m/>
    <x v="0"/>
    <x v="0"/>
    <m/>
    <n v="46984617"/>
    <n v="0"/>
    <n v="-1879176"/>
    <n v="45105441"/>
    <n v="51772843"/>
    <m/>
    <x v="1"/>
    <n v="51772843"/>
  </r>
  <r>
    <x v="1"/>
    <x v="8"/>
    <x v="8"/>
    <x v="5"/>
    <s v="Planeación, seguimiento y evaluación de políticas públicas"/>
    <x v="3"/>
    <x v="123"/>
    <x v="39"/>
    <x v="175"/>
    <n v="1"/>
    <s v="Gobierno"/>
    <n v="3"/>
    <s v="Hacienda"/>
    <n v="2"/>
    <x v="24"/>
    <x v="0"/>
    <x v="51"/>
    <n v="2"/>
    <s v="Gasto de capital"/>
    <x v="0"/>
    <x v="0"/>
    <x v="0"/>
    <x v="0"/>
    <x v="0"/>
    <x v="0"/>
    <x v="0"/>
    <m/>
    <x v="0"/>
    <x v="0"/>
    <m/>
    <n v="31765500"/>
    <n v="0"/>
    <n v="0"/>
    <n v="31765500"/>
    <m/>
    <m/>
    <x v="1"/>
    <n v="0"/>
  </r>
  <r>
    <x v="1"/>
    <x v="8"/>
    <x v="8"/>
    <x v="5"/>
    <s v="Planeación, seguimiento y evaluación de políticas públicas"/>
    <x v="3"/>
    <x v="123"/>
    <x v="56"/>
    <x v="176"/>
    <n v="1"/>
    <s v="Gobierno"/>
    <n v="3"/>
    <s v="Hacienda"/>
    <n v="2"/>
    <x v="24"/>
    <x v="0"/>
    <x v="51"/>
    <n v="1"/>
    <s v="Gasto corriente"/>
    <x v="0"/>
    <x v="1"/>
    <x v="0"/>
    <x v="0"/>
    <x v="0"/>
    <x v="0"/>
    <x v="0"/>
    <m/>
    <x v="0"/>
    <x v="0"/>
    <m/>
    <n v="2926234"/>
    <n v="0"/>
    <n v="0"/>
    <n v="2926234"/>
    <n v="2717865"/>
    <m/>
    <x v="1"/>
    <n v="2717865"/>
  </r>
  <r>
    <x v="1"/>
    <x v="8"/>
    <x v="8"/>
    <x v="5"/>
    <s v="Planeación, seguimiento y evaluación de políticas públicas"/>
    <x v="3"/>
    <x v="123"/>
    <x v="56"/>
    <x v="176"/>
    <n v="1"/>
    <s v="Gobierno"/>
    <n v="3"/>
    <s v="Hacienda"/>
    <n v="2"/>
    <x v="24"/>
    <x v="0"/>
    <x v="51"/>
    <n v="1"/>
    <s v="Gasto corriente"/>
    <x v="0"/>
    <x v="0"/>
    <x v="0"/>
    <x v="0"/>
    <x v="0"/>
    <x v="0"/>
    <x v="0"/>
    <m/>
    <x v="0"/>
    <x v="0"/>
    <m/>
    <n v="135947504"/>
    <n v="0"/>
    <n v="-8839200"/>
    <n v="127108304"/>
    <n v="117432376"/>
    <m/>
    <x v="1"/>
    <n v="117432376"/>
  </r>
  <r>
    <x v="1"/>
    <x v="8"/>
    <x v="8"/>
    <x v="5"/>
    <s v="Planeación, seguimiento y evaluación de políticas públicas"/>
    <x v="3"/>
    <x v="123"/>
    <x v="56"/>
    <x v="176"/>
    <n v="1"/>
    <s v="Gobierno"/>
    <n v="3"/>
    <s v="Hacienda"/>
    <n v="2"/>
    <x v="24"/>
    <x v="0"/>
    <x v="51"/>
    <n v="2"/>
    <s v="Gasto de capital"/>
    <x v="0"/>
    <x v="0"/>
    <x v="0"/>
    <x v="0"/>
    <x v="0"/>
    <x v="0"/>
    <x v="0"/>
    <m/>
    <x v="0"/>
    <x v="0"/>
    <m/>
    <n v="8286237"/>
    <n v="0"/>
    <n v="0"/>
    <n v="8286237"/>
    <n v="22356956"/>
    <m/>
    <x v="1"/>
    <n v="22356956"/>
  </r>
  <r>
    <x v="1"/>
    <x v="8"/>
    <x v="8"/>
    <x v="5"/>
    <s v="Planeación, seguimiento y evaluación de políticas públicas"/>
    <x v="3"/>
    <x v="123"/>
    <x v="73"/>
    <x v="177"/>
    <n v="1"/>
    <s v="Gobierno"/>
    <n v="3"/>
    <s v="Hacienda"/>
    <n v="2"/>
    <x v="24"/>
    <x v="0"/>
    <x v="51"/>
    <n v="1"/>
    <s v="Gasto corriente"/>
    <x v="0"/>
    <x v="1"/>
    <x v="0"/>
    <x v="0"/>
    <x v="0"/>
    <x v="0"/>
    <x v="0"/>
    <m/>
    <x v="0"/>
    <x v="0"/>
    <m/>
    <n v="2187223"/>
    <n v="0"/>
    <n v="0"/>
    <n v="2187223"/>
    <n v="2063064"/>
    <m/>
    <x v="1"/>
    <n v="2063064"/>
  </r>
  <r>
    <x v="1"/>
    <x v="8"/>
    <x v="8"/>
    <x v="5"/>
    <s v="Planeación, seguimiento y evaluación de políticas públicas"/>
    <x v="3"/>
    <x v="123"/>
    <x v="73"/>
    <x v="177"/>
    <n v="1"/>
    <s v="Gobierno"/>
    <n v="3"/>
    <s v="Hacienda"/>
    <n v="2"/>
    <x v="24"/>
    <x v="0"/>
    <x v="51"/>
    <n v="1"/>
    <s v="Gasto corriente"/>
    <x v="0"/>
    <x v="0"/>
    <x v="0"/>
    <x v="0"/>
    <x v="0"/>
    <x v="0"/>
    <x v="0"/>
    <m/>
    <x v="0"/>
    <x v="0"/>
    <m/>
    <n v="71352832"/>
    <n v="0"/>
    <n v="-2567790"/>
    <n v="68785042"/>
    <n v="89904451"/>
    <m/>
    <x v="1"/>
    <n v="89904451"/>
  </r>
  <r>
    <x v="1"/>
    <x v="8"/>
    <x v="8"/>
    <x v="5"/>
    <s v="Planeación, seguimiento y evaluación de políticas públicas"/>
    <x v="3"/>
    <x v="123"/>
    <x v="101"/>
    <x v="178"/>
    <n v="1"/>
    <s v="Gobierno"/>
    <n v="3"/>
    <s v="Hacienda"/>
    <n v="2"/>
    <x v="24"/>
    <x v="0"/>
    <x v="51"/>
    <n v="1"/>
    <s v="Gasto corriente"/>
    <x v="0"/>
    <x v="1"/>
    <x v="0"/>
    <x v="0"/>
    <x v="0"/>
    <x v="0"/>
    <x v="0"/>
    <m/>
    <x v="0"/>
    <x v="0"/>
    <m/>
    <n v="2228349"/>
    <n v="0"/>
    <n v="0"/>
    <n v="2228349"/>
    <n v="2117822"/>
    <m/>
    <x v="1"/>
    <n v="2117822"/>
  </r>
  <r>
    <x v="1"/>
    <x v="8"/>
    <x v="8"/>
    <x v="5"/>
    <s v="Planeación, seguimiento y evaluación de políticas públicas"/>
    <x v="3"/>
    <x v="123"/>
    <x v="101"/>
    <x v="178"/>
    <n v="1"/>
    <s v="Gobierno"/>
    <n v="3"/>
    <s v="Hacienda"/>
    <n v="2"/>
    <x v="24"/>
    <x v="0"/>
    <x v="51"/>
    <n v="1"/>
    <s v="Gasto corriente"/>
    <x v="0"/>
    <x v="0"/>
    <x v="0"/>
    <x v="0"/>
    <x v="0"/>
    <x v="0"/>
    <x v="0"/>
    <m/>
    <x v="0"/>
    <x v="0"/>
    <m/>
    <n v="83894270"/>
    <n v="0"/>
    <n v="-4381770"/>
    <n v="79512500"/>
    <n v="84335609"/>
    <m/>
    <x v="1"/>
    <n v="84335609"/>
  </r>
  <r>
    <x v="1"/>
    <x v="8"/>
    <x v="8"/>
    <x v="5"/>
    <s v="Planeación, seguimiento y evaluación de políticas públicas"/>
    <x v="3"/>
    <x v="123"/>
    <x v="102"/>
    <x v="179"/>
    <n v="1"/>
    <s v="Gobierno"/>
    <n v="3"/>
    <s v="Hacienda"/>
    <n v="2"/>
    <x v="24"/>
    <x v="0"/>
    <x v="51"/>
    <n v="1"/>
    <s v="Gasto corriente"/>
    <x v="0"/>
    <x v="1"/>
    <x v="0"/>
    <x v="0"/>
    <x v="0"/>
    <x v="0"/>
    <x v="0"/>
    <m/>
    <x v="0"/>
    <x v="0"/>
    <m/>
    <n v="1873490"/>
    <n v="0"/>
    <n v="0"/>
    <n v="1873490"/>
    <n v="1790327"/>
    <m/>
    <x v="1"/>
    <n v="1790327"/>
  </r>
  <r>
    <x v="1"/>
    <x v="8"/>
    <x v="8"/>
    <x v="5"/>
    <s v="Planeación, seguimiento y evaluación de políticas públicas"/>
    <x v="3"/>
    <x v="123"/>
    <x v="102"/>
    <x v="179"/>
    <n v="1"/>
    <s v="Gobierno"/>
    <n v="3"/>
    <s v="Hacienda"/>
    <n v="2"/>
    <x v="24"/>
    <x v="0"/>
    <x v="51"/>
    <n v="1"/>
    <s v="Gasto corriente"/>
    <x v="0"/>
    <x v="0"/>
    <x v="0"/>
    <x v="0"/>
    <x v="0"/>
    <x v="0"/>
    <x v="0"/>
    <m/>
    <x v="0"/>
    <x v="0"/>
    <m/>
    <n v="75978816"/>
    <n v="0"/>
    <n v="-3720266"/>
    <n v="72258550"/>
    <n v="77760991"/>
    <m/>
    <x v="1"/>
    <n v="77760991"/>
  </r>
  <r>
    <x v="1"/>
    <x v="8"/>
    <x v="8"/>
    <x v="5"/>
    <s v="Planeación, seguimiento y evaluación de políticas públicas"/>
    <x v="3"/>
    <x v="123"/>
    <x v="103"/>
    <x v="180"/>
    <n v="1"/>
    <s v="Gobierno"/>
    <n v="3"/>
    <s v="Hacienda"/>
    <n v="2"/>
    <x v="24"/>
    <x v="0"/>
    <x v="51"/>
    <n v="1"/>
    <s v="Gasto corriente"/>
    <x v="0"/>
    <x v="1"/>
    <x v="0"/>
    <x v="0"/>
    <x v="0"/>
    <x v="0"/>
    <x v="0"/>
    <m/>
    <x v="0"/>
    <x v="0"/>
    <m/>
    <n v="466469"/>
    <n v="0"/>
    <n v="0"/>
    <n v="466469"/>
    <n v="452788"/>
    <m/>
    <x v="1"/>
    <n v="452788"/>
  </r>
  <r>
    <x v="1"/>
    <x v="8"/>
    <x v="8"/>
    <x v="5"/>
    <s v="Planeación, seguimiento y evaluación de políticas públicas"/>
    <x v="3"/>
    <x v="123"/>
    <x v="103"/>
    <x v="180"/>
    <n v="1"/>
    <s v="Gobierno"/>
    <n v="3"/>
    <s v="Hacienda"/>
    <n v="2"/>
    <x v="24"/>
    <x v="0"/>
    <x v="51"/>
    <n v="1"/>
    <s v="Gasto corriente"/>
    <x v="0"/>
    <x v="0"/>
    <x v="0"/>
    <x v="0"/>
    <x v="0"/>
    <x v="0"/>
    <x v="0"/>
    <m/>
    <x v="0"/>
    <x v="0"/>
    <m/>
    <n v="30874660"/>
    <n v="0"/>
    <n v="-716588"/>
    <n v="30158072"/>
    <n v="30409107"/>
    <m/>
    <x v="1"/>
    <n v="30409107"/>
  </r>
  <r>
    <x v="1"/>
    <x v="8"/>
    <x v="8"/>
    <x v="5"/>
    <s v="Planeación, seguimiento y evaluación de políticas públicas"/>
    <x v="4"/>
    <x v="124"/>
    <x v="1"/>
    <x v="78"/>
    <n v="1"/>
    <s v="Gobierno"/>
    <n v="3"/>
    <s v="Hacienda"/>
    <n v="3"/>
    <x v="22"/>
    <x v="4"/>
    <x v="50"/>
    <n v="1"/>
    <s v="Gasto corriente"/>
    <x v="0"/>
    <x v="1"/>
    <x v="0"/>
    <x v="0"/>
    <x v="0"/>
    <x v="0"/>
    <x v="0"/>
    <m/>
    <x v="0"/>
    <x v="0"/>
    <m/>
    <n v="855554"/>
    <n v="0"/>
    <n v="0"/>
    <n v="855554"/>
    <n v="855554"/>
    <m/>
    <x v="1"/>
    <n v="855554"/>
  </r>
  <r>
    <x v="1"/>
    <x v="8"/>
    <x v="8"/>
    <x v="5"/>
    <s v="Planeación, seguimiento y evaluación de políticas públicas"/>
    <x v="4"/>
    <x v="124"/>
    <x v="1"/>
    <x v="78"/>
    <n v="1"/>
    <s v="Gobierno"/>
    <n v="3"/>
    <s v="Hacienda"/>
    <n v="3"/>
    <x v="22"/>
    <x v="4"/>
    <x v="50"/>
    <n v="1"/>
    <s v="Gasto corriente"/>
    <x v="0"/>
    <x v="0"/>
    <x v="0"/>
    <x v="0"/>
    <x v="0"/>
    <x v="0"/>
    <x v="0"/>
    <m/>
    <x v="0"/>
    <x v="0"/>
    <m/>
    <n v="61865322"/>
    <n v="0"/>
    <n v="-7049842"/>
    <n v="54815480"/>
    <n v="56165196"/>
    <m/>
    <x v="1"/>
    <n v="56165196"/>
  </r>
  <r>
    <x v="1"/>
    <x v="8"/>
    <x v="8"/>
    <x v="5"/>
    <s v="Planeación, seguimiento y evaluación de políticas públicas"/>
    <x v="4"/>
    <x v="124"/>
    <x v="0"/>
    <x v="181"/>
    <n v="1"/>
    <s v="Gobierno"/>
    <n v="3"/>
    <s v="Hacienda"/>
    <n v="3"/>
    <x v="22"/>
    <x v="4"/>
    <x v="50"/>
    <n v="1"/>
    <s v="Gasto corriente"/>
    <x v="0"/>
    <x v="1"/>
    <x v="0"/>
    <x v="0"/>
    <x v="0"/>
    <x v="0"/>
    <x v="0"/>
    <m/>
    <x v="0"/>
    <x v="0"/>
    <m/>
    <n v="1458636"/>
    <n v="0"/>
    <n v="0"/>
    <n v="1458636"/>
    <n v="1430523"/>
    <m/>
    <x v="1"/>
    <n v="1430523"/>
  </r>
  <r>
    <x v="1"/>
    <x v="8"/>
    <x v="8"/>
    <x v="5"/>
    <s v="Planeación, seguimiento y evaluación de políticas públicas"/>
    <x v="4"/>
    <x v="124"/>
    <x v="0"/>
    <x v="181"/>
    <n v="1"/>
    <s v="Gobierno"/>
    <n v="3"/>
    <s v="Hacienda"/>
    <n v="3"/>
    <x v="22"/>
    <x v="4"/>
    <x v="50"/>
    <n v="1"/>
    <s v="Gasto corriente"/>
    <x v="0"/>
    <x v="0"/>
    <x v="0"/>
    <x v="0"/>
    <x v="0"/>
    <x v="0"/>
    <x v="0"/>
    <m/>
    <x v="0"/>
    <x v="0"/>
    <m/>
    <n v="63918838"/>
    <n v="0"/>
    <n v="-2905230"/>
    <n v="61013608"/>
    <n v="68542642"/>
    <m/>
    <x v="1"/>
    <n v="68542642"/>
  </r>
  <r>
    <x v="1"/>
    <x v="8"/>
    <x v="8"/>
    <x v="5"/>
    <s v="Planeación, seguimiento y evaluación de políticas públicas"/>
    <x v="4"/>
    <x v="124"/>
    <x v="4"/>
    <x v="182"/>
    <n v="1"/>
    <s v="Gobierno"/>
    <n v="3"/>
    <s v="Hacienda"/>
    <n v="3"/>
    <x v="22"/>
    <x v="4"/>
    <x v="50"/>
    <n v="1"/>
    <s v="Gasto corriente"/>
    <x v="0"/>
    <x v="1"/>
    <x v="0"/>
    <x v="0"/>
    <x v="0"/>
    <x v="0"/>
    <x v="0"/>
    <m/>
    <x v="0"/>
    <x v="0"/>
    <m/>
    <n v="2170743"/>
    <n v="0"/>
    <n v="0"/>
    <n v="2170743"/>
    <n v="2074380"/>
    <m/>
    <x v="1"/>
    <n v="2074380"/>
  </r>
  <r>
    <x v="1"/>
    <x v="8"/>
    <x v="8"/>
    <x v="5"/>
    <s v="Planeación, seguimiento y evaluación de políticas públicas"/>
    <x v="4"/>
    <x v="124"/>
    <x v="4"/>
    <x v="182"/>
    <n v="1"/>
    <s v="Gobierno"/>
    <n v="3"/>
    <s v="Hacienda"/>
    <n v="3"/>
    <x v="22"/>
    <x v="4"/>
    <x v="50"/>
    <n v="1"/>
    <s v="Gasto corriente"/>
    <x v="0"/>
    <x v="0"/>
    <x v="0"/>
    <x v="0"/>
    <x v="0"/>
    <x v="0"/>
    <x v="0"/>
    <m/>
    <x v="0"/>
    <x v="0"/>
    <m/>
    <n v="78964343"/>
    <n v="0"/>
    <n v="-603048"/>
    <n v="78361295"/>
    <n v="81483946"/>
    <m/>
    <x v="1"/>
    <n v="81483946"/>
  </r>
  <r>
    <x v="1"/>
    <x v="8"/>
    <x v="8"/>
    <x v="5"/>
    <s v="Planeación, seguimiento y evaluación de políticas públicas"/>
    <x v="4"/>
    <x v="124"/>
    <x v="5"/>
    <x v="183"/>
    <n v="1"/>
    <s v="Gobierno"/>
    <n v="3"/>
    <s v="Hacienda"/>
    <n v="3"/>
    <x v="22"/>
    <x v="4"/>
    <x v="50"/>
    <n v="1"/>
    <s v="Gasto corriente"/>
    <x v="0"/>
    <x v="1"/>
    <x v="0"/>
    <x v="0"/>
    <x v="0"/>
    <x v="0"/>
    <x v="0"/>
    <m/>
    <x v="0"/>
    <x v="0"/>
    <m/>
    <n v="2028535"/>
    <n v="0"/>
    <n v="0"/>
    <n v="2028535"/>
    <n v="1937411"/>
    <m/>
    <x v="1"/>
    <n v="1937411"/>
  </r>
  <r>
    <x v="1"/>
    <x v="8"/>
    <x v="8"/>
    <x v="5"/>
    <s v="Planeación, seguimiento y evaluación de políticas públicas"/>
    <x v="4"/>
    <x v="124"/>
    <x v="5"/>
    <x v="183"/>
    <n v="1"/>
    <s v="Gobierno"/>
    <n v="3"/>
    <s v="Hacienda"/>
    <n v="3"/>
    <x v="22"/>
    <x v="4"/>
    <x v="50"/>
    <n v="1"/>
    <s v="Gasto corriente"/>
    <x v="0"/>
    <x v="0"/>
    <x v="0"/>
    <x v="0"/>
    <x v="0"/>
    <x v="0"/>
    <x v="0"/>
    <m/>
    <x v="0"/>
    <x v="0"/>
    <m/>
    <n v="74681492"/>
    <n v="0"/>
    <n v="-2478556"/>
    <n v="72202936"/>
    <n v="76110787"/>
    <m/>
    <x v="1"/>
    <n v="76110787"/>
  </r>
  <r>
    <x v="1"/>
    <x v="8"/>
    <x v="8"/>
    <x v="5"/>
    <s v="Planeación, seguimiento y evaluación de políticas públicas"/>
    <x v="4"/>
    <x v="124"/>
    <x v="104"/>
    <x v="184"/>
    <n v="1"/>
    <s v="Gobierno"/>
    <n v="3"/>
    <s v="Hacienda"/>
    <n v="3"/>
    <x v="22"/>
    <x v="4"/>
    <x v="50"/>
    <n v="1"/>
    <s v="Gasto corriente"/>
    <x v="0"/>
    <x v="1"/>
    <x v="0"/>
    <x v="0"/>
    <x v="0"/>
    <x v="0"/>
    <x v="0"/>
    <m/>
    <x v="0"/>
    <x v="0"/>
    <m/>
    <n v="578224"/>
    <n v="0"/>
    <n v="0"/>
    <n v="578224"/>
    <n v="578224"/>
    <m/>
    <x v="1"/>
    <n v="578224"/>
  </r>
  <r>
    <x v="1"/>
    <x v="8"/>
    <x v="8"/>
    <x v="5"/>
    <s v="Planeación, seguimiento y evaluación de políticas públicas"/>
    <x v="4"/>
    <x v="124"/>
    <x v="104"/>
    <x v="184"/>
    <n v="1"/>
    <s v="Gobierno"/>
    <n v="3"/>
    <s v="Hacienda"/>
    <n v="3"/>
    <x v="22"/>
    <x v="4"/>
    <x v="50"/>
    <n v="1"/>
    <s v="Gasto corriente"/>
    <x v="0"/>
    <x v="0"/>
    <x v="0"/>
    <x v="0"/>
    <x v="0"/>
    <x v="0"/>
    <x v="0"/>
    <m/>
    <x v="0"/>
    <x v="0"/>
    <m/>
    <n v="41242496"/>
    <n v="0"/>
    <n v="-2988094"/>
    <n v="38254402"/>
    <n v="42379230"/>
    <m/>
    <x v="1"/>
    <n v="42379230"/>
  </r>
  <r>
    <x v="1"/>
    <x v="8"/>
    <x v="8"/>
    <x v="5"/>
    <s v="Planeación, seguimiento y evaluación de políticas públicas"/>
    <x v="5"/>
    <x v="125"/>
    <x v="58"/>
    <x v="185"/>
    <n v="1"/>
    <s v="Gobierno"/>
    <n v="3"/>
    <s v="Hacienda"/>
    <n v="3"/>
    <x v="22"/>
    <x v="18"/>
    <x v="52"/>
    <n v="1"/>
    <s v="Gasto corriente"/>
    <x v="0"/>
    <x v="1"/>
    <x v="0"/>
    <x v="0"/>
    <x v="0"/>
    <x v="0"/>
    <x v="0"/>
    <m/>
    <x v="0"/>
    <x v="0"/>
    <m/>
    <n v="943955"/>
    <n v="0"/>
    <n v="0"/>
    <n v="943955"/>
    <n v="913505"/>
    <m/>
    <x v="1"/>
    <n v="913505"/>
  </r>
  <r>
    <x v="1"/>
    <x v="8"/>
    <x v="8"/>
    <x v="5"/>
    <s v="Planeación, seguimiento y evaluación de políticas públicas"/>
    <x v="5"/>
    <x v="125"/>
    <x v="58"/>
    <x v="185"/>
    <n v="1"/>
    <s v="Gobierno"/>
    <n v="3"/>
    <s v="Hacienda"/>
    <n v="3"/>
    <x v="22"/>
    <x v="18"/>
    <x v="52"/>
    <n v="1"/>
    <s v="Gasto corriente"/>
    <x v="0"/>
    <x v="0"/>
    <x v="0"/>
    <x v="0"/>
    <x v="0"/>
    <x v="0"/>
    <x v="0"/>
    <m/>
    <x v="0"/>
    <x v="0"/>
    <m/>
    <n v="49679113"/>
    <n v="0"/>
    <n v="0"/>
    <n v="49679113"/>
    <n v="55851606"/>
    <m/>
    <x v="1"/>
    <n v="55851606"/>
  </r>
  <r>
    <x v="1"/>
    <x v="8"/>
    <x v="8"/>
    <x v="5"/>
    <s v="Planeación, seguimiento y evaluación de políticas públicas"/>
    <x v="5"/>
    <x v="125"/>
    <x v="59"/>
    <x v="186"/>
    <n v="1"/>
    <s v="Gobierno"/>
    <n v="3"/>
    <s v="Hacienda"/>
    <n v="3"/>
    <x v="22"/>
    <x v="18"/>
    <x v="52"/>
    <n v="1"/>
    <s v="Gasto corriente"/>
    <x v="0"/>
    <x v="1"/>
    <x v="0"/>
    <x v="0"/>
    <x v="0"/>
    <x v="0"/>
    <x v="0"/>
    <m/>
    <x v="0"/>
    <x v="0"/>
    <m/>
    <n v="832934"/>
    <n v="0"/>
    <n v="0"/>
    <n v="832934"/>
    <n v="819125"/>
    <m/>
    <x v="1"/>
    <n v="819125"/>
  </r>
  <r>
    <x v="1"/>
    <x v="8"/>
    <x v="8"/>
    <x v="5"/>
    <s v="Planeación, seguimiento y evaluación de políticas públicas"/>
    <x v="5"/>
    <x v="125"/>
    <x v="59"/>
    <x v="186"/>
    <n v="1"/>
    <s v="Gobierno"/>
    <n v="3"/>
    <s v="Hacienda"/>
    <n v="3"/>
    <x v="22"/>
    <x v="18"/>
    <x v="52"/>
    <n v="1"/>
    <s v="Gasto corriente"/>
    <x v="0"/>
    <x v="0"/>
    <x v="0"/>
    <x v="0"/>
    <x v="0"/>
    <x v="0"/>
    <x v="0"/>
    <m/>
    <x v="0"/>
    <x v="0"/>
    <m/>
    <n v="40186293"/>
    <n v="0"/>
    <n v="-493578"/>
    <n v="39692715"/>
    <n v="40418898"/>
    <m/>
    <x v="1"/>
    <n v="40418898"/>
  </r>
  <r>
    <x v="1"/>
    <x v="8"/>
    <x v="8"/>
    <x v="5"/>
    <s v="Planeación, seguimiento y evaluación de políticas públicas"/>
    <x v="5"/>
    <x v="125"/>
    <x v="85"/>
    <x v="187"/>
    <n v="1"/>
    <s v="Gobierno"/>
    <n v="3"/>
    <s v="Hacienda"/>
    <n v="3"/>
    <x v="22"/>
    <x v="18"/>
    <x v="52"/>
    <n v="1"/>
    <s v="Gasto corriente"/>
    <x v="0"/>
    <x v="1"/>
    <x v="0"/>
    <x v="0"/>
    <x v="0"/>
    <x v="0"/>
    <x v="0"/>
    <m/>
    <x v="0"/>
    <x v="0"/>
    <m/>
    <n v="2758965"/>
    <n v="0"/>
    <n v="0"/>
    <n v="2758965"/>
    <n v="2731090"/>
    <m/>
    <x v="1"/>
    <n v="2731090"/>
  </r>
  <r>
    <x v="1"/>
    <x v="8"/>
    <x v="8"/>
    <x v="5"/>
    <s v="Planeación, seguimiento y evaluación de políticas públicas"/>
    <x v="5"/>
    <x v="125"/>
    <x v="85"/>
    <x v="187"/>
    <n v="1"/>
    <s v="Gobierno"/>
    <n v="3"/>
    <s v="Hacienda"/>
    <n v="3"/>
    <x v="22"/>
    <x v="18"/>
    <x v="52"/>
    <n v="1"/>
    <s v="Gasto corriente"/>
    <x v="0"/>
    <x v="0"/>
    <x v="0"/>
    <x v="0"/>
    <x v="0"/>
    <x v="0"/>
    <x v="0"/>
    <m/>
    <x v="0"/>
    <x v="0"/>
    <m/>
    <n v="92869617"/>
    <n v="0"/>
    <n v="-491586"/>
    <n v="92378031"/>
    <n v="91946003"/>
    <m/>
    <x v="1"/>
    <n v="91946003"/>
  </r>
  <r>
    <x v="1"/>
    <x v="8"/>
    <x v="8"/>
    <x v="5"/>
    <s v="Planeación, seguimiento y evaluación de políticas públicas"/>
    <x v="5"/>
    <x v="125"/>
    <x v="81"/>
    <x v="188"/>
    <n v="1"/>
    <s v="Gobierno"/>
    <n v="3"/>
    <s v="Hacienda"/>
    <n v="3"/>
    <x v="22"/>
    <x v="18"/>
    <x v="52"/>
    <n v="1"/>
    <s v="Gasto corriente"/>
    <x v="0"/>
    <x v="1"/>
    <x v="0"/>
    <x v="0"/>
    <x v="0"/>
    <x v="0"/>
    <x v="0"/>
    <m/>
    <x v="0"/>
    <x v="0"/>
    <m/>
    <n v="529522"/>
    <n v="0"/>
    <n v="0"/>
    <n v="529522"/>
    <n v="487807"/>
    <m/>
    <x v="1"/>
    <n v="487807"/>
  </r>
  <r>
    <x v="1"/>
    <x v="8"/>
    <x v="8"/>
    <x v="5"/>
    <s v="Planeación, seguimiento y evaluación de políticas públicas"/>
    <x v="5"/>
    <x v="125"/>
    <x v="81"/>
    <x v="188"/>
    <n v="1"/>
    <s v="Gobierno"/>
    <n v="3"/>
    <s v="Hacienda"/>
    <n v="3"/>
    <x v="22"/>
    <x v="18"/>
    <x v="52"/>
    <n v="1"/>
    <s v="Gasto corriente"/>
    <x v="0"/>
    <x v="0"/>
    <x v="0"/>
    <x v="0"/>
    <x v="0"/>
    <x v="0"/>
    <x v="0"/>
    <m/>
    <x v="0"/>
    <x v="0"/>
    <m/>
    <n v="29311073"/>
    <n v="0"/>
    <n v="0"/>
    <n v="29311073"/>
    <n v="28985095"/>
    <m/>
    <x v="1"/>
    <n v="28985095"/>
  </r>
  <r>
    <x v="1"/>
    <x v="8"/>
    <x v="8"/>
    <x v="5"/>
    <s v="Planeación, seguimiento y evaluación de políticas públicas"/>
    <x v="5"/>
    <x v="125"/>
    <x v="105"/>
    <x v="189"/>
    <n v="1"/>
    <s v="Gobierno"/>
    <n v="3"/>
    <s v="Hacienda"/>
    <n v="3"/>
    <x v="22"/>
    <x v="18"/>
    <x v="52"/>
    <n v="1"/>
    <s v="Gasto corriente"/>
    <x v="0"/>
    <x v="1"/>
    <x v="0"/>
    <x v="0"/>
    <x v="0"/>
    <x v="0"/>
    <x v="0"/>
    <m/>
    <x v="0"/>
    <x v="0"/>
    <m/>
    <n v="1841544"/>
    <n v="0"/>
    <n v="0"/>
    <n v="1841544"/>
    <n v="1786660"/>
    <m/>
    <x v="1"/>
    <n v="1786660"/>
  </r>
  <r>
    <x v="1"/>
    <x v="8"/>
    <x v="8"/>
    <x v="5"/>
    <s v="Planeación, seguimiento y evaluación de políticas públicas"/>
    <x v="5"/>
    <x v="125"/>
    <x v="105"/>
    <x v="189"/>
    <n v="1"/>
    <s v="Gobierno"/>
    <n v="3"/>
    <s v="Hacienda"/>
    <n v="3"/>
    <x v="22"/>
    <x v="18"/>
    <x v="52"/>
    <n v="1"/>
    <s v="Gasto corriente"/>
    <x v="0"/>
    <x v="0"/>
    <x v="0"/>
    <x v="0"/>
    <x v="0"/>
    <x v="0"/>
    <x v="0"/>
    <m/>
    <x v="0"/>
    <x v="0"/>
    <m/>
    <n v="79641618"/>
    <n v="0"/>
    <n v="0"/>
    <n v="79641618"/>
    <n v="74302998"/>
    <m/>
    <x v="1"/>
    <n v="74302998"/>
  </r>
  <r>
    <x v="1"/>
    <x v="8"/>
    <x v="8"/>
    <x v="5"/>
    <s v="Planeación, seguimiento y evaluación de políticas públicas"/>
    <x v="6"/>
    <x v="126"/>
    <x v="99"/>
    <x v="168"/>
    <n v="2"/>
    <s v="Desarrollo Social"/>
    <n v="3"/>
    <s v="Urbanización, Vivienda y Desarrollo Regional"/>
    <n v="2"/>
    <x v="23"/>
    <x v="13"/>
    <x v="53"/>
    <n v="1"/>
    <s v="Gasto corriente"/>
    <x v="0"/>
    <x v="1"/>
    <x v="0"/>
    <x v="0"/>
    <x v="0"/>
    <x v="0"/>
    <x v="0"/>
    <m/>
    <x v="0"/>
    <x v="0"/>
    <m/>
    <n v="1005685"/>
    <n v="0"/>
    <n v="0"/>
    <n v="1005685"/>
    <n v="1258343"/>
    <m/>
    <x v="1"/>
    <n v="1258343"/>
  </r>
  <r>
    <x v="1"/>
    <x v="8"/>
    <x v="8"/>
    <x v="5"/>
    <s v="Planeación, seguimiento y evaluación de políticas públicas"/>
    <x v="6"/>
    <x v="126"/>
    <x v="99"/>
    <x v="168"/>
    <n v="2"/>
    <s v="Desarrollo Social"/>
    <n v="3"/>
    <s v="Urbanización, Vivienda y Desarrollo Regional"/>
    <n v="2"/>
    <x v="23"/>
    <x v="13"/>
    <x v="53"/>
    <n v="1"/>
    <s v="Gasto corriente"/>
    <x v="0"/>
    <x v="0"/>
    <x v="0"/>
    <x v="0"/>
    <x v="0"/>
    <x v="0"/>
    <x v="0"/>
    <m/>
    <x v="0"/>
    <x v="0"/>
    <m/>
    <n v="74349147"/>
    <n v="0"/>
    <n v="-4499071"/>
    <n v="69850076"/>
    <n v="83194456"/>
    <m/>
    <x v="1"/>
    <n v="83194456"/>
  </r>
  <r>
    <x v="1"/>
    <x v="8"/>
    <x v="8"/>
    <x v="5"/>
    <s v="Planeación, seguimiento y evaluación de políticas públicas"/>
    <x v="6"/>
    <x v="126"/>
    <x v="99"/>
    <x v="168"/>
    <n v="2"/>
    <s v="Desarrollo Social"/>
    <n v="3"/>
    <s v="Urbanización, Vivienda y Desarrollo Regional"/>
    <n v="2"/>
    <x v="23"/>
    <x v="13"/>
    <x v="53"/>
    <n v="2"/>
    <s v="Gasto de capital"/>
    <x v="0"/>
    <x v="0"/>
    <x v="0"/>
    <x v="0"/>
    <x v="0"/>
    <x v="0"/>
    <x v="0"/>
    <m/>
    <x v="0"/>
    <x v="0"/>
    <m/>
    <m/>
    <n v="0"/>
    <n v="0"/>
    <m/>
    <n v="1500000"/>
    <m/>
    <x v="1"/>
    <n v="1500000"/>
  </r>
  <r>
    <x v="1"/>
    <x v="8"/>
    <x v="8"/>
    <x v="5"/>
    <s v="Planeación, seguimiento y evaluación de políticas públicas"/>
    <x v="11"/>
    <x v="127"/>
    <x v="100"/>
    <x v="169"/>
    <n v="1"/>
    <s v="Gobierno"/>
    <n v="4"/>
    <s v="Gobernación"/>
    <n v="2"/>
    <x v="8"/>
    <x v="19"/>
    <x v="54"/>
    <n v="1"/>
    <s v="Gasto corriente"/>
    <x v="0"/>
    <x v="1"/>
    <x v="0"/>
    <x v="0"/>
    <x v="0"/>
    <x v="0"/>
    <x v="1"/>
    <m/>
    <x v="0"/>
    <x v="0"/>
    <m/>
    <m/>
    <n v="0"/>
    <n v="0"/>
    <m/>
    <n v="74700"/>
    <m/>
    <x v="1"/>
    <n v="74700"/>
  </r>
  <r>
    <x v="1"/>
    <x v="8"/>
    <x v="8"/>
    <x v="5"/>
    <s v="Planeación, seguimiento y evaluación de políticas públicas"/>
    <x v="11"/>
    <x v="127"/>
    <x v="100"/>
    <x v="169"/>
    <n v="1"/>
    <s v="Gobierno"/>
    <n v="4"/>
    <s v="Gobernación"/>
    <n v="2"/>
    <x v="8"/>
    <x v="19"/>
    <x v="54"/>
    <n v="1"/>
    <s v="Gasto corriente"/>
    <x v="0"/>
    <x v="0"/>
    <x v="0"/>
    <x v="0"/>
    <x v="0"/>
    <x v="0"/>
    <x v="1"/>
    <m/>
    <x v="0"/>
    <x v="0"/>
    <m/>
    <n v="291595953"/>
    <n v="0"/>
    <n v="-15721338"/>
    <n v="275874615"/>
    <n v="328857965"/>
    <m/>
    <x v="1"/>
    <n v="328857965"/>
  </r>
  <r>
    <x v="1"/>
    <x v="8"/>
    <x v="8"/>
    <x v="5"/>
    <s v="Planeación, seguimiento y evaluación de políticas públicas"/>
    <x v="11"/>
    <x v="127"/>
    <x v="100"/>
    <x v="169"/>
    <n v="1"/>
    <s v="Gobierno"/>
    <n v="4"/>
    <s v="Gobernación"/>
    <n v="2"/>
    <x v="8"/>
    <x v="19"/>
    <x v="54"/>
    <n v="2"/>
    <s v="Gasto de capital"/>
    <x v="0"/>
    <x v="0"/>
    <x v="0"/>
    <x v="0"/>
    <x v="0"/>
    <x v="0"/>
    <x v="1"/>
    <m/>
    <x v="0"/>
    <x v="0"/>
    <m/>
    <m/>
    <m/>
    <m/>
    <m/>
    <n v="8509645"/>
    <m/>
    <x v="1"/>
    <n v="8509645"/>
  </r>
  <r>
    <x v="1"/>
    <x v="8"/>
    <x v="8"/>
    <x v="5"/>
    <s v="Planeación, seguimiento y evaluación de políticas públicas"/>
    <x v="12"/>
    <x v="128"/>
    <x v="21"/>
    <x v="190"/>
    <n v="1"/>
    <s v="Gobierno"/>
    <n v="3"/>
    <s v="Hacienda"/>
    <n v="3"/>
    <x v="22"/>
    <x v="4"/>
    <x v="50"/>
    <n v="1"/>
    <s v="Gasto corriente"/>
    <x v="0"/>
    <x v="1"/>
    <x v="0"/>
    <x v="0"/>
    <x v="0"/>
    <x v="0"/>
    <x v="0"/>
    <m/>
    <x v="0"/>
    <x v="0"/>
    <m/>
    <n v="1727981"/>
    <n v="0"/>
    <n v="0"/>
    <n v="1727981"/>
    <n v="1670040"/>
    <m/>
    <x v="1"/>
    <n v="1670040"/>
  </r>
  <r>
    <x v="1"/>
    <x v="8"/>
    <x v="8"/>
    <x v="5"/>
    <s v="Planeación, seguimiento y evaluación de políticas públicas"/>
    <x v="12"/>
    <x v="128"/>
    <x v="21"/>
    <x v="190"/>
    <n v="1"/>
    <s v="Gobierno"/>
    <n v="3"/>
    <s v="Hacienda"/>
    <n v="3"/>
    <x v="22"/>
    <x v="4"/>
    <x v="50"/>
    <n v="1"/>
    <s v="Gasto corriente"/>
    <x v="0"/>
    <x v="0"/>
    <x v="0"/>
    <x v="0"/>
    <x v="0"/>
    <x v="0"/>
    <x v="0"/>
    <m/>
    <x v="0"/>
    <x v="0"/>
    <m/>
    <n v="80701338"/>
    <n v="0"/>
    <n v="-7663552"/>
    <n v="73037786"/>
    <n v="76771712"/>
    <m/>
    <x v="1"/>
    <n v="76771712"/>
  </r>
  <r>
    <x v="1"/>
    <x v="8"/>
    <x v="8"/>
    <x v="5"/>
    <s v="Planeación, seguimiento y evaluación de políticas públicas"/>
    <x v="13"/>
    <x v="129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280902212"/>
    <n v="99997788"/>
    <n v="-20342422"/>
    <n v="360557578"/>
    <n v="350400000"/>
    <m/>
    <x v="18"/>
    <n v="650400000"/>
  </r>
  <r>
    <x v="1"/>
    <x v="8"/>
    <x v="8"/>
    <x v="5"/>
    <s v="Planeación, seguimiento y evaluación de políticas públicas"/>
    <x v="14"/>
    <x v="130"/>
    <x v="97"/>
    <x v="156"/>
    <n v="2"/>
    <s v="Desarrollo Social"/>
    <n v="5"/>
    <s v="Asistencia Social"/>
    <n v="2"/>
    <x v="21"/>
    <x v="8"/>
    <x v="48"/>
    <n v="1"/>
    <s v="Gasto corriente"/>
    <x v="0"/>
    <x v="1"/>
    <x v="1"/>
    <x v="0"/>
    <x v="1"/>
    <x v="0"/>
    <x v="0"/>
    <m/>
    <x v="0"/>
    <x v="0"/>
    <m/>
    <n v="1124253"/>
    <n v="0"/>
    <n v="0"/>
    <n v="1124253"/>
    <n v="842032"/>
    <m/>
    <x v="1"/>
    <n v="842032"/>
  </r>
  <r>
    <x v="1"/>
    <x v="8"/>
    <x v="8"/>
    <x v="5"/>
    <s v="Planeación, seguimiento y evaluación de políticas públicas"/>
    <x v="14"/>
    <x v="130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56171184"/>
    <n v="0"/>
    <n v="-2016323"/>
    <n v="54154861"/>
    <n v="50404095"/>
    <m/>
    <x v="19"/>
    <n v="84404095"/>
  </r>
  <r>
    <x v="1"/>
    <x v="8"/>
    <x v="8"/>
    <x v="5"/>
    <s v="Planeación, seguimiento y evaluación de políticas públicas"/>
    <x v="14"/>
    <x v="130"/>
    <x v="97"/>
    <x v="156"/>
    <n v="2"/>
    <s v="Desarrollo Social"/>
    <n v="5"/>
    <s v="Asistencia Social"/>
    <n v="2"/>
    <x v="21"/>
    <x v="8"/>
    <x v="48"/>
    <n v="2"/>
    <s v="Gasto de capital"/>
    <x v="0"/>
    <x v="0"/>
    <x v="1"/>
    <x v="0"/>
    <x v="1"/>
    <x v="0"/>
    <x v="0"/>
    <m/>
    <x v="0"/>
    <x v="0"/>
    <m/>
    <n v="100000"/>
    <n v="0"/>
    <n v="0"/>
    <n v="100000"/>
    <n v="61700889"/>
    <m/>
    <x v="1"/>
    <n v="61700889"/>
  </r>
  <r>
    <x v="1"/>
    <x v="8"/>
    <x v="8"/>
    <x v="5"/>
    <s v="Planeación, seguimiento y evaluación de políticas públicas"/>
    <x v="15"/>
    <x v="131"/>
    <x v="97"/>
    <x v="156"/>
    <n v="2"/>
    <s v="Desarrollo Social"/>
    <n v="5"/>
    <s v="Asistencia Social"/>
    <n v="2"/>
    <x v="21"/>
    <x v="8"/>
    <x v="48"/>
    <n v="1"/>
    <s v="Gasto corriente"/>
    <x v="0"/>
    <x v="1"/>
    <x v="1"/>
    <x v="0"/>
    <x v="1"/>
    <x v="0"/>
    <x v="0"/>
    <m/>
    <x v="0"/>
    <x v="0"/>
    <m/>
    <n v="25319657"/>
    <n v="0"/>
    <n v="0"/>
    <n v="25319657"/>
    <n v="29426736"/>
    <m/>
    <x v="1"/>
    <n v="29426736"/>
  </r>
  <r>
    <x v="1"/>
    <x v="8"/>
    <x v="8"/>
    <x v="5"/>
    <s v="Planeación, seguimiento y evaluación de políticas públicas"/>
    <x v="15"/>
    <x v="131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397275852"/>
    <n v="0"/>
    <n v="-15235200"/>
    <n v="382040652"/>
    <n v="530128411"/>
    <m/>
    <x v="1"/>
    <n v="530128411"/>
  </r>
  <r>
    <x v="1"/>
    <x v="8"/>
    <x v="8"/>
    <x v="1"/>
    <s v="Específicos"/>
    <x v="2"/>
    <x v="132"/>
    <x v="3"/>
    <x v="161"/>
    <n v="1"/>
    <s v="Gobierno"/>
    <n v="3"/>
    <s v="Hacienda"/>
    <n v="6"/>
    <x v="17"/>
    <x v="15"/>
    <x v="44"/>
    <n v="1"/>
    <s v="Gasto corriente"/>
    <x v="0"/>
    <x v="0"/>
    <x v="0"/>
    <x v="0"/>
    <x v="0"/>
    <x v="0"/>
    <x v="0"/>
    <m/>
    <x v="0"/>
    <x v="0"/>
    <m/>
    <n v="1900000"/>
    <n v="0"/>
    <n v="0"/>
    <n v="1900000"/>
    <n v="1800000"/>
    <m/>
    <x v="1"/>
    <n v="1800000"/>
  </r>
  <r>
    <x v="1"/>
    <x v="8"/>
    <x v="8"/>
    <x v="1"/>
    <s v="Específicos"/>
    <x v="2"/>
    <x v="132"/>
    <x v="104"/>
    <x v="184"/>
    <n v="1"/>
    <s v="Gobierno"/>
    <n v="3"/>
    <s v="Hacienda"/>
    <n v="3"/>
    <x v="22"/>
    <x v="4"/>
    <x v="50"/>
    <n v="1"/>
    <s v="Gasto corriente"/>
    <x v="0"/>
    <x v="0"/>
    <x v="0"/>
    <x v="0"/>
    <x v="0"/>
    <x v="0"/>
    <x v="0"/>
    <m/>
    <x v="0"/>
    <x v="0"/>
    <m/>
    <n v="252224000"/>
    <n v="0"/>
    <n v="0"/>
    <n v="252224000"/>
    <n v="170728950"/>
    <m/>
    <x v="1"/>
    <n v="170728950"/>
  </r>
  <r>
    <x v="1"/>
    <x v="8"/>
    <x v="8"/>
    <x v="1"/>
    <s v="Específicos"/>
    <x v="2"/>
    <x v="132"/>
    <x v="104"/>
    <x v="184"/>
    <n v="1"/>
    <s v="Gobierno"/>
    <n v="3"/>
    <s v="Hacienda"/>
    <n v="3"/>
    <x v="22"/>
    <x v="4"/>
    <x v="50"/>
    <n v="2"/>
    <s v="Gasto de capital"/>
    <x v="0"/>
    <x v="0"/>
    <x v="0"/>
    <x v="0"/>
    <x v="0"/>
    <x v="0"/>
    <x v="0"/>
    <m/>
    <x v="0"/>
    <x v="0"/>
    <m/>
    <n v="240000000"/>
    <n v="0"/>
    <n v="0"/>
    <n v="240000000"/>
    <n v="270492460"/>
    <m/>
    <x v="1"/>
    <n v="270492460"/>
  </r>
  <r>
    <x v="1"/>
    <x v="8"/>
    <x v="8"/>
    <x v="1"/>
    <s v="Específicos"/>
    <x v="15"/>
    <x v="133"/>
    <x v="92"/>
    <x v="151"/>
    <n v="1"/>
    <s v="Gobierno"/>
    <n v="3"/>
    <s v="Hacienda"/>
    <n v="1"/>
    <x v="18"/>
    <x v="1"/>
    <x v="45"/>
    <n v="1"/>
    <s v="Gasto corriente"/>
    <x v="0"/>
    <x v="0"/>
    <x v="0"/>
    <x v="0"/>
    <x v="0"/>
    <x v="0"/>
    <x v="0"/>
    <m/>
    <x v="0"/>
    <x v="0"/>
    <m/>
    <n v="4000000"/>
    <n v="0"/>
    <n v="0"/>
    <n v="4000000"/>
    <n v="4861200"/>
    <m/>
    <x v="1"/>
    <n v="4861200"/>
  </r>
  <r>
    <x v="1"/>
    <x v="8"/>
    <x v="8"/>
    <x v="11"/>
    <s v="Sujetos a Reglas de Operación"/>
    <x v="2"/>
    <x v="134"/>
    <x v="106"/>
    <x v="191"/>
    <n v="3"/>
    <s v="Desarrollo Económico"/>
    <n v="5"/>
    <s v="Servicios Financieros"/>
    <n v="3"/>
    <x v="25"/>
    <x v="20"/>
    <x v="55"/>
    <n v="1"/>
    <s v="Gasto corriente"/>
    <x v="0"/>
    <x v="0"/>
    <x v="0"/>
    <x v="0"/>
    <x v="1"/>
    <x v="0"/>
    <x v="0"/>
    <m/>
    <x v="0"/>
    <x v="0"/>
    <m/>
    <n v="395000000"/>
    <n v="314647806"/>
    <n v="0"/>
    <n v="709647806"/>
    <n v="360000000"/>
    <m/>
    <x v="1"/>
    <n v="360000000"/>
  </r>
  <r>
    <x v="1"/>
    <x v="8"/>
    <x v="8"/>
    <x v="11"/>
    <s v="Sujetos a Reglas de Operación"/>
    <x v="11"/>
    <x v="135"/>
    <x v="100"/>
    <x v="169"/>
    <n v="1"/>
    <s v="Gobierno"/>
    <n v="4"/>
    <s v="Gobernación"/>
    <n v="2"/>
    <x v="8"/>
    <x v="19"/>
    <x v="54"/>
    <n v="1"/>
    <s v="Gasto corriente"/>
    <x v="0"/>
    <x v="0"/>
    <x v="0"/>
    <x v="0"/>
    <x v="0"/>
    <x v="0"/>
    <x v="1"/>
    <m/>
    <x v="0"/>
    <x v="0"/>
    <m/>
    <n v="100000000"/>
    <n v="100000000"/>
    <n v="-669500"/>
    <n v="199330500"/>
    <n v="104000000"/>
    <m/>
    <x v="10"/>
    <n v="204000000"/>
  </r>
  <r>
    <x v="1"/>
    <x v="8"/>
    <x v="8"/>
    <x v="11"/>
    <s v="Sujetos a Reglas de Operación"/>
    <x v="33"/>
    <x v="136"/>
    <x v="106"/>
    <x v="191"/>
    <n v="3"/>
    <s v="Desarrollo Económico"/>
    <n v="5"/>
    <s v="Servicios Financieros"/>
    <n v="3"/>
    <x v="25"/>
    <x v="20"/>
    <x v="55"/>
    <n v="1"/>
    <s v="Gasto corriente"/>
    <x v="0"/>
    <x v="0"/>
    <x v="0"/>
    <x v="0"/>
    <x v="1"/>
    <x v="0"/>
    <x v="0"/>
    <m/>
    <x v="0"/>
    <x v="0"/>
    <m/>
    <n v="14647806"/>
    <n v="35352194"/>
    <n v="0"/>
    <n v="50000000"/>
    <n v="35400576"/>
    <m/>
    <x v="20"/>
    <n v="575000576"/>
  </r>
  <r>
    <x v="1"/>
    <x v="8"/>
    <x v="8"/>
    <x v="11"/>
    <s v="Sujetos a Reglas de Operación"/>
    <x v="34"/>
    <x v="137"/>
    <x v="99"/>
    <x v="168"/>
    <n v="2"/>
    <s v="Desarrollo Social"/>
    <n v="3"/>
    <s v="Urbanización, Vivienda y Desarrollo Regional"/>
    <n v="2"/>
    <x v="23"/>
    <x v="13"/>
    <x v="53"/>
    <n v="1"/>
    <s v="Gasto corriente"/>
    <x v="0"/>
    <x v="0"/>
    <x v="0"/>
    <x v="0"/>
    <x v="0"/>
    <x v="0"/>
    <x v="1"/>
    <m/>
    <x v="0"/>
    <x v="0"/>
    <m/>
    <n v="4903278589"/>
    <n v="1000000000"/>
    <n v="-32840924"/>
    <n v="5870437665"/>
    <n v="5173300000"/>
    <m/>
    <x v="18"/>
    <n v="5173300000"/>
  </r>
  <r>
    <x v="1"/>
    <x v="8"/>
    <x v="8"/>
    <x v="11"/>
    <s v="Sujetos a Reglas de Operación"/>
    <x v="35"/>
    <x v="138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789414101"/>
    <n v="23985899"/>
    <n v="0"/>
    <n v="813400000"/>
    <n v="846089733"/>
    <m/>
    <x v="21"/>
    <n v="1032089733"/>
  </r>
  <r>
    <x v="1"/>
    <x v="8"/>
    <x v="8"/>
    <x v="11"/>
    <s v="Sujetos a Reglas de Operación"/>
    <x v="36"/>
    <x v="139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4588945314"/>
    <n v="150071439"/>
    <n v="-41366509"/>
    <n v="4697650244"/>
    <n v="4480267196"/>
    <m/>
    <x v="18"/>
    <n v="4780267196"/>
  </r>
  <r>
    <x v="1"/>
    <x v="8"/>
    <x v="8"/>
    <x v="11"/>
    <s v="Sujetos a Reglas de Operación"/>
    <x v="37"/>
    <x v="140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154082696"/>
    <n v="100017304"/>
    <n v="0"/>
    <n v="254100000"/>
    <n v="264697555"/>
    <m/>
    <x v="22"/>
    <n v="344697555"/>
  </r>
  <r>
    <x v="1"/>
    <x v="8"/>
    <x v="8"/>
    <x v="11"/>
    <s v="Sujetos a Reglas de Operación"/>
    <x v="38"/>
    <x v="141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1"/>
    <m/>
    <x v="0"/>
    <x v="0"/>
    <m/>
    <n v="210000000"/>
    <n v="45000000"/>
    <n v="0"/>
    <n v="255000000"/>
    <n v="283828897"/>
    <m/>
    <x v="8"/>
    <n v="463828897"/>
  </r>
  <r>
    <x v="1"/>
    <x v="8"/>
    <x v="8"/>
    <x v="11"/>
    <s v="Sujetos a Reglas de Operación"/>
    <x v="39"/>
    <x v="142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37000000"/>
    <n v="0"/>
    <n v="0"/>
    <n v="37000000"/>
    <n v="37033458"/>
    <m/>
    <x v="3"/>
    <n v="47033458"/>
  </r>
  <r>
    <x v="1"/>
    <x v="8"/>
    <x v="8"/>
    <x v="11"/>
    <s v="Sujetos a Reglas de Operación"/>
    <x v="40"/>
    <x v="143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23694486"/>
    <n v="0"/>
    <n v="0"/>
    <n v="23694486"/>
    <n v="30741217"/>
    <m/>
    <x v="23"/>
    <n v="55741217"/>
  </r>
  <r>
    <x v="1"/>
    <x v="8"/>
    <x v="8"/>
    <x v="11"/>
    <s v="Sujetos a Reglas de Operación"/>
    <x v="41"/>
    <x v="144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170000000"/>
    <n v="0"/>
    <n v="0"/>
    <n v="170000000"/>
    <n v="177378729"/>
    <m/>
    <x v="24"/>
    <n v="227378729"/>
  </r>
  <r>
    <x v="1"/>
    <x v="8"/>
    <x v="8"/>
    <x v="11"/>
    <s v="Sujetos a Reglas de Operación"/>
    <x v="42"/>
    <x v="145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145000000"/>
    <n v="0"/>
    <n v="0"/>
    <n v="145000000"/>
    <n v="150383280"/>
    <m/>
    <x v="25"/>
    <n v="262383280"/>
  </r>
  <r>
    <x v="1"/>
    <x v="8"/>
    <x v="8"/>
    <x v="11"/>
    <s v="Sujetos a Reglas de Operación"/>
    <x v="43"/>
    <x v="146"/>
    <x v="106"/>
    <x v="191"/>
    <n v="3"/>
    <s v="Desarrollo Económico"/>
    <n v="5"/>
    <s v="Servicios Financieros"/>
    <n v="3"/>
    <x v="25"/>
    <x v="20"/>
    <x v="55"/>
    <n v="1"/>
    <s v="Gasto corriente"/>
    <x v="0"/>
    <x v="0"/>
    <x v="0"/>
    <x v="0"/>
    <x v="1"/>
    <x v="0"/>
    <x v="0"/>
    <m/>
    <x v="0"/>
    <x v="1"/>
    <m/>
    <n v="50000000"/>
    <n v="0"/>
    <n v="0"/>
    <n v="50000000"/>
    <n v="65000000"/>
    <m/>
    <x v="1"/>
    <n v="65000000"/>
  </r>
  <r>
    <x v="1"/>
    <x v="8"/>
    <x v="8"/>
    <x v="11"/>
    <s v="Sujetos a Reglas de Operación"/>
    <x v="44"/>
    <x v="147"/>
    <x v="94"/>
    <x v="153"/>
    <n v="3"/>
    <s v="Desarrollo Económico"/>
    <n v="5"/>
    <s v="Servicios Financieros"/>
    <n v="1"/>
    <x v="19"/>
    <x v="17"/>
    <x v="47"/>
    <n v="1"/>
    <s v="Gasto corriente"/>
    <x v="0"/>
    <x v="0"/>
    <x v="0"/>
    <x v="0"/>
    <x v="1"/>
    <x v="0"/>
    <x v="0"/>
    <m/>
    <x v="0"/>
    <x v="0"/>
    <m/>
    <m/>
    <m/>
    <m/>
    <m/>
    <n v="125000000"/>
    <m/>
    <x v="0"/>
    <n v="325000000"/>
  </r>
  <r>
    <x v="1"/>
    <x v="8"/>
    <x v="8"/>
    <x v="11"/>
    <s v="Sujetos a Reglas de Operación"/>
    <x v="44"/>
    <x v="147"/>
    <x v="94"/>
    <x v="153"/>
    <n v="3"/>
    <s v="Desarrollo Económico"/>
    <n v="5"/>
    <s v="Servicios Financieros"/>
    <n v="1"/>
    <x v="19"/>
    <x v="17"/>
    <x v="47"/>
    <n v="2"/>
    <s v="Gasto de capital"/>
    <x v="0"/>
    <x v="0"/>
    <x v="0"/>
    <x v="0"/>
    <x v="1"/>
    <x v="0"/>
    <x v="0"/>
    <m/>
    <x v="0"/>
    <x v="0"/>
    <m/>
    <m/>
    <m/>
    <m/>
    <m/>
    <n v="55000000"/>
    <m/>
    <x v="1"/>
    <n v="55000000"/>
  </r>
  <r>
    <x v="1"/>
    <x v="8"/>
    <x v="8"/>
    <x v="11"/>
    <s v="Sujetos a Reglas de Operación"/>
    <x v="45"/>
    <x v="148"/>
    <x v="100"/>
    <x v="169"/>
    <n v="1"/>
    <s v="Gobierno"/>
    <n v="4"/>
    <s v="Gobernación"/>
    <n v="2"/>
    <x v="8"/>
    <x v="19"/>
    <x v="54"/>
    <n v="1"/>
    <s v="Gasto corriente"/>
    <x v="0"/>
    <x v="0"/>
    <x v="0"/>
    <x v="0"/>
    <x v="0"/>
    <x v="0"/>
    <x v="1"/>
    <m/>
    <x v="0"/>
    <x v="0"/>
    <m/>
    <n v="0"/>
    <n v="70000000"/>
    <n v="0"/>
    <n v="70000000"/>
    <n v="40000000"/>
    <m/>
    <x v="26"/>
    <n v="70000000"/>
  </r>
  <r>
    <x v="1"/>
    <x v="8"/>
    <x v="8"/>
    <x v="7"/>
    <s v="Otros Subsidios"/>
    <x v="2"/>
    <x v="149"/>
    <x v="99"/>
    <x v="168"/>
    <n v="2"/>
    <s v="Desarrollo Social"/>
    <n v="3"/>
    <s v="Urbanización, Vivienda y Desarrollo Regional"/>
    <n v="2"/>
    <x v="23"/>
    <x v="13"/>
    <x v="53"/>
    <n v="1"/>
    <s v="Gasto corriente"/>
    <x v="0"/>
    <x v="0"/>
    <x v="0"/>
    <x v="0"/>
    <x v="0"/>
    <x v="0"/>
    <x v="0"/>
    <m/>
    <x v="0"/>
    <x v="0"/>
    <m/>
    <n v="2000000"/>
    <n v="0"/>
    <n v="0"/>
    <n v="2000000"/>
    <n v="8000000"/>
    <m/>
    <x v="1"/>
    <n v="8000000"/>
  </r>
  <r>
    <x v="1"/>
    <x v="8"/>
    <x v="8"/>
    <x v="7"/>
    <s v="Otros Subsidios"/>
    <x v="3"/>
    <x v="150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20000000"/>
    <n v="0"/>
    <n v="0"/>
    <n v="20000000"/>
    <n v="20000000"/>
    <m/>
    <x v="2"/>
    <n v="35000000"/>
  </r>
  <r>
    <x v="1"/>
    <x v="8"/>
    <x v="8"/>
    <x v="7"/>
    <s v="Otros Subsidios"/>
    <x v="5"/>
    <x v="151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3000000"/>
    <n v="1000000"/>
    <n v="0"/>
    <n v="4000000"/>
    <n v="4000000"/>
    <m/>
    <x v="27"/>
    <n v="12000000"/>
  </r>
  <r>
    <x v="1"/>
    <x v="8"/>
    <x v="8"/>
    <x v="7"/>
    <s v="Otros Subsidios"/>
    <x v="8"/>
    <x v="152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17062650"/>
    <n v="0"/>
    <n v="0"/>
    <n v="17062650"/>
    <n v="18000000"/>
    <m/>
    <x v="10"/>
    <n v="118000000"/>
  </r>
  <r>
    <x v="1"/>
    <x v="8"/>
    <x v="8"/>
    <x v="7"/>
    <s v="Otros Subsidios"/>
    <x v="9"/>
    <x v="153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10008000"/>
    <n v="0"/>
    <n v="0"/>
    <n v="10008000"/>
    <n v="9000000"/>
    <m/>
    <x v="24"/>
    <n v="59000000"/>
  </r>
  <r>
    <x v="1"/>
    <x v="8"/>
    <x v="8"/>
    <x v="7"/>
    <s v="Otros Subsidios"/>
    <x v="10"/>
    <x v="154"/>
    <x v="97"/>
    <x v="156"/>
    <n v="2"/>
    <s v="Desarrollo Social"/>
    <n v="5"/>
    <s v="Asistencia Social"/>
    <n v="2"/>
    <x v="21"/>
    <x v="8"/>
    <x v="48"/>
    <n v="1"/>
    <s v="Gasto corriente"/>
    <x v="0"/>
    <x v="0"/>
    <x v="1"/>
    <x v="0"/>
    <x v="1"/>
    <x v="0"/>
    <x v="0"/>
    <m/>
    <x v="0"/>
    <x v="0"/>
    <m/>
    <n v="10493700"/>
    <n v="0"/>
    <n v="0"/>
    <n v="10493700"/>
    <n v="11500000"/>
    <m/>
    <x v="2"/>
    <n v="26500000"/>
  </r>
  <r>
    <x v="1"/>
    <x v="8"/>
    <x v="8"/>
    <x v="7"/>
    <s v="Otros Subsidios"/>
    <x v="11"/>
    <x v="155"/>
    <x v="94"/>
    <x v="153"/>
    <n v="3"/>
    <s v="Desarrollo Económico"/>
    <n v="5"/>
    <s v="Servicios Financieros"/>
    <n v="1"/>
    <x v="19"/>
    <x v="17"/>
    <x v="47"/>
    <n v="1"/>
    <s v="Gasto corriente"/>
    <x v="0"/>
    <x v="0"/>
    <x v="0"/>
    <x v="0"/>
    <x v="0"/>
    <x v="0"/>
    <x v="0"/>
    <m/>
    <x v="0"/>
    <x v="0"/>
    <m/>
    <n v="0"/>
    <n v="50300000"/>
    <n v="0"/>
    <n v="50300000"/>
    <m/>
    <m/>
    <x v="1"/>
    <n v="0"/>
  </r>
  <r>
    <x v="1"/>
    <x v="9"/>
    <x v="9"/>
    <x v="12"/>
    <s v="Funciones de las Fuerzas Armadas"/>
    <x v="2"/>
    <x v="156"/>
    <x v="23"/>
    <x v="192"/>
    <n v="1"/>
    <s v="Gobierno"/>
    <n v="1"/>
    <s v="Seguridad Nacional"/>
    <n v="1"/>
    <x v="26"/>
    <x v="0"/>
    <x v="56"/>
    <n v="1"/>
    <s v="Gasto corriente"/>
    <x v="0"/>
    <x v="1"/>
    <x v="0"/>
    <x v="0"/>
    <x v="0"/>
    <x v="0"/>
    <x v="0"/>
    <m/>
    <x v="0"/>
    <x v="0"/>
    <m/>
    <m/>
    <m/>
    <m/>
    <m/>
    <n v="1023776"/>
    <m/>
    <x v="1"/>
    <n v="1023776"/>
  </r>
  <r>
    <x v="1"/>
    <x v="9"/>
    <x v="9"/>
    <x v="12"/>
    <s v="Funciones de las Fuerzas Armadas"/>
    <x v="2"/>
    <x v="156"/>
    <x v="23"/>
    <x v="192"/>
    <n v="1"/>
    <s v="Gobierno"/>
    <n v="1"/>
    <s v="Seguridad Nacional"/>
    <n v="1"/>
    <x v="26"/>
    <x v="0"/>
    <x v="56"/>
    <n v="1"/>
    <s v="Gasto corriente"/>
    <x v="0"/>
    <x v="0"/>
    <x v="0"/>
    <x v="0"/>
    <x v="0"/>
    <x v="0"/>
    <x v="0"/>
    <m/>
    <x v="0"/>
    <x v="0"/>
    <m/>
    <n v="775675204"/>
    <n v="0"/>
    <n v="0"/>
    <n v="775675204"/>
    <n v="921701045"/>
    <m/>
    <x v="1"/>
    <n v="921701045"/>
  </r>
  <r>
    <x v="1"/>
    <x v="9"/>
    <x v="9"/>
    <x v="12"/>
    <s v="Funciones de las Fuerzas Armadas"/>
    <x v="3"/>
    <x v="157"/>
    <x v="22"/>
    <x v="193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1494359066"/>
    <n v="0"/>
    <n v="0"/>
    <n v="1494359066"/>
    <n v="1518062332"/>
    <m/>
    <x v="1"/>
    <n v="1518062332"/>
  </r>
  <r>
    <x v="1"/>
    <x v="9"/>
    <x v="9"/>
    <x v="12"/>
    <s v="Funciones de las Fuerzas Armadas"/>
    <x v="3"/>
    <x v="157"/>
    <x v="24"/>
    <x v="194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9636417930"/>
    <n v="0"/>
    <n v="0"/>
    <n v="9636417930"/>
    <n v="10617971505"/>
    <m/>
    <x v="1"/>
    <n v="10617971505"/>
  </r>
  <r>
    <x v="1"/>
    <x v="9"/>
    <x v="9"/>
    <x v="12"/>
    <s v="Funciones de las Fuerzas Armadas"/>
    <x v="3"/>
    <x v="157"/>
    <x v="24"/>
    <x v="194"/>
    <n v="1"/>
    <s v="Gobierno"/>
    <n v="1"/>
    <s v="Seguridad Nacional"/>
    <n v="1"/>
    <x v="26"/>
    <x v="1"/>
    <x v="57"/>
    <n v="2"/>
    <s v="Gasto de capital"/>
    <x v="0"/>
    <x v="0"/>
    <x v="0"/>
    <x v="0"/>
    <x v="0"/>
    <x v="0"/>
    <x v="0"/>
    <m/>
    <x v="0"/>
    <x v="0"/>
    <m/>
    <m/>
    <m/>
    <m/>
    <m/>
    <n v="250000000"/>
    <m/>
    <x v="1"/>
    <n v="250000000"/>
  </r>
  <r>
    <x v="1"/>
    <x v="9"/>
    <x v="9"/>
    <x v="12"/>
    <s v="Funciones de las Fuerzas Armadas"/>
    <x v="3"/>
    <x v="157"/>
    <x v="18"/>
    <x v="195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1331369903"/>
    <n v="0"/>
    <n v="0"/>
    <n v="1331369903"/>
    <n v="1476232668"/>
    <m/>
    <x v="1"/>
    <n v="1476232668"/>
  </r>
  <r>
    <x v="1"/>
    <x v="9"/>
    <x v="9"/>
    <x v="12"/>
    <s v="Funciones de las Fuerzas Armadas"/>
    <x v="3"/>
    <x v="157"/>
    <x v="107"/>
    <x v="196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857612904"/>
    <n v="0"/>
    <n v="0"/>
    <n v="857612904"/>
    <n v="953122079"/>
    <m/>
    <x v="1"/>
    <n v="953122079"/>
  </r>
  <r>
    <x v="1"/>
    <x v="9"/>
    <x v="9"/>
    <x v="12"/>
    <s v="Funciones de las Fuerzas Armadas"/>
    <x v="3"/>
    <x v="157"/>
    <x v="83"/>
    <x v="197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763108082"/>
    <n v="0"/>
    <n v="0"/>
    <n v="763108082"/>
    <n v="886421150"/>
    <m/>
    <x v="1"/>
    <n v="886421150"/>
  </r>
  <r>
    <x v="1"/>
    <x v="9"/>
    <x v="9"/>
    <x v="12"/>
    <s v="Funciones de las Fuerzas Armadas"/>
    <x v="3"/>
    <x v="157"/>
    <x v="108"/>
    <x v="198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1320188737"/>
    <n v="0"/>
    <n v="0"/>
    <n v="1320188737"/>
    <n v="1458000785"/>
    <m/>
    <x v="1"/>
    <n v="1458000785"/>
  </r>
  <r>
    <x v="1"/>
    <x v="9"/>
    <x v="9"/>
    <x v="12"/>
    <s v="Funciones de las Fuerzas Armadas"/>
    <x v="3"/>
    <x v="157"/>
    <x v="109"/>
    <x v="199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1642326627"/>
    <n v="0"/>
    <n v="0"/>
    <n v="1642326627"/>
    <n v="1842680179"/>
    <m/>
    <x v="1"/>
    <n v="1842680179"/>
  </r>
  <r>
    <x v="1"/>
    <x v="9"/>
    <x v="9"/>
    <x v="12"/>
    <s v="Funciones de las Fuerzas Armadas"/>
    <x v="3"/>
    <x v="157"/>
    <x v="110"/>
    <x v="200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1778377194"/>
    <n v="0"/>
    <n v="0"/>
    <n v="1778377194"/>
    <n v="1970611938"/>
    <m/>
    <x v="1"/>
    <n v="1970611938"/>
  </r>
  <r>
    <x v="1"/>
    <x v="9"/>
    <x v="9"/>
    <x v="12"/>
    <s v="Funciones de las Fuerzas Armadas"/>
    <x v="3"/>
    <x v="157"/>
    <x v="26"/>
    <x v="201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1306047472"/>
    <n v="0"/>
    <n v="0"/>
    <n v="1306047472"/>
    <n v="1395753335"/>
    <m/>
    <x v="1"/>
    <n v="1395753335"/>
  </r>
  <r>
    <x v="1"/>
    <x v="9"/>
    <x v="9"/>
    <x v="12"/>
    <s v="Funciones de las Fuerzas Armadas"/>
    <x v="3"/>
    <x v="157"/>
    <x v="27"/>
    <x v="202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849993622"/>
    <n v="0"/>
    <n v="0"/>
    <n v="849993622"/>
    <n v="956760148"/>
    <m/>
    <x v="1"/>
    <n v="956760148"/>
  </r>
  <r>
    <x v="1"/>
    <x v="9"/>
    <x v="9"/>
    <x v="12"/>
    <s v="Funciones de las Fuerzas Armadas"/>
    <x v="3"/>
    <x v="157"/>
    <x v="25"/>
    <x v="203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721447559"/>
    <n v="0"/>
    <n v="0"/>
    <n v="721447559"/>
    <n v="805264959"/>
    <m/>
    <x v="1"/>
    <n v="805264959"/>
  </r>
  <r>
    <x v="1"/>
    <x v="9"/>
    <x v="9"/>
    <x v="12"/>
    <s v="Funciones de las Fuerzas Armadas"/>
    <x v="3"/>
    <x v="157"/>
    <x v="28"/>
    <x v="204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947450279"/>
    <n v="0"/>
    <n v="0"/>
    <n v="947450279"/>
    <n v="1067519672"/>
    <m/>
    <x v="1"/>
    <n v="1067519672"/>
  </r>
  <r>
    <x v="1"/>
    <x v="9"/>
    <x v="9"/>
    <x v="12"/>
    <s v="Funciones de las Fuerzas Armadas"/>
    <x v="3"/>
    <x v="157"/>
    <x v="29"/>
    <x v="205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1405666184"/>
    <n v="0"/>
    <n v="0"/>
    <n v="1405666184"/>
    <n v="1542959867"/>
    <m/>
    <x v="1"/>
    <n v="1542959867"/>
  </r>
  <r>
    <x v="1"/>
    <x v="9"/>
    <x v="9"/>
    <x v="12"/>
    <s v="Funciones de las Fuerzas Armadas"/>
    <x v="4"/>
    <x v="158"/>
    <x v="111"/>
    <x v="206"/>
    <n v="1"/>
    <s v="Gobierno"/>
    <n v="1"/>
    <s v="Seguridad Nacional"/>
    <n v="1"/>
    <x v="26"/>
    <x v="1"/>
    <x v="57"/>
    <n v="1"/>
    <s v="Gasto corriente"/>
    <x v="0"/>
    <x v="1"/>
    <x v="0"/>
    <x v="0"/>
    <x v="0"/>
    <x v="0"/>
    <x v="0"/>
    <m/>
    <x v="0"/>
    <x v="0"/>
    <m/>
    <n v="67447"/>
    <n v="0"/>
    <n v="0"/>
    <n v="67447"/>
    <n v="71289"/>
    <m/>
    <x v="1"/>
    <n v="71289"/>
  </r>
  <r>
    <x v="1"/>
    <x v="9"/>
    <x v="9"/>
    <x v="12"/>
    <s v="Funciones de las Fuerzas Armadas"/>
    <x v="4"/>
    <x v="158"/>
    <x v="111"/>
    <x v="206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3197672358"/>
    <n v="0"/>
    <n v="-148924746"/>
    <n v="3048747612"/>
    <n v="3548666775"/>
    <m/>
    <x v="1"/>
    <n v="3548666775"/>
  </r>
  <r>
    <x v="1"/>
    <x v="9"/>
    <x v="9"/>
    <x v="12"/>
    <s v="Funciones de las Fuerzas Armadas"/>
    <x v="4"/>
    <x v="158"/>
    <x v="111"/>
    <x v="206"/>
    <n v="1"/>
    <s v="Gobierno"/>
    <n v="1"/>
    <s v="Seguridad Nacional"/>
    <n v="1"/>
    <x v="26"/>
    <x v="1"/>
    <x v="57"/>
    <n v="2"/>
    <s v="Gasto de capital"/>
    <x v="0"/>
    <x v="0"/>
    <x v="0"/>
    <x v="0"/>
    <x v="0"/>
    <x v="0"/>
    <x v="0"/>
    <m/>
    <x v="0"/>
    <x v="0"/>
    <m/>
    <n v="439000000"/>
    <n v="1000000000"/>
    <n v="0"/>
    <n v="1439000000"/>
    <n v="1292000000"/>
    <m/>
    <x v="1"/>
    <n v="1292000000"/>
  </r>
  <r>
    <x v="1"/>
    <x v="9"/>
    <x v="9"/>
    <x v="12"/>
    <s v="Funciones de las Fuerzas Armadas"/>
    <x v="5"/>
    <x v="159"/>
    <x v="22"/>
    <x v="193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2273296285"/>
    <n v="0"/>
    <n v="0"/>
    <n v="2273296285"/>
    <n v="2498051198"/>
    <m/>
    <x v="1"/>
    <n v="2498051198"/>
  </r>
  <r>
    <x v="1"/>
    <x v="9"/>
    <x v="9"/>
    <x v="12"/>
    <s v="Funciones de las Fuerzas Armadas"/>
    <x v="6"/>
    <x v="160"/>
    <x v="112"/>
    <x v="207"/>
    <n v="1"/>
    <s v="Gobierno"/>
    <n v="6"/>
    <s v="Orden, Seguridad y Justicia"/>
    <n v="3"/>
    <x v="27"/>
    <x v="1"/>
    <x v="57"/>
    <n v="1"/>
    <s v="Gasto corriente"/>
    <x v="0"/>
    <x v="0"/>
    <x v="0"/>
    <x v="0"/>
    <x v="0"/>
    <x v="0"/>
    <x v="0"/>
    <m/>
    <x v="0"/>
    <x v="0"/>
    <m/>
    <n v="200364738"/>
    <n v="0"/>
    <n v="0"/>
    <n v="200364738"/>
    <n v="202799233"/>
    <m/>
    <x v="1"/>
    <n v="202799233"/>
  </r>
  <r>
    <x v="1"/>
    <x v="9"/>
    <x v="9"/>
    <x v="12"/>
    <s v="Funciones de las Fuerzas Armadas"/>
    <x v="7"/>
    <x v="161"/>
    <x v="113"/>
    <x v="208"/>
    <n v="1"/>
    <s v="Gobierno"/>
    <n v="6"/>
    <s v="Orden, Seguridad y Justicia"/>
    <n v="4"/>
    <x v="1"/>
    <x v="1"/>
    <x v="57"/>
    <n v="1"/>
    <s v="Gasto corriente"/>
    <x v="0"/>
    <x v="0"/>
    <x v="0"/>
    <x v="0"/>
    <x v="0"/>
    <x v="0"/>
    <x v="0"/>
    <m/>
    <x v="0"/>
    <x v="0"/>
    <m/>
    <n v="107665412"/>
    <n v="0"/>
    <n v="0"/>
    <n v="107665412"/>
    <n v="108321559"/>
    <m/>
    <x v="1"/>
    <n v="108321559"/>
  </r>
  <r>
    <x v="1"/>
    <x v="9"/>
    <x v="9"/>
    <x v="12"/>
    <s v="Funciones de las Fuerzas Armadas"/>
    <x v="8"/>
    <x v="162"/>
    <x v="20"/>
    <x v="209"/>
    <n v="2"/>
    <s v="Desarrollo Social"/>
    <n v="0"/>
    <s v="Educación"/>
    <n v="2"/>
    <x v="28"/>
    <x v="4"/>
    <x v="58"/>
    <n v="1"/>
    <s v="Gasto corriente"/>
    <x v="0"/>
    <x v="1"/>
    <x v="0"/>
    <x v="0"/>
    <x v="0"/>
    <x v="0"/>
    <x v="0"/>
    <m/>
    <x v="0"/>
    <x v="0"/>
    <m/>
    <n v="59216"/>
    <n v="0"/>
    <n v="0"/>
    <n v="59216"/>
    <n v="62170"/>
    <m/>
    <x v="1"/>
    <n v="62170"/>
  </r>
  <r>
    <x v="1"/>
    <x v="9"/>
    <x v="9"/>
    <x v="12"/>
    <s v="Funciones de las Fuerzas Armadas"/>
    <x v="8"/>
    <x v="162"/>
    <x v="20"/>
    <x v="209"/>
    <n v="2"/>
    <s v="Desarrollo Social"/>
    <n v="0"/>
    <s v="Educación"/>
    <n v="2"/>
    <x v="28"/>
    <x v="4"/>
    <x v="58"/>
    <n v="1"/>
    <s v="Gasto corriente"/>
    <x v="0"/>
    <x v="0"/>
    <x v="0"/>
    <x v="0"/>
    <x v="0"/>
    <x v="0"/>
    <x v="0"/>
    <m/>
    <x v="0"/>
    <x v="0"/>
    <m/>
    <n v="660827741"/>
    <n v="0"/>
    <n v="0"/>
    <n v="660827741"/>
    <n v="691014344"/>
    <m/>
    <x v="1"/>
    <n v="691014344"/>
  </r>
  <r>
    <x v="1"/>
    <x v="9"/>
    <x v="9"/>
    <x v="12"/>
    <s v="Funciones de las Fuerzas Armadas"/>
    <x v="9"/>
    <x v="163"/>
    <x v="20"/>
    <x v="209"/>
    <n v="2"/>
    <s v="Desarrollo Social"/>
    <n v="0"/>
    <s v="Educación"/>
    <n v="3"/>
    <x v="29"/>
    <x v="4"/>
    <x v="58"/>
    <n v="1"/>
    <s v="Gasto corriente"/>
    <x v="0"/>
    <x v="1"/>
    <x v="0"/>
    <x v="0"/>
    <x v="0"/>
    <x v="0"/>
    <x v="0"/>
    <m/>
    <x v="0"/>
    <x v="0"/>
    <m/>
    <n v="6613097"/>
    <n v="0"/>
    <n v="0"/>
    <n v="6613097"/>
    <n v="6593489"/>
    <m/>
    <x v="1"/>
    <n v="6593489"/>
  </r>
  <r>
    <x v="1"/>
    <x v="9"/>
    <x v="9"/>
    <x v="12"/>
    <s v="Funciones de las Fuerzas Armadas"/>
    <x v="9"/>
    <x v="163"/>
    <x v="20"/>
    <x v="209"/>
    <n v="2"/>
    <s v="Desarrollo Social"/>
    <n v="0"/>
    <s v="Educación"/>
    <n v="3"/>
    <x v="29"/>
    <x v="4"/>
    <x v="58"/>
    <n v="1"/>
    <s v="Gasto corriente"/>
    <x v="0"/>
    <x v="0"/>
    <x v="0"/>
    <x v="0"/>
    <x v="0"/>
    <x v="0"/>
    <x v="0"/>
    <m/>
    <x v="0"/>
    <x v="0"/>
    <m/>
    <n v="511521624"/>
    <n v="0"/>
    <n v="0"/>
    <n v="511521624"/>
    <n v="559823359"/>
    <m/>
    <x v="1"/>
    <n v="559823359"/>
  </r>
  <r>
    <x v="1"/>
    <x v="9"/>
    <x v="9"/>
    <x v="12"/>
    <s v="Funciones de las Fuerzas Armadas"/>
    <x v="10"/>
    <x v="164"/>
    <x v="6"/>
    <x v="210"/>
    <n v="2"/>
    <s v="Desarrollo Social"/>
    <n v="1"/>
    <s v="Salud"/>
    <n v="2"/>
    <x v="30"/>
    <x v="11"/>
    <x v="59"/>
    <n v="1"/>
    <s v="Gasto corriente"/>
    <x v="0"/>
    <x v="0"/>
    <x v="0"/>
    <x v="0"/>
    <x v="0"/>
    <x v="0"/>
    <x v="0"/>
    <m/>
    <x v="0"/>
    <x v="0"/>
    <m/>
    <n v="3968644674"/>
    <n v="250000000"/>
    <n v="0"/>
    <n v="4218644674"/>
    <n v="4416255331"/>
    <m/>
    <x v="1"/>
    <n v="4416255331"/>
  </r>
  <r>
    <x v="1"/>
    <x v="9"/>
    <x v="9"/>
    <x v="12"/>
    <s v="Funciones de las Fuerzas Armadas"/>
    <x v="11"/>
    <x v="165"/>
    <x v="109"/>
    <x v="199"/>
    <n v="1"/>
    <s v="Gobierno"/>
    <n v="1"/>
    <s v="Seguridad Nacional"/>
    <n v="1"/>
    <x v="26"/>
    <x v="1"/>
    <x v="57"/>
    <n v="1"/>
    <s v="Gasto corriente"/>
    <x v="0"/>
    <x v="0"/>
    <x v="0"/>
    <x v="0"/>
    <x v="0"/>
    <x v="0"/>
    <x v="0"/>
    <m/>
    <x v="0"/>
    <x v="0"/>
    <m/>
    <n v="1386774"/>
    <n v="0"/>
    <n v="0"/>
    <n v="1386774"/>
    <n v="1710133"/>
    <m/>
    <x v="1"/>
    <n v="1710133"/>
  </r>
  <r>
    <x v="1"/>
    <x v="9"/>
    <x v="9"/>
    <x v="12"/>
    <s v="Funciones de las Fuerzas Armadas"/>
    <x v="18"/>
    <x v="166"/>
    <x v="114"/>
    <x v="211"/>
    <n v="1"/>
    <s v="Gobierno"/>
    <n v="6"/>
    <s v="Orden, Seguridad y Justicia"/>
    <n v="5"/>
    <x v="3"/>
    <x v="1"/>
    <x v="57"/>
    <n v="1"/>
    <s v="Gasto corriente"/>
    <x v="0"/>
    <x v="0"/>
    <x v="0"/>
    <x v="0"/>
    <x v="0"/>
    <x v="0"/>
    <x v="0"/>
    <m/>
    <x v="0"/>
    <x v="0"/>
    <m/>
    <n v="36525408"/>
    <n v="0"/>
    <n v="0"/>
    <n v="36525408"/>
    <n v="41556961"/>
    <m/>
    <x v="1"/>
    <n v="41556961"/>
  </r>
  <r>
    <x v="1"/>
    <x v="9"/>
    <x v="9"/>
    <x v="12"/>
    <s v="Funciones de las Fuerzas Armadas"/>
    <x v="19"/>
    <x v="167"/>
    <x v="19"/>
    <x v="212"/>
    <n v="1"/>
    <s v="Gobierno"/>
    <n v="1"/>
    <s v="Seguridad Nacional"/>
    <n v="1"/>
    <x v="26"/>
    <x v="0"/>
    <x v="56"/>
    <n v="1"/>
    <s v="Gasto corriente"/>
    <x v="0"/>
    <x v="0"/>
    <x v="0"/>
    <x v="0"/>
    <x v="0"/>
    <x v="0"/>
    <x v="0"/>
    <m/>
    <x v="0"/>
    <x v="0"/>
    <m/>
    <n v="803423737"/>
    <n v="0"/>
    <n v="0"/>
    <n v="803423737"/>
    <n v="931300794"/>
    <m/>
    <x v="1"/>
    <n v="931300794"/>
  </r>
  <r>
    <x v="1"/>
    <x v="9"/>
    <x v="9"/>
    <x v="12"/>
    <s v="Funciones de las Fuerzas Armadas"/>
    <x v="22"/>
    <x v="168"/>
    <x v="115"/>
    <x v="213"/>
    <n v="1"/>
    <s v="Gobierno"/>
    <n v="1"/>
    <s v="Seguridad Nacional"/>
    <n v="1"/>
    <x v="26"/>
    <x v="0"/>
    <x v="56"/>
    <n v="1"/>
    <s v="Gasto corriente"/>
    <x v="0"/>
    <x v="0"/>
    <x v="0"/>
    <x v="0"/>
    <x v="0"/>
    <x v="0"/>
    <x v="0"/>
    <m/>
    <x v="0"/>
    <x v="0"/>
    <m/>
    <n v="1596246631"/>
    <n v="0"/>
    <n v="0"/>
    <n v="1596246631"/>
    <n v="2193402331"/>
    <m/>
    <x v="1"/>
    <n v="2193402331"/>
  </r>
  <r>
    <x v="1"/>
    <x v="9"/>
    <x v="9"/>
    <x v="12"/>
    <s v="Funciones de las Fuerzas Armadas"/>
    <x v="46"/>
    <x v="169"/>
    <x v="116"/>
    <x v="93"/>
    <n v="1"/>
    <s v="Gobierno"/>
    <n v="1"/>
    <s v="Seguridad Nacional"/>
    <n v="1"/>
    <x v="26"/>
    <x v="3"/>
    <x v="12"/>
    <n v="1"/>
    <s v="Gasto corriente"/>
    <x v="0"/>
    <x v="0"/>
    <x v="0"/>
    <x v="0"/>
    <x v="0"/>
    <x v="0"/>
    <x v="1"/>
    <m/>
    <x v="0"/>
    <x v="0"/>
    <m/>
    <n v="10000000"/>
    <n v="0"/>
    <n v="0"/>
    <n v="10000000"/>
    <n v="10000000"/>
    <m/>
    <x v="1"/>
    <n v="10000000"/>
  </r>
  <r>
    <x v="1"/>
    <x v="9"/>
    <x v="9"/>
    <x v="12"/>
    <s v="Funciones de las Fuerzas Armadas"/>
    <x v="46"/>
    <x v="169"/>
    <x v="114"/>
    <x v="211"/>
    <n v="1"/>
    <s v="Gobierno"/>
    <n v="6"/>
    <s v="Orden, Seguridad y Justicia"/>
    <n v="5"/>
    <x v="3"/>
    <x v="1"/>
    <x v="57"/>
    <n v="1"/>
    <s v="Gasto corriente"/>
    <x v="0"/>
    <x v="0"/>
    <x v="0"/>
    <x v="0"/>
    <x v="0"/>
    <x v="0"/>
    <x v="1"/>
    <m/>
    <x v="0"/>
    <x v="0"/>
    <m/>
    <n v="90000000"/>
    <n v="0"/>
    <n v="0"/>
    <n v="90000000"/>
    <n v="94000000"/>
    <m/>
    <x v="1"/>
    <n v="94000000"/>
  </r>
  <r>
    <x v="1"/>
    <x v="9"/>
    <x v="9"/>
    <x v="0"/>
    <s v="Proyectos de Inversión"/>
    <x v="22"/>
    <x v="170"/>
    <x v="115"/>
    <x v="213"/>
    <n v="1"/>
    <s v="Gobierno"/>
    <n v="1"/>
    <s v="Seguridad Nacional"/>
    <n v="1"/>
    <x v="26"/>
    <x v="0"/>
    <x v="56"/>
    <n v="2"/>
    <s v="Gasto de capital"/>
    <x v="0"/>
    <x v="0"/>
    <x v="0"/>
    <x v="0"/>
    <x v="0"/>
    <x v="0"/>
    <x v="0"/>
    <m/>
    <x v="0"/>
    <x v="0"/>
    <m/>
    <n v="5000"/>
    <n v="0"/>
    <n v="0"/>
    <n v="5000"/>
    <n v="5000"/>
    <m/>
    <x v="1"/>
    <n v="5000"/>
  </r>
  <r>
    <x v="1"/>
    <x v="9"/>
    <x v="9"/>
    <x v="2"/>
    <s v="Apoyo al proceso presupuestario y para mejorar la eficiencia institucional"/>
    <x v="2"/>
    <x v="34"/>
    <x v="3"/>
    <x v="214"/>
    <n v="1"/>
    <s v="Gobierno"/>
    <n v="1"/>
    <s v="Seguridad Nacional"/>
    <n v="1"/>
    <x v="26"/>
    <x v="3"/>
    <x v="12"/>
    <n v="1"/>
    <s v="Gasto corriente"/>
    <x v="0"/>
    <x v="1"/>
    <x v="0"/>
    <x v="0"/>
    <x v="0"/>
    <x v="0"/>
    <x v="0"/>
    <m/>
    <x v="0"/>
    <x v="0"/>
    <m/>
    <m/>
    <n v="0"/>
    <n v="0"/>
    <m/>
    <n v="199500"/>
    <m/>
    <x v="1"/>
    <n v="199500"/>
  </r>
  <r>
    <x v="1"/>
    <x v="9"/>
    <x v="9"/>
    <x v="2"/>
    <s v="Apoyo al proceso presupuestario y para mejorar la eficiencia institucional"/>
    <x v="2"/>
    <x v="34"/>
    <x v="3"/>
    <x v="214"/>
    <n v="1"/>
    <s v="Gobierno"/>
    <n v="1"/>
    <s v="Seguridad Nacional"/>
    <n v="1"/>
    <x v="26"/>
    <x v="3"/>
    <x v="12"/>
    <n v="1"/>
    <s v="Gasto corriente"/>
    <x v="0"/>
    <x v="0"/>
    <x v="0"/>
    <x v="0"/>
    <x v="0"/>
    <x v="0"/>
    <x v="0"/>
    <m/>
    <x v="0"/>
    <x v="0"/>
    <m/>
    <n v="3133335369"/>
    <n v="0"/>
    <n v="0"/>
    <n v="3133335369"/>
    <n v="4978600511"/>
    <m/>
    <x v="1"/>
    <n v="4978600511"/>
  </r>
  <r>
    <x v="1"/>
    <x v="9"/>
    <x v="9"/>
    <x v="2"/>
    <s v="Apoyo al proceso presupuestario y para mejorar la eficiencia institucional"/>
    <x v="2"/>
    <x v="34"/>
    <x v="116"/>
    <x v="93"/>
    <n v="1"/>
    <s v="Gobierno"/>
    <n v="1"/>
    <s v="Seguridad Nacional"/>
    <n v="1"/>
    <x v="26"/>
    <x v="3"/>
    <x v="12"/>
    <n v="1"/>
    <s v="Gasto corriente"/>
    <x v="0"/>
    <x v="0"/>
    <x v="0"/>
    <x v="0"/>
    <x v="0"/>
    <x v="0"/>
    <x v="0"/>
    <m/>
    <x v="0"/>
    <x v="0"/>
    <m/>
    <n v="139828892"/>
    <n v="0"/>
    <n v="0"/>
    <n v="139828892"/>
    <n v="227244157"/>
    <m/>
    <x v="1"/>
    <n v="227244157"/>
  </r>
  <r>
    <x v="1"/>
    <x v="9"/>
    <x v="9"/>
    <x v="2"/>
    <s v="Apoyo al proceso presupuestario y para mejorar la eficiencia institucional"/>
    <x v="2"/>
    <x v="34"/>
    <x v="117"/>
    <x v="215"/>
    <n v="1"/>
    <s v="Gobierno"/>
    <n v="1"/>
    <s v="Seguridad Nacional"/>
    <n v="1"/>
    <x v="26"/>
    <x v="3"/>
    <x v="12"/>
    <n v="1"/>
    <s v="Gasto corriente"/>
    <x v="0"/>
    <x v="0"/>
    <x v="0"/>
    <x v="0"/>
    <x v="0"/>
    <x v="0"/>
    <x v="0"/>
    <m/>
    <x v="0"/>
    <x v="0"/>
    <m/>
    <n v="303809891"/>
    <n v="0"/>
    <n v="0"/>
    <n v="303809891"/>
    <n v="343852999"/>
    <m/>
    <x v="1"/>
    <n v="343852999"/>
  </r>
  <r>
    <x v="1"/>
    <x v="9"/>
    <x v="9"/>
    <x v="1"/>
    <s v="Específicos"/>
    <x v="17"/>
    <x v="171"/>
    <x v="20"/>
    <x v="209"/>
    <n v="2"/>
    <s v="Desarrollo Social"/>
    <n v="0"/>
    <s v="Educación"/>
    <n v="1"/>
    <x v="31"/>
    <x v="5"/>
    <x v="60"/>
    <n v="1"/>
    <s v="Gasto corriente"/>
    <x v="0"/>
    <x v="0"/>
    <x v="0"/>
    <x v="0"/>
    <x v="0"/>
    <x v="0"/>
    <x v="0"/>
    <m/>
    <x v="0"/>
    <x v="0"/>
    <m/>
    <m/>
    <m/>
    <m/>
    <m/>
    <n v="8840000"/>
    <m/>
    <x v="1"/>
    <n v="8840000"/>
  </r>
  <r>
    <x v="1"/>
    <x v="9"/>
    <x v="9"/>
    <x v="1"/>
    <s v="Específicos"/>
    <x v="17"/>
    <x v="171"/>
    <x v="20"/>
    <x v="209"/>
    <n v="2"/>
    <s v="Desarrollo Social"/>
    <n v="0"/>
    <s v="Educación"/>
    <n v="2"/>
    <x v="28"/>
    <x v="5"/>
    <x v="60"/>
    <n v="1"/>
    <s v="Gasto corriente"/>
    <x v="0"/>
    <x v="0"/>
    <x v="0"/>
    <x v="0"/>
    <x v="0"/>
    <x v="0"/>
    <x v="0"/>
    <m/>
    <x v="0"/>
    <x v="0"/>
    <m/>
    <n v="81328000"/>
    <n v="0"/>
    <n v="0"/>
    <n v="81328000"/>
    <n v="81328000"/>
    <m/>
    <x v="1"/>
    <n v="81328000"/>
  </r>
  <r>
    <x v="1"/>
    <x v="9"/>
    <x v="9"/>
    <x v="1"/>
    <s v="Específicos"/>
    <x v="17"/>
    <x v="171"/>
    <x v="20"/>
    <x v="209"/>
    <n v="2"/>
    <s v="Desarrollo Social"/>
    <n v="0"/>
    <s v="Educación"/>
    <n v="3"/>
    <x v="29"/>
    <x v="5"/>
    <x v="60"/>
    <n v="1"/>
    <s v="Gasto corriente"/>
    <x v="0"/>
    <x v="0"/>
    <x v="0"/>
    <x v="0"/>
    <x v="0"/>
    <x v="0"/>
    <x v="0"/>
    <m/>
    <x v="0"/>
    <x v="0"/>
    <m/>
    <n v="139672000"/>
    <n v="0"/>
    <n v="0"/>
    <n v="139672000"/>
    <n v="139672000"/>
    <m/>
    <x v="1"/>
    <n v="139672000"/>
  </r>
  <r>
    <x v="1"/>
    <x v="10"/>
    <x v="10"/>
    <x v="4"/>
    <s v="Prestación de Servicios Públicos"/>
    <x v="2"/>
    <x v="172"/>
    <x v="118"/>
    <x v="216"/>
    <n v="2"/>
    <s v="Desarrollo Social"/>
    <n v="0"/>
    <s v="Educación"/>
    <n v="2"/>
    <x v="28"/>
    <x v="1"/>
    <x v="61"/>
    <n v="1"/>
    <s v="Gasto corriente"/>
    <x v="0"/>
    <x v="1"/>
    <x v="0"/>
    <x v="0"/>
    <x v="1"/>
    <x v="0"/>
    <x v="0"/>
    <m/>
    <x v="0"/>
    <x v="0"/>
    <m/>
    <n v="17203300"/>
    <n v="0"/>
    <n v="0"/>
    <n v="17203300"/>
    <n v="23673149"/>
    <m/>
    <x v="1"/>
    <n v="23673149"/>
  </r>
  <r>
    <x v="1"/>
    <x v="10"/>
    <x v="10"/>
    <x v="4"/>
    <s v="Prestación de Servicios Públicos"/>
    <x v="2"/>
    <x v="172"/>
    <x v="118"/>
    <x v="216"/>
    <n v="2"/>
    <s v="Desarrollo Social"/>
    <n v="0"/>
    <s v="Educación"/>
    <n v="2"/>
    <x v="28"/>
    <x v="1"/>
    <x v="61"/>
    <n v="1"/>
    <s v="Gasto corriente"/>
    <x v="0"/>
    <x v="0"/>
    <x v="0"/>
    <x v="0"/>
    <x v="1"/>
    <x v="0"/>
    <x v="0"/>
    <m/>
    <x v="0"/>
    <x v="0"/>
    <m/>
    <n v="366829286"/>
    <n v="0"/>
    <n v="-24307"/>
    <n v="366804979"/>
    <n v="388071386"/>
    <m/>
    <x v="28"/>
    <n v="408771386"/>
  </r>
  <r>
    <x v="1"/>
    <x v="10"/>
    <x v="10"/>
    <x v="4"/>
    <s v="Prestación de Servicios Públicos"/>
    <x v="2"/>
    <x v="172"/>
    <x v="40"/>
    <x v="217"/>
    <n v="2"/>
    <s v="Desarrollo Social"/>
    <n v="0"/>
    <s v="Educación"/>
    <n v="2"/>
    <x v="28"/>
    <x v="1"/>
    <x v="61"/>
    <n v="1"/>
    <s v="Gasto corriente"/>
    <x v="0"/>
    <x v="1"/>
    <x v="0"/>
    <x v="0"/>
    <x v="1"/>
    <x v="0"/>
    <x v="0"/>
    <m/>
    <x v="0"/>
    <x v="0"/>
    <m/>
    <m/>
    <m/>
    <m/>
    <m/>
    <n v="916747"/>
    <m/>
    <x v="1"/>
    <n v="916747"/>
  </r>
  <r>
    <x v="1"/>
    <x v="10"/>
    <x v="10"/>
    <x v="4"/>
    <s v="Prestación de Servicios Públicos"/>
    <x v="2"/>
    <x v="172"/>
    <x v="40"/>
    <x v="217"/>
    <n v="2"/>
    <s v="Desarrollo Social"/>
    <n v="0"/>
    <s v="Educación"/>
    <n v="2"/>
    <x v="28"/>
    <x v="1"/>
    <x v="61"/>
    <n v="1"/>
    <s v="Gasto corriente"/>
    <x v="0"/>
    <x v="0"/>
    <x v="0"/>
    <x v="0"/>
    <x v="1"/>
    <x v="0"/>
    <x v="0"/>
    <m/>
    <x v="0"/>
    <x v="0"/>
    <m/>
    <n v="1925860"/>
    <n v="0"/>
    <n v="0"/>
    <n v="1925860"/>
    <n v="12712327"/>
    <m/>
    <x v="23"/>
    <n v="37712327"/>
  </r>
  <r>
    <x v="1"/>
    <x v="10"/>
    <x v="10"/>
    <x v="4"/>
    <s v="Prestación de Servicios Públicos"/>
    <x v="2"/>
    <x v="172"/>
    <x v="40"/>
    <x v="217"/>
    <n v="2"/>
    <s v="Desarrollo Social"/>
    <n v="0"/>
    <s v="Educación"/>
    <n v="2"/>
    <x v="28"/>
    <x v="1"/>
    <x v="61"/>
    <n v="2"/>
    <s v="Gasto de capital"/>
    <x v="0"/>
    <x v="0"/>
    <x v="0"/>
    <x v="0"/>
    <x v="1"/>
    <x v="0"/>
    <x v="0"/>
    <m/>
    <x v="0"/>
    <x v="0"/>
    <m/>
    <n v="107804"/>
    <n v="0"/>
    <n v="0"/>
    <n v="107804"/>
    <m/>
    <m/>
    <x v="1"/>
    <n v="0"/>
  </r>
  <r>
    <x v="1"/>
    <x v="10"/>
    <x v="10"/>
    <x v="4"/>
    <s v="Prestación de Servicios Públicos"/>
    <x v="3"/>
    <x v="173"/>
    <x v="118"/>
    <x v="216"/>
    <n v="2"/>
    <s v="Desarrollo Social"/>
    <n v="0"/>
    <s v="Educación"/>
    <n v="3"/>
    <x v="29"/>
    <x v="0"/>
    <x v="62"/>
    <n v="1"/>
    <s v="Gasto corriente"/>
    <x v="0"/>
    <x v="1"/>
    <x v="0"/>
    <x v="0"/>
    <x v="1"/>
    <x v="0"/>
    <x v="0"/>
    <m/>
    <x v="0"/>
    <x v="0"/>
    <m/>
    <n v="29863100"/>
    <n v="0"/>
    <n v="0"/>
    <n v="29863100"/>
    <n v="33112831"/>
    <m/>
    <x v="1"/>
    <n v="33112831"/>
  </r>
  <r>
    <x v="1"/>
    <x v="10"/>
    <x v="10"/>
    <x v="4"/>
    <s v="Prestación de Servicios Públicos"/>
    <x v="3"/>
    <x v="173"/>
    <x v="118"/>
    <x v="216"/>
    <n v="2"/>
    <s v="Desarrollo Social"/>
    <n v="0"/>
    <s v="Educación"/>
    <n v="3"/>
    <x v="29"/>
    <x v="0"/>
    <x v="62"/>
    <n v="1"/>
    <s v="Gasto corriente"/>
    <x v="0"/>
    <x v="0"/>
    <x v="0"/>
    <x v="0"/>
    <x v="1"/>
    <x v="0"/>
    <x v="0"/>
    <m/>
    <x v="0"/>
    <x v="0"/>
    <m/>
    <n v="608947042"/>
    <n v="0"/>
    <n v="-42195"/>
    <n v="608904847"/>
    <n v="597929869"/>
    <m/>
    <x v="1"/>
    <n v="597929869"/>
  </r>
  <r>
    <x v="1"/>
    <x v="10"/>
    <x v="10"/>
    <x v="4"/>
    <s v="Prestación de Servicios Públicos"/>
    <x v="3"/>
    <x v="173"/>
    <x v="118"/>
    <x v="216"/>
    <n v="2"/>
    <s v="Desarrollo Social"/>
    <n v="0"/>
    <s v="Educación"/>
    <n v="3"/>
    <x v="29"/>
    <x v="0"/>
    <x v="62"/>
    <n v="2"/>
    <s v="Gasto de capital"/>
    <x v="0"/>
    <x v="0"/>
    <x v="0"/>
    <x v="0"/>
    <x v="1"/>
    <x v="0"/>
    <x v="0"/>
    <m/>
    <x v="0"/>
    <x v="0"/>
    <m/>
    <n v="68700000"/>
    <n v="0"/>
    <n v="0"/>
    <n v="68700000"/>
    <m/>
    <m/>
    <x v="1"/>
    <n v="0"/>
  </r>
  <r>
    <x v="1"/>
    <x v="10"/>
    <x v="10"/>
    <x v="4"/>
    <s v="Prestación de Servicios Públicos"/>
    <x v="3"/>
    <x v="173"/>
    <x v="40"/>
    <x v="217"/>
    <n v="2"/>
    <s v="Desarrollo Social"/>
    <n v="0"/>
    <s v="Educación"/>
    <n v="3"/>
    <x v="29"/>
    <x v="0"/>
    <x v="62"/>
    <n v="1"/>
    <s v="Gasto corriente"/>
    <x v="0"/>
    <x v="1"/>
    <x v="0"/>
    <x v="0"/>
    <x v="1"/>
    <x v="0"/>
    <x v="0"/>
    <m/>
    <x v="0"/>
    <x v="0"/>
    <m/>
    <n v="2368808"/>
    <n v="0"/>
    <n v="0"/>
    <n v="2368808"/>
    <m/>
    <m/>
    <x v="1"/>
    <n v="0"/>
  </r>
  <r>
    <x v="1"/>
    <x v="10"/>
    <x v="10"/>
    <x v="4"/>
    <s v="Prestación de Servicios Públicos"/>
    <x v="3"/>
    <x v="173"/>
    <x v="40"/>
    <x v="217"/>
    <n v="2"/>
    <s v="Desarrollo Social"/>
    <n v="0"/>
    <s v="Educación"/>
    <n v="3"/>
    <x v="29"/>
    <x v="0"/>
    <x v="62"/>
    <n v="1"/>
    <s v="Gasto corriente"/>
    <x v="0"/>
    <x v="0"/>
    <x v="0"/>
    <x v="0"/>
    <x v="1"/>
    <x v="0"/>
    <x v="0"/>
    <m/>
    <x v="0"/>
    <x v="0"/>
    <m/>
    <n v="34866289"/>
    <n v="0"/>
    <n v="-4537"/>
    <n v="34861752"/>
    <n v="25732481"/>
    <m/>
    <x v="1"/>
    <n v="25732481"/>
  </r>
  <r>
    <x v="1"/>
    <x v="10"/>
    <x v="10"/>
    <x v="4"/>
    <s v="Prestación de Servicios Públicos"/>
    <x v="3"/>
    <x v="173"/>
    <x v="40"/>
    <x v="217"/>
    <n v="2"/>
    <s v="Desarrollo Social"/>
    <n v="0"/>
    <s v="Educación"/>
    <n v="3"/>
    <x v="29"/>
    <x v="0"/>
    <x v="62"/>
    <n v="2"/>
    <s v="Gasto de capital"/>
    <x v="0"/>
    <x v="0"/>
    <x v="0"/>
    <x v="0"/>
    <x v="1"/>
    <x v="0"/>
    <x v="0"/>
    <m/>
    <x v="0"/>
    <x v="0"/>
    <m/>
    <n v="3193500"/>
    <n v="0"/>
    <n v="0"/>
    <n v="3193500"/>
    <m/>
    <m/>
    <x v="1"/>
    <n v="0"/>
  </r>
  <r>
    <x v="1"/>
    <x v="10"/>
    <x v="10"/>
    <x v="4"/>
    <s v="Prestación de Servicios Públicos"/>
    <x v="4"/>
    <x v="174"/>
    <x v="118"/>
    <x v="216"/>
    <n v="2"/>
    <s v="Desarrollo Social"/>
    <n v="0"/>
    <s v="Educación"/>
    <n v="3"/>
    <x v="29"/>
    <x v="0"/>
    <x v="62"/>
    <n v="1"/>
    <s v="Gasto corriente"/>
    <x v="0"/>
    <x v="1"/>
    <x v="0"/>
    <x v="0"/>
    <x v="1"/>
    <x v="0"/>
    <x v="0"/>
    <m/>
    <x v="0"/>
    <x v="0"/>
    <m/>
    <n v="8093900"/>
    <n v="0"/>
    <n v="0"/>
    <n v="8093900"/>
    <n v="8441800"/>
    <m/>
    <x v="1"/>
    <n v="8441800"/>
  </r>
  <r>
    <x v="1"/>
    <x v="10"/>
    <x v="10"/>
    <x v="4"/>
    <s v="Prestación de Servicios Públicos"/>
    <x v="4"/>
    <x v="174"/>
    <x v="118"/>
    <x v="216"/>
    <n v="2"/>
    <s v="Desarrollo Social"/>
    <n v="0"/>
    <s v="Educación"/>
    <n v="3"/>
    <x v="29"/>
    <x v="0"/>
    <x v="62"/>
    <n v="1"/>
    <s v="Gasto corriente"/>
    <x v="0"/>
    <x v="0"/>
    <x v="0"/>
    <x v="0"/>
    <x v="1"/>
    <x v="0"/>
    <x v="0"/>
    <m/>
    <x v="0"/>
    <x v="0"/>
    <m/>
    <n v="121272200"/>
    <n v="0"/>
    <n v="-11436"/>
    <n v="121260764"/>
    <n v="124893700"/>
    <m/>
    <x v="1"/>
    <n v="124893700"/>
  </r>
  <r>
    <x v="1"/>
    <x v="10"/>
    <x v="10"/>
    <x v="4"/>
    <s v="Prestación de Servicios Públicos"/>
    <x v="5"/>
    <x v="175"/>
    <x v="118"/>
    <x v="216"/>
    <n v="2"/>
    <s v="Desarrollo Social"/>
    <n v="0"/>
    <s v="Educación"/>
    <n v="4"/>
    <x v="32"/>
    <x v="4"/>
    <x v="63"/>
    <n v="1"/>
    <s v="Gasto corriente"/>
    <x v="0"/>
    <x v="1"/>
    <x v="0"/>
    <x v="1"/>
    <x v="1"/>
    <x v="0"/>
    <x v="0"/>
    <m/>
    <x v="0"/>
    <x v="0"/>
    <m/>
    <n v="4612900"/>
    <n v="0"/>
    <n v="0"/>
    <n v="4612900"/>
    <n v="4811200"/>
    <m/>
    <x v="1"/>
    <n v="4811200"/>
  </r>
  <r>
    <x v="1"/>
    <x v="10"/>
    <x v="10"/>
    <x v="4"/>
    <s v="Prestación de Servicios Públicos"/>
    <x v="5"/>
    <x v="175"/>
    <x v="118"/>
    <x v="216"/>
    <n v="2"/>
    <s v="Desarrollo Social"/>
    <n v="0"/>
    <s v="Educación"/>
    <n v="4"/>
    <x v="32"/>
    <x v="4"/>
    <x v="63"/>
    <n v="1"/>
    <s v="Gasto corriente"/>
    <x v="0"/>
    <x v="0"/>
    <x v="0"/>
    <x v="1"/>
    <x v="1"/>
    <x v="0"/>
    <x v="0"/>
    <m/>
    <x v="0"/>
    <x v="0"/>
    <m/>
    <n v="65981600"/>
    <n v="0"/>
    <n v="-6518"/>
    <n v="65975082"/>
    <n v="68067900"/>
    <m/>
    <x v="1"/>
    <n v="68067900"/>
  </r>
  <r>
    <x v="1"/>
    <x v="10"/>
    <x v="10"/>
    <x v="4"/>
    <s v="Prestación de Servicios Públicos"/>
    <x v="5"/>
    <x v="175"/>
    <x v="119"/>
    <x v="218"/>
    <n v="2"/>
    <s v="Desarrollo Social"/>
    <n v="0"/>
    <s v="Educación"/>
    <n v="4"/>
    <x v="32"/>
    <x v="4"/>
    <x v="63"/>
    <n v="1"/>
    <s v="Gasto corriente"/>
    <x v="0"/>
    <x v="1"/>
    <x v="0"/>
    <x v="1"/>
    <x v="1"/>
    <x v="0"/>
    <x v="0"/>
    <m/>
    <x v="0"/>
    <x v="0"/>
    <m/>
    <n v="12416189"/>
    <n v="0"/>
    <n v="0"/>
    <n v="12416189"/>
    <n v="12416189"/>
    <m/>
    <x v="1"/>
    <n v="12416189"/>
  </r>
  <r>
    <x v="1"/>
    <x v="10"/>
    <x v="10"/>
    <x v="4"/>
    <s v="Prestación de Servicios Públicos"/>
    <x v="5"/>
    <x v="175"/>
    <x v="119"/>
    <x v="218"/>
    <n v="2"/>
    <s v="Desarrollo Social"/>
    <n v="0"/>
    <s v="Educación"/>
    <n v="4"/>
    <x v="32"/>
    <x v="4"/>
    <x v="63"/>
    <n v="1"/>
    <s v="Gasto corriente"/>
    <x v="0"/>
    <x v="0"/>
    <x v="0"/>
    <x v="1"/>
    <x v="1"/>
    <x v="0"/>
    <x v="0"/>
    <m/>
    <x v="0"/>
    <x v="0"/>
    <m/>
    <n v="635753036"/>
    <n v="0"/>
    <n v="-16421"/>
    <n v="635736615"/>
    <n v="632092622"/>
    <m/>
    <x v="29"/>
    <n v="752092622"/>
  </r>
  <r>
    <x v="1"/>
    <x v="10"/>
    <x v="10"/>
    <x v="4"/>
    <s v="Prestación de Servicios Públicos"/>
    <x v="6"/>
    <x v="176"/>
    <x v="118"/>
    <x v="216"/>
    <n v="3"/>
    <s v="Desarrollo Económico"/>
    <n v="7"/>
    <s v="Ciencia y Tecnología"/>
    <n v="1"/>
    <x v="33"/>
    <x v="4"/>
    <x v="63"/>
    <n v="1"/>
    <s v="Gasto corriente"/>
    <x v="0"/>
    <x v="1"/>
    <x v="0"/>
    <x v="1"/>
    <x v="1"/>
    <x v="0"/>
    <x v="0"/>
    <m/>
    <x v="0"/>
    <x v="1"/>
    <m/>
    <n v="6514921"/>
    <n v="0"/>
    <n v="0"/>
    <n v="6514921"/>
    <n v="6795000"/>
    <m/>
    <x v="1"/>
    <n v="6795000"/>
  </r>
  <r>
    <x v="1"/>
    <x v="10"/>
    <x v="10"/>
    <x v="4"/>
    <s v="Prestación de Servicios Públicos"/>
    <x v="6"/>
    <x v="176"/>
    <x v="118"/>
    <x v="216"/>
    <n v="3"/>
    <s v="Desarrollo Económico"/>
    <n v="7"/>
    <s v="Ciencia y Tecnología"/>
    <n v="1"/>
    <x v="33"/>
    <x v="4"/>
    <x v="63"/>
    <n v="1"/>
    <s v="Gasto corriente"/>
    <x v="0"/>
    <x v="0"/>
    <x v="0"/>
    <x v="1"/>
    <x v="1"/>
    <x v="0"/>
    <x v="0"/>
    <m/>
    <x v="0"/>
    <x v="1"/>
    <m/>
    <n v="97096177"/>
    <n v="0"/>
    <n v="-9205"/>
    <n v="97086972"/>
    <n v="99817702"/>
    <m/>
    <x v="1"/>
    <n v="99817702"/>
  </r>
  <r>
    <x v="1"/>
    <x v="10"/>
    <x v="10"/>
    <x v="4"/>
    <s v="Prestación de Servicios Públicos"/>
    <x v="6"/>
    <x v="176"/>
    <x v="120"/>
    <x v="219"/>
    <n v="3"/>
    <s v="Desarrollo Económico"/>
    <n v="7"/>
    <s v="Ciencia y Tecnología"/>
    <n v="1"/>
    <x v="33"/>
    <x v="15"/>
    <x v="64"/>
    <n v="1"/>
    <s v="Gasto corriente"/>
    <x v="0"/>
    <x v="1"/>
    <x v="0"/>
    <x v="1"/>
    <x v="1"/>
    <x v="0"/>
    <x v="0"/>
    <m/>
    <x v="0"/>
    <x v="1"/>
    <m/>
    <n v="38535457"/>
    <n v="0"/>
    <n v="0"/>
    <n v="38535457"/>
    <n v="47878622"/>
    <m/>
    <x v="1"/>
    <n v="47878622"/>
  </r>
  <r>
    <x v="1"/>
    <x v="10"/>
    <x v="10"/>
    <x v="4"/>
    <s v="Prestación de Servicios Públicos"/>
    <x v="6"/>
    <x v="176"/>
    <x v="120"/>
    <x v="219"/>
    <n v="3"/>
    <s v="Desarrollo Económico"/>
    <n v="7"/>
    <s v="Ciencia y Tecnología"/>
    <n v="1"/>
    <x v="33"/>
    <x v="15"/>
    <x v="64"/>
    <n v="1"/>
    <s v="Gasto corriente"/>
    <x v="0"/>
    <x v="0"/>
    <x v="0"/>
    <x v="1"/>
    <x v="1"/>
    <x v="0"/>
    <x v="0"/>
    <m/>
    <x v="0"/>
    <x v="1"/>
    <m/>
    <n v="669340917"/>
    <n v="0"/>
    <n v="-6718968"/>
    <n v="662621949"/>
    <n v="846372521"/>
    <m/>
    <x v="26"/>
    <n v="876372521"/>
  </r>
  <r>
    <x v="1"/>
    <x v="10"/>
    <x v="10"/>
    <x v="4"/>
    <s v="Prestación de Servicios Públicos"/>
    <x v="7"/>
    <x v="177"/>
    <x v="49"/>
    <x v="220"/>
    <n v="3"/>
    <s v="Desarrollo Económico"/>
    <n v="7"/>
    <s v="Ciencia y Tecnología"/>
    <n v="1"/>
    <x v="33"/>
    <x v="15"/>
    <x v="64"/>
    <n v="1"/>
    <s v="Gasto corriente"/>
    <x v="0"/>
    <x v="0"/>
    <x v="0"/>
    <x v="1"/>
    <x v="1"/>
    <x v="0"/>
    <x v="0"/>
    <m/>
    <x v="0"/>
    <x v="0"/>
    <m/>
    <n v="90918128"/>
    <n v="0"/>
    <n v="-909181"/>
    <n v="90008947"/>
    <n v="116757760"/>
    <m/>
    <x v="30"/>
    <n v="231757760"/>
  </r>
  <r>
    <x v="1"/>
    <x v="10"/>
    <x v="10"/>
    <x v="4"/>
    <s v="Prestación de Servicios Públicos"/>
    <x v="7"/>
    <x v="177"/>
    <x v="120"/>
    <x v="219"/>
    <n v="3"/>
    <s v="Desarrollo Económico"/>
    <n v="7"/>
    <s v="Ciencia y Tecnología"/>
    <n v="1"/>
    <x v="33"/>
    <x v="15"/>
    <x v="64"/>
    <n v="1"/>
    <s v="Gasto corriente"/>
    <x v="0"/>
    <x v="0"/>
    <x v="0"/>
    <x v="1"/>
    <x v="1"/>
    <x v="0"/>
    <x v="0"/>
    <m/>
    <x v="0"/>
    <x v="0"/>
    <m/>
    <n v="211856319"/>
    <n v="0"/>
    <n v="-2118564"/>
    <n v="209737755"/>
    <n v="119799967"/>
    <m/>
    <x v="1"/>
    <n v="119799967"/>
  </r>
  <r>
    <x v="1"/>
    <x v="10"/>
    <x v="10"/>
    <x v="4"/>
    <s v="Prestación de Servicios Públicos"/>
    <x v="7"/>
    <x v="177"/>
    <x v="120"/>
    <x v="219"/>
    <n v="3"/>
    <s v="Desarrollo Económico"/>
    <n v="7"/>
    <s v="Ciencia y Tecnología"/>
    <n v="1"/>
    <x v="33"/>
    <x v="15"/>
    <x v="64"/>
    <n v="2"/>
    <s v="Gasto de capital"/>
    <x v="0"/>
    <x v="0"/>
    <x v="0"/>
    <x v="1"/>
    <x v="1"/>
    <x v="0"/>
    <x v="0"/>
    <m/>
    <x v="0"/>
    <x v="0"/>
    <m/>
    <n v="52000000"/>
    <n v="0"/>
    <n v="-520000"/>
    <n v="51480000"/>
    <m/>
    <m/>
    <x v="1"/>
    <n v="0"/>
  </r>
  <r>
    <x v="1"/>
    <x v="10"/>
    <x v="10"/>
    <x v="4"/>
    <s v="Prestación de Servicios Públicos"/>
    <x v="9"/>
    <x v="178"/>
    <x v="36"/>
    <x v="221"/>
    <n v="3"/>
    <s v="Desarrollo Económico"/>
    <n v="2"/>
    <s v="Desarrollo Agropecuario y Forestal"/>
    <n v="2"/>
    <x v="34"/>
    <x v="11"/>
    <x v="65"/>
    <n v="1"/>
    <s v="Gasto corriente"/>
    <x v="0"/>
    <x v="0"/>
    <x v="0"/>
    <x v="0"/>
    <x v="1"/>
    <x v="0"/>
    <x v="0"/>
    <m/>
    <x v="0"/>
    <x v="0"/>
    <m/>
    <n v="100000000"/>
    <n v="20000000"/>
    <n v="0"/>
    <n v="120000000"/>
    <n v="163000000"/>
    <m/>
    <x v="1"/>
    <n v="163000000"/>
  </r>
  <r>
    <x v="1"/>
    <x v="10"/>
    <x v="10"/>
    <x v="4"/>
    <s v="Prestación de Servicios Públicos"/>
    <x v="10"/>
    <x v="179"/>
    <x v="50"/>
    <x v="222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0000000"/>
    <n v="20000000"/>
    <n v="0"/>
    <n v="40000000"/>
    <n v="80000000"/>
    <m/>
    <x v="1"/>
    <n v="80000000"/>
  </r>
  <r>
    <x v="1"/>
    <x v="10"/>
    <x v="10"/>
    <x v="4"/>
    <s v="Prestación de Servicios Públicos"/>
    <x v="11"/>
    <x v="180"/>
    <x v="4"/>
    <x v="223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30000000"/>
    <n v="15000000"/>
    <n v="0"/>
    <n v="45000000"/>
    <n v="40000000"/>
    <m/>
    <x v="6"/>
    <n v="60000000"/>
  </r>
  <r>
    <x v="1"/>
    <x v="10"/>
    <x v="10"/>
    <x v="4"/>
    <s v="Prestación de Servicios Públicos"/>
    <x v="12"/>
    <x v="181"/>
    <x v="30"/>
    <x v="224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65000000"/>
    <n v="15000000"/>
    <n v="0"/>
    <n v="80000000"/>
    <n v="171668257"/>
    <m/>
    <x v="26"/>
    <n v="201668257"/>
  </r>
  <r>
    <x v="1"/>
    <x v="10"/>
    <x v="10"/>
    <x v="9"/>
    <s v="Promoción y fomento"/>
    <x v="2"/>
    <x v="182"/>
    <x v="22"/>
    <x v="225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1783600"/>
    <n v="0"/>
    <n v="-117836"/>
    <n v="11665764"/>
    <n v="11458300"/>
    <m/>
    <x v="1"/>
    <n v="11458300"/>
  </r>
  <r>
    <x v="1"/>
    <x v="10"/>
    <x v="10"/>
    <x v="10"/>
    <s v="Regulación y supervisión"/>
    <x v="2"/>
    <x v="183"/>
    <x v="18"/>
    <x v="226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80000"/>
    <n v="0"/>
    <n v="-800"/>
    <n v="79200"/>
    <n v="77832"/>
    <m/>
    <x v="1"/>
    <n v="77832"/>
  </r>
  <r>
    <x v="1"/>
    <x v="10"/>
    <x v="10"/>
    <x v="10"/>
    <s v="Regulación y supervisión"/>
    <x v="2"/>
    <x v="183"/>
    <x v="107"/>
    <x v="227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469262"/>
    <n v="0"/>
    <n v="-4691"/>
    <n v="464571"/>
    <n v="474597"/>
    <m/>
    <x v="1"/>
    <n v="474597"/>
  </r>
  <r>
    <x v="1"/>
    <x v="10"/>
    <x v="10"/>
    <x v="10"/>
    <s v="Regulación y supervisión"/>
    <x v="2"/>
    <x v="183"/>
    <x v="83"/>
    <x v="228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583425"/>
    <n v="0"/>
    <n v="-5834"/>
    <n v="577591"/>
    <n v="657086"/>
    <m/>
    <x v="1"/>
    <n v="657086"/>
  </r>
  <r>
    <x v="1"/>
    <x v="10"/>
    <x v="10"/>
    <x v="10"/>
    <s v="Regulación y supervisión"/>
    <x v="2"/>
    <x v="183"/>
    <x v="108"/>
    <x v="229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365098"/>
    <n v="0"/>
    <n v="-3652"/>
    <n v="361446"/>
    <n v="353946"/>
    <m/>
    <x v="1"/>
    <n v="353946"/>
  </r>
  <r>
    <x v="1"/>
    <x v="10"/>
    <x v="10"/>
    <x v="10"/>
    <s v="Regulación y supervisión"/>
    <x v="2"/>
    <x v="183"/>
    <x v="109"/>
    <x v="230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417244"/>
    <n v="0"/>
    <n v="-4172"/>
    <n v="413072"/>
    <n v="413072"/>
    <m/>
    <x v="1"/>
    <n v="413072"/>
  </r>
  <r>
    <x v="1"/>
    <x v="10"/>
    <x v="10"/>
    <x v="10"/>
    <s v="Regulación y supervisión"/>
    <x v="2"/>
    <x v="183"/>
    <x v="110"/>
    <x v="231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156044"/>
    <n v="0"/>
    <n v="-1561"/>
    <n v="154483"/>
    <n v="113688"/>
    <m/>
    <x v="1"/>
    <n v="113688"/>
  </r>
  <r>
    <x v="1"/>
    <x v="10"/>
    <x v="10"/>
    <x v="10"/>
    <s v="Regulación y supervisión"/>
    <x v="2"/>
    <x v="183"/>
    <x v="26"/>
    <x v="232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170500"/>
    <n v="0"/>
    <n v="-1705"/>
    <n v="168795"/>
    <n v="522716"/>
    <m/>
    <x v="1"/>
    <n v="522716"/>
  </r>
  <r>
    <x v="1"/>
    <x v="10"/>
    <x v="10"/>
    <x v="10"/>
    <s v="Regulación y supervisión"/>
    <x v="2"/>
    <x v="183"/>
    <x v="27"/>
    <x v="233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518371"/>
    <n v="0"/>
    <n v="-5184"/>
    <n v="513187"/>
    <n v="467229"/>
    <m/>
    <x v="1"/>
    <n v="467229"/>
  </r>
  <r>
    <x v="1"/>
    <x v="10"/>
    <x v="10"/>
    <x v="10"/>
    <s v="Regulación y supervisión"/>
    <x v="2"/>
    <x v="183"/>
    <x v="28"/>
    <x v="234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150000"/>
    <n v="0"/>
    <n v="-1500"/>
    <n v="148500"/>
    <n v="174000"/>
    <m/>
    <x v="1"/>
    <n v="174000"/>
  </r>
  <r>
    <x v="1"/>
    <x v="10"/>
    <x v="10"/>
    <x v="10"/>
    <s v="Regulación y supervisión"/>
    <x v="2"/>
    <x v="183"/>
    <x v="29"/>
    <x v="235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42964"/>
    <n v="0"/>
    <n v="-2430"/>
    <n v="240534"/>
    <n v="341510"/>
    <m/>
    <x v="1"/>
    <n v="341510"/>
  </r>
  <r>
    <x v="1"/>
    <x v="10"/>
    <x v="10"/>
    <x v="10"/>
    <s v="Regulación y supervisión"/>
    <x v="2"/>
    <x v="183"/>
    <x v="111"/>
    <x v="236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756500"/>
    <n v="0"/>
    <n v="-7565"/>
    <n v="748935"/>
    <n v="748935"/>
    <m/>
    <x v="1"/>
    <n v="748935"/>
  </r>
  <r>
    <x v="1"/>
    <x v="10"/>
    <x v="10"/>
    <x v="10"/>
    <s v="Regulación y supervisión"/>
    <x v="2"/>
    <x v="183"/>
    <x v="121"/>
    <x v="237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300000"/>
    <n v="0"/>
    <n v="-3000"/>
    <n v="297000"/>
    <n v="294000"/>
    <m/>
    <x v="1"/>
    <n v="294000"/>
  </r>
  <r>
    <x v="1"/>
    <x v="10"/>
    <x v="10"/>
    <x v="10"/>
    <s v="Regulación y supervisión"/>
    <x v="2"/>
    <x v="183"/>
    <x v="122"/>
    <x v="238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543224"/>
    <n v="0"/>
    <n v="-5430"/>
    <n v="537794"/>
    <n v="561042"/>
    <m/>
    <x v="1"/>
    <n v="561042"/>
  </r>
  <r>
    <x v="1"/>
    <x v="10"/>
    <x v="10"/>
    <x v="10"/>
    <s v="Regulación y supervisión"/>
    <x v="2"/>
    <x v="183"/>
    <x v="113"/>
    <x v="239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188276"/>
    <n v="0"/>
    <n v="-1881"/>
    <n v="186395"/>
    <n v="115923"/>
    <m/>
    <x v="1"/>
    <n v="115923"/>
  </r>
  <r>
    <x v="1"/>
    <x v="10"/>
    <x v="10"/>
    <x v="10"/>
    <s v="Regulación y supervisión"/>
    <x v="2"/>
    <x v="183"/>
    <x v="112"/>
    <x v="240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548000"/>
    <n v="0"/>
    <n v="-5480"/>
    <n v="542520"/>
    <n v="508721"/>
    <m/>
    <x v="1"/>
    <n v="508721"/>
  </r>
  <r>
    <x v="1"/>
    <x v="10"/>
    <x v="10"/>
    <x v="10"/>
    <s v="Regulación y supervisión"/>
    <x v="2"/>
    <x v="183"/>
    <x v="123"/>
    <x v="241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367800"/>
    <n v="0"/>
    <n v="-3678"/>
    <n v="364122"/>
    <n v="291100"/>
    <m/>
    <x v="1"/>
    <n v="291100"/>
  </r>
  <r>
    <x v="1"/>
    <x v="10"/>
    <x v="10"/>
    <x v="10"/>
    <s v="Regulación y supervisión"/>
    <x v="2"/>
    <x v="183"/>
    <x v="116"/>
    <x v="242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10437"/>
    <n v="0"/>
    <n v="-2105"/>
    <n v="208332"/>
    <n v="199452"/>
    <m/>
    <x v="1"/>
    <n v="199452"/>
  </r>
  <r>
    <x v="1"/>
    <x v="10"/>
    <x v="10"/>
    <x v="10"/>
    <s v="Regulación y supervisión"/>
    <x v="2"/>
    <x v="183"/>
    <x v="114"/>
    <x v="243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177650"/>
    <n v="0"/>
    <n v="-1778"/>
    <n v="175872"/>
    <n v="169247"/>
    <m/>
    <x v="1"/>
    <n v="169247"/>
  </r>
  <r>
    <x v="1"/>
    <x v="10"/>
    <x v="10"/>
    <x v="10"/>
    <s v="Regulación y supervisión"/>
    <x v="2"/>
    <x v="183"/>
    <x v="117"/>
    <x v="244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639164"/>
    <n v="0"/>
    <n v="-6392"/>
    <n v="632772"/>
    <n v="639164"/>
    <m/>
    <x v="1"/>
    <n v="639164"/>
  </r>
  <r>
    <x v="1"/>
    <x v="10"/>
    <x v="10"/>
    <x v="10"/>
    <s v="Regulación y supervisión"/>
    <x v="2"/>
    <x v="183"/>
    <x v="124"/>
    <x v="245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114902"/>
    <n v="0"/>
    <n v="-1149"/>
    <n v="113753"/>
    <n v="113417"/>
    <m/>
    <x v="1"/>
    <n v="113417"/>
  </r>
  <r>
    <x v="1"/>
    <x v="10"/>
    <x v="10"/>
    <x v="10"/>
    <s v="Regulación y supervisión"/>
    <x v="2"/>
    <x v="183"/>
    <x v="125"/>
    <x v="246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14214"/>
    <n v="0"/>
    <n v="-2143"/>
    <n v="212071"/>
    <n v="142918"/>
    <m/>
    <x v="1"/>
    <n v="142918"/>
  </r>
  <r>
    <x v="1"/>
    <x v="10"/>
    <x v="10"/>
    <x v="10"/>
    <s v="Regulación y supervisión"/>
    <x v="2"/>
    <x v="183"/>
    <x v="126"/>
    <x v="247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83820"/>
    <n v="0"/>
    <n v="-2838"/>
    <n v="280982"/>
    <n v="279836"/>
    <m/>
    <x v="1"/>
    <n v="279836"/>
  </r>
  <r>
    <x v="1"/>
    <x v="10"/>
    <x v="10"/>
    <x v="10"/>
    <s v="Regulación y supervisión"/>
    <x v="2"/>
    <x v="183"/>
    <x v="127"/>
    <x v="248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59900"/>
    <n v="0"/>
    <n v="-2599"/>
    <n v="257301"/>
    <n v="258918"/>
    <m/>
    <x v="1"/>
    <n v="258918"/>
  </r>
  <r>
    <x v="1"/>
    <x v="10"/>
    <x v="10"/>
    <x v="10"/>
    <s v="Regulación y supervisión"/>
    <x v="2"/>
    <x v="183"/>
    <x v="128"/>
    <x v="249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730386"/>
    <n v="0"/>
    <n v="-7304"/>
    <n v="723082"/>
    <n v="704730"/>
    <m/>
    <x v="1"/>
    <n v="704730"/>
  </r>
  <r>
    <x v="1"/>
    <x v="10"/>
    <x v="10"/>
    <x v="10"/>
    <s v="Regulación y supervisión"/>
    <x v="2"/>
    <x v="183"/>
    <x v="129"/>
    <x v="250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357251"/>
    <n v="0"/>
    <n v="-3573"/>
    <n v="353678"/>
    <n v="669061"/>
    <m/>
    <x v="1"/>
    <n v="669061"/>
  </r>
  <r>
    <x v="1"/>
    <x v="10"/>
    <x v="10"/>
    <x v="10"/>
    <s v="Regulación y supervisión"/>
    <x v="2"/>
    <x v="183"/>
    <x v="130"/>
    <x v="251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89729"/>
    <n v="0"/>
    <n v="-2898"/>
    <n v="286831"/>
    <n v="271332"/>
    <m/>
    <x v="1"/>
    <n v="271332"/>
  </r>
  <r>
    <x v="1"/>
    <x v="10"/>
    <x v="10"/>
    <x v="10"/>
    <s v="Regulación y supervisión"/>
    <x v="2"/>
    <x v="183"/>
    <x v="131"/>
    <x v="252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492500"/>
    <n v="0"/>
    <n v="-4925"/>
    <n v="487575"/>
    <n v="765000"/>
    <m/>
    <x v="1"/>
    <n v="765000"/>
  </r>
  <r>
    <x v="1"/>
    <x v="10"/>
    <x v="10"/>
    <x v="10"/>
    <s v="Regulación y supervisión"/>
    <x v="2"/>
    <x v="183"/>
    <x v="132"/>
    <x v="253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54100"/>
    <n v="0"/>
    <n v="-2541"/>
    <n v="251559"/>
    <n v="255402"/>
    <m/>
    <x v="1"/>
    <n v="255402"/>
  </r>
  <r>
    <x v="1"/>
    <x v="10"/>
    <x v="10"/>
    <x v="10"/>
    <s v="Regulación y supervisión"/>
    <x v="2"/>
    <x v="183"/>
    <x v="133"/>
    <x v="254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1570442"/>
    <n v="0"/>
    <n v="-15704"/>
    <n v="1554738"/>
    <n v="634192"/>
    <m/>
    <x v="1"/>
    <n v="634192"/>
  </r>
  <r>
    <x v="1"/>
    <x v="10"/>
    <x v="10"/>
    <x v="10"/>
    <s v="Regulación y supervisión"/>
    <x v="2"/>
    <x v="183"/>
    <x v="134"/>
    <x v="255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425500"/>
    <n v="0"/>
    <n v="-4255"/>
    <n v="421245"/>
    <n v="431000"/>
    <m/>
    <x v="1"/>
    <n v="431000"/>
  </r>
  <r>
    <x v="1"/>
    <x v="10"/>
    <x v="10"/>
    <x v="10"/>
    <s v="Regulación y supervisión"/>
    <x v="2"/>
    <x v="183"/>
    <x v="135"/>
    <x v="256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185000"/>
    <n v="0"/>
    <n v="-1850"/>
    <n v="183150"/>
    <n v="155393"/>
    <m/>
    <x v="1"/>
    <n v="155393"/>
  </r>
  <r>
    <x v="1"/>
    <x v="10"/>
    <x v="10"/>
    <x v="10"/>
    <s v="Regulación y supervisión"/>
    <x v="2"/>
    <x v="183"/>
    <x v="31"/>
    <x v="25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123187516"/>
    <n v="0"/>
    <n v="-11829468"/>
    <n v="1111358048"/>
    <n v="1131508731"/>
    <m/>
    <x v="31"/>
    <n v="2415108731"/>
  </r>
  <r>
    <x v="1"/>
    <x v="10"/>
    <x v="10"/>
    <x v="10"/>
    <s v="Regulación y supervisión"/>
    <x v="2"/>
    <x v="183"/>
    <x v="30"/>
    <x v="224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34211542"/>
    <n v="0"/>
    <n v="-2342119"/>
    <n v="231869423"/>
    <n v="163854627"/>
    <m/>
    <x v="1"/>
    <n v="163854627"/>
  </r>
  <r>
    <x v="1"/>
    <x v="10"/>
    <x v="10"/>
    <x v="10"/>
    <s v="Regulación y supervisión"/>
    <x v="2"/>
    <x v="183"/>
    <x v="30"/>
    <x v="224"/>
    <n v="3"/>
    <s v="Desarrollo Económico"/>
    <n v="2"/>
    <s v="Desarrollo Agropecuario y Forestal"/>
    <n v="4"/>
    <x v="36"/>
    <x v="9"/>
    <x v="67"/>
    <n v="2"/>
    <s v="Gasto de capital"/>
    <x v="0"/>
    <x v="0"/>
    <x v="0"/>
    <x v="0"/>
    <x v="1"/>
    <x v="0"/>
    <x v="0"/>
    <m/>
    <x v="0"/>
    <x v="0"/>
    <m/>
    <n v="5833593"/>
    <n v="0"/>
    <n v="-58336"/>
    <n v="5775257"/>
    <m/>
    <m/>
    <x v="1"/>
    <n v="0"/>
  </r>
  <r>
    <x v="1"/>
    <x v="10"/>
    <x v="10"/>
    <x v="0"/>
    <s v="Proyectos de Inversión"/>
    <x v="10"/>
    <x v="184"/>
    <x v="118"/>
    <x v="216"/>
    <n v="2"/>
    <s v="Desarrollo Social"/>
    <n v="0"/>
    <s v="Educación"/>
    <n v="3"/>
    <x v="29"/>
    <x v="0"/>
    <x v="62"/>
    <n v="2"/>
    <s v="Gasto de capital"/>
    <x v="0"/>
    <x v="0"/>
    <x v="0"/>
    <x v="0"/>
    <x v="1"/>
    <x v="0"/>
    <x v="0"/>
    <m/>
    <x v="0"/>
    <x v="0"/>
    <m/>
    <n v="158000000"/>
    <n v="0"/>
    <n v="0"/>
    <n v="158000000"/>
    <m/>
    <m/>
    <x v="1"/>
    <n v="0"/>
  </r>
  <r>
    <x v="1"/>
    <x v="10"/>
    <x v="10"/>
    <x v="0"/>
    <s v="Proyectos de Inversión"/>
    <x v="10"/>
    <x v="184"/>
    <x v="40"/>
    <x v="217"/>
    <n v="2"/>
    <s v="Desarrollo Social"/>
    <n v="0"/>
    <s v="Educación"/>
    <n v="2"/>
    <x v="28"/>
    <x v="1"/>
    <x v="61"/>
    <n v="2"/>
    <s v="Gasto de capital"/>
    <x v="0"/>
    <x v="0"/>
    <x v="0"/>
    <x v="0"/>
    <x v="1"/>
    <x v="0"/>
    <x v="0"/>
    <m/>
    <x v="0"/>
    <x v="0"/>
    <m/>
    <n v="1000000"/>
    <n v="0"/>
    <n v="0"/>
    <n v="1000000"/>
    <m/>
    <m/>
    <x v="1"/>
    <n v="0"/>
  </r>
  <r>
    <x v="1"/>
    <x v="10"/>
    <x v="10"/>
    <x v="0"/>
    <s v="Proyectos de Inversión"/>
    <x v="10"/>
    <x v="184"/>
    <x v="119"/>
    <x v="218"/>
    <n v="2"/>
    <s v="Desarrollo Social"/>
    <n v="0"/>
    <s v="Educación"/>
    <n v="4"/>
    <x v="32"/>
    <x v="4"/>
    <x v="63"/>
    <n v="2"/>
    <s v="Gasto de capital"/>
    <x v="0"/>
    <x v="0"/>
    <x v="0"/>
    <x v="1"/>
    <x v="1"/>
    <x v="0"/>
    <x v="0"/>
    <m/>
    <x v="0"/>
    <x v="0"/>
    <m/>
    <n v="126418868"/>
    <n v="0"/>
    <n v="0"/>
    <n v="126418868"/>
    <n v="126000000"/>
    <m/>
    <x v="1"/>
    <n v="126000000"/>
  </r>
  <r>
    <x v="1"/>
    <x v="10"/>
    <x v="10"/>
    <x v="0"/>
    <s v="Proyectos de Inversión"/>
    <x v="15"/>
    <x v="119"/>
    <x v="49"/>
    <x v="220"/>
    <n v="3"/>
    <s v="Desarrollo Económico"/>
    <n v="7"/>
    <s v="Ciencia y Tecnología"/>
    <n v="1"/>
    <x v="33"/>
    <x v="15"/>
    <x v="64"/>
    <n v="2"/>
    <s v="Gasto de capital"/>
    <x v="0"/>
    <x v="0"/>
    <x v="0"/>
    <x v="1"/>
    <x v="1"/>
    <x v="0"/>
    <x v="0"/>
    <m/>
    <x v="0"/>
    <x v="0"/>
    <m/>
    <n v="8577231"/>
    <n v="0"/>
    <n v="-85772"/>
    <n v="8491459"/>
    <n v="4944875"/>
    <m/>
    <x v="1"/>
    <n v="4944875"/>
  </r>
  <r>
    <x v="1"/>
    <x v="10"/>
    <x v="10"/>
    <x v="0"/>
    <s v="Proyectos de Inversión"/>
    <x v="47"/>
    <x v="185"/>
    <x v="31"/>
    <x v="257"/>
    <n v="3"/>
    <s v="Desarrollo Económico"/>
    <n v="2"/>
    <s v="Desarrollo Agropecuario y Forestal"/>
    <n v="1"/>
    <x v="35"/>
    <x v="11"/>
    <x v="65"/>
    <n v="2"/>
    <s v="Gasto de capital"/>
    <x v="0"/>
    <x v="0"/>
    <x v="0"/>
    <x v="0"/>
    <x v="1"/>
    <x v="0"/>
    <x v="0"/>
    <m/>
    <x v="0"/>
    <x v="0"/>
    <m/>
    <n v="386346762"/>
    <n v="0"/>
    <n v="-3863467"/>
    <n v="382483295"/>
    <n v="283500000"/>
    <m/>
    <x v="1"/>
    <n v="283500000"/>
  </r>
  <r>
    <x v="1"/>
    <x v="10"/>
    <x v="10"/>
    <x v="0"/>
    <s v="Proyectos de Inversión"/>
    <x v="25"/>
    <x v="186"/>
    <x v="30"/>
    <x v="224"/>
    <n v="3"/>
    <s v="Desarrollo Económico"/>
    <n v="2"/>
    <s v="Desarrollo Agropecuario y Forestal"/>
    <n v="4"/>
    <x v="36"/>
    <x v="9"/>
    <x v="67"/>
    <n v="2"/>
    <s v="Gasto de capital"/>
    <x v="0"/>
    <x v="0"/>
    <x v="0"/>
    <x v="0"/>
    <x v="1"/>
    <x v="0"/>
    <x v="0"/>
    <m/>
    <x v="0"/>
    <x v="0"/>
    <m/>
    <n v="294448703"/>
    <n v="0"/>
    <n v="-2944487"/>
    <n v="291504216"/>
    <n v="305820777"/>
    <m/>
    <x v="32"/>
    <n v="340020777"/>
  </r>
  <r>
    <x v="1"/>
    <x v="10"/>
    <x v="10"/>
    <x v="0"/>
    <s v="Proyectos de Inversión"/>
    <x v="1"/>
    <x v="1"/>
    <x v="32"/>
    <x v="258"/>
    <n v="3"/>
    <s v="Desarrollo Económico"/>
    <n v="2"/>
    <s v="Desarrollo Agropecuario y Forestal"/>
    <n v="1"/>
    <x v="35"/>
    <x v="11"/>
    <x v="65"/>
    <n v="2"/>
    <s v="Gasto de capital"/>
    <x v="0"/>
    <x v="0"/>
    <x v="0"/>
    <x v="0"/>
    <x v="1"/>
    <x v="0"/>
    <x v="0"/>
    <m/>
    <x v="0"/>
    <x v="0"/>
    <m/>
    <n v="200000"/>
    <n v="0"/>
    <n v="-2000"/>
    <n v="198000"/>
    <m/>
    <m/>
    <x v="1"/>
    <n v="0"/>
  </r>
  <r>
    <x v="1"/>
    <x v="10"/>
    <x v="10"/>
    <x v="0"/>
    <s v="Proyectos de Inversión"/>
    <x v="1"/>
    <x v="1"/>
    <x v="40"/>
    <x v="217"/>
    <n v="2"/>
    <s v="Desarrollo Social"/>
    <n v="0"/>
    <s v="Educación"/>
    <n v="3"/>
    <x v="29"/>
    <x v="0"/>
    <x v="62"/>
    <n v="2"/>
    <s v="Gasto de capital"/>
    <x v="0"/>
    <x v="0"/>
    <x v="0"/>
    <x v="0"/>
    <x v="1"/>
    <x v="0"/>
    <x v="0"/>
    <m/>
    <x v="0"/>
    <x v="0"/>
    <m/>
    <n v="2320000"/>
    <n v="0"/>
    <n v="0"/>
    <n v="2320000"/>
    <m/>
    <m/>
    <x v="1"/>
    <n v="0"/>
  </r>
  <r>
    <x v="1"/>
    <x v="10"/>
    <x v="10"/>
    <x v="0"/>
    <s v="Proyectos de Inversión"/>
    <x v="1"/>
    <x v="1"/>
    <x v="120"/>
    <x v="219"/>
    <n v="3"/>
    <s v="Desarrollo Económico"/>
    <n v="7"/>
    <s v="Ciencia y Tecnología"/>
    <n v="1"/>
    <x v="33"/>
    <x v="15"/>
    <x v="64"/>
    <n v="2"/>
    <s v="Gasto de capital"/>
    <x v="0"/>
    <x v="0"/>
    <x v="0"/>
    <x v="1"/>
    <x v="1"/>
    <x v="0"/>
    <x v="0"/>
    <m/>
    <x v="0"/>
    <x v="0"/>
    <m/>
    <n v="70000000"/>
    <n v="0"/>
    <n v="-700000"/>
    <n v="69300000"/>
    <m/>
    <m/>
    <x v="1"/>
    <n v="0"/>
  </r>
  <r>
    <x v="1"/>
    <x v="10"/>
    <x v="10"/>
    <x v="0"/>
    <s v="Proyectos de Inversión"/>
    <x v="31"/>
    <x v="120"/>
    <x v="30"/>
    <x v="224"/>
    <n v="3"/>
    <s v="Desarrollo Económico"/>
    <n v="2"/>
    <s v="Desarrollo Agropecuario y Forestal"/>
    <n v="4"/>
    <x v="36"/>
    <x v="9"/>
    <x v="67"/>
    <n v="2"/>
    <s v="Gasto de capital"/>
    <x v="0"/>
    <x v="0"/>
    <x v="0"/>
    <x v="0"/>
    <x v="1"/>
    <x v="0"/>
    <x v="0"/>
    <m/>
    <x v="0"/>
    <x v="0"/>
    <m/>
    <n v="15117911"/>
    <n v="0"/>
    <n v="-151179"/>
    <n v="14966732"/>
    <m/>
    <m/>
    <x v="1"/>
    <n v="0"/>
  </r>
  <r>
    <x v="1"/>
    <x v="10"/>
    <x v="10"/>
    <x v="13"/>
    <s v="Obligaciones de cumplimiento de resolución jurisdiccional"/>
    <x v="2"/>
    <x v="187"/>
    <x v="1"/>
    <x v="78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55204"/>
    <n v="0"/>
    <n v="0"/>
    <n v="55204"/>
    <m/>
    <m/>
    <x v="1"/>
    <n v="0"/>
  </r>
  <r>
    <x v="1"/>
    <x v="10"/>
    <x v="10"/>
    <x v="13"/>
    <s v="Obligaciones de cumplimiento de resolución jurisdiccional"/>
    <x v="2"/>
    <x v="187"/>
    <x v="85"/>
    <x v="259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46000000"/>
    <n v="0"/>
    <n v="0"/>
    <n v="46000000"/>
    <n v="47784735"/>
    <m/>
    <x v="1"/>
    <n v="47784735"/>
  </r>
  <r>
    <x v="1"/>
    <x v="10"/>
    <x v="10"/>
    <x v="13"/>
    <s v="Obligaciones de cumplimiento de resolución jurisdiccional"/>
    <x v="2"/>
    <x v="187"/>
    <x v="31"/>
    <x v="25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5424540"/>
    <m/>
    <x v="33"/>
    <n v="197124540"/>
  </r>
  <r>
    <x v="1"/>
    <x v="10"/>
    <x v="10"/>
    <x v="13"/>
    <s v="Obligaciones de cumplimiento de resolución jurisdiccional"/>
    <x v="2"/>
    <x v="187"/>
    <x v="40"/>
    <x v="217"/>
    <n v="2"/>
    <s v="Desarrollo Social"/>
    <n v="0"/>
    <s v="Educación"/>
    <n v="2"/>
    <x v="28"/>
    <x v="1"/>
    <x v="61"/>
    <n v="1"/>
    <s v="Gasto corriente"/>
    <x v="0"/>
    <x v="0"/>
    <x v="0"/>
    <x v="0"/>
    <x v="1"/>
    <x v="0"/>
    <x v="0"/>
    <m/>
    <x v="0"/>
    <x v="0"/>
    <m/>
    <n v="138000"/>
    <n v="0"/>
    <n v="0"/>
    <n v="138000"/>
    <n v="138000"/>
    <m/>
    <x v="1"/>
    <n v="138000"/>
  </r>
  <r>
    <x v="1"/>
    <x v="10"/>
    <x v="10"/>
    <x v="13"/>
    <s v="Obligaciones de cumplimiento de resolución jurisdiccional"/>
    <x v="2"/>
    <x v="187"/>
    <x v="40"/>
    <x v="217"/>
    <n v="2"/>
    <s v="Desarrollo Social"/>
    <n v="0"/>
    <s v="Educación"/>
    <n v="3"/>
    <x v="29"/>
    <x v="0"/>
    <x v="62"/>
    <n v="1"/>
    <s v="Gasto corriente"/>
    <x v="0"/>
    <x v="0"/>
    <x v="0"/>
    <x v="0"/>
    <x v="1"/>
    <x v="0"/>
    <x v="0"/>
    <m/>
    <x v="0"/>
    <x v="0"/>
    <m/>
    <n v="280000"/>
    <n v="0"/>
    <n v="0"/>
    <n v="280000"/>
    <n v="280000"/>
    <m/>
    <x v="1"/>
    <n v="280000"/>
  </r>
  <r>
    <x v="1"/>
    <x v="10"/>
    <x v="10"/>
    <x v="2"/>
    <s v="Apoyo al proceso presupuestario y para mejorar la eficiencia institucional"/>
    <x v="2"/>
    <x v="34"/>
    <x v="58"/>
    <x v="39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563141"/>
    <n v="0"/>
    <n v="0"/>
    <n v="563141"/>
    <n v="731118"/>
    <m/>
    <x v="1"/>
    <n v="731118"/>
  </r>
  <r>
    <x v="1"/>
    <x v="10"/>
    <x v="10"/>
    <x v="2"/>
    <s v="Apoyo al proceso presupuestario y para mejorar la eficiencia institucional"/>
    <x v="2"/>
    <x v="34"/>
    <x v="58"/>
    <x v="39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17181729"/>
    <n v="0"/>
    <n v="-642217"/>
    <n v="16539512"/>
    <n v="19939560"/>
    <m/>
    <x v="1"/>
    <n v="19939560"/>
  </r>
  <r>
    <x v="1"/>
    <x v="10"/>
    <x v="10"/>
    <x v="2"/>
    <s v="Apoyo al proceso presupuestario y para mejorar la eficiencia institucional"/>
    <x v="2"/>
    <x v="34"/>
    <x v="59"/>
    <x v="260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2215209"/>
    <n v="0"/>
    <n v="0"/>
    <n v="2215209"/>
    <n v="8368501"/>
    <m/>
    <x v="1"/>
    <n v="8368501"/>
  </r>
  <r>
    <x v="1"/>
    <x v="10"/>
    <x v="10"/>
    <x v="2"/>
    <s v="Apoyo al proceso presupuestario y para mejorar la eficiencia institucional"/>
    <x v="2"/>
    <x v="34"/>
    <x v="59"/>
    <x v="260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35967525"/>
    <n v="0"/>
    <n v="-1004059"/>
    <n v="34963466"/>
    <n v="315685406"/>
    <m/>
    <x v="1"/>
    <n v="315685406"/>
  </r>
  <r>
    <x v="1"/>
    <x v="10"/>
    <x v="10"/>
    <x v="2"/>
    <s v="Apoyo al proceso presupuestario y para mejorar la eficiencia institucional"/>
    <x v="2"/>
    <x v="34"/>
    <x v="85"/>
    <x v="259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9370294"/>
    <n v="0"/>
    <n v="0"/>
    <n v="9370294"/>
    <n v="10596989"/>
    <m/>
    <x v="1"/>
    <n v="10596989"/>
  </r>
  <r>
    <x v="1"/>
    <x v="10"/>
    <x v="10"/>
    <x v="2"/>
    <s v="Apoyo al proceso presupuestario y para mejorar la eficiencia institucional"/>
    <x v="2"/>
    <x v="34"/>
    <x v="85"/>
    <x v="259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181761663"/>
    <n v="0"/>
    <n v="-3022055"/>
    <n v="178739608"/>
    <n v="156199517"/>
    <m/>
    <x v="1"/>
    <n v="156199517"/>
  </r>
  <r>
    <x v="1"/>
    <x v="10"/>
    <x v="10"/>
    <x v="2"/>
    <s v="Apoyo al proceso presupuestario y para mejorar la eficiencia institucional"/>
    <x v="2"/>
    <x v="34"/>
    <x v="81"/>
    <x v="261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3230871"/>
    <n v="0"/>
    <n v="0"/>
    <n v="3230871"/>
    <n v="4173032"/>
    <m/>
    <x v="1"/>
    <n v="4173032"/>
  </r>
  <r>
    <x v="1"/>
    <x v="10"/>
    <x v="10"/>
    <x v="2"/>
    <s v="Apoyo al proceso presupuestario y para mejorar la eficiencia institucional"/>
    <x v="2"/>
    <x v="34"/>
    <x v="81"/>
    <x v="261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46527018"/>
    <n v="0"/>
    <n v="-1207520"/>
    <n v="45319498"/>
    <n v="46402335"/>
    <m/>
    <x v="1"/>
    <n v="46402335"/>
  </r>
  <r>
    <x v="1"/>
    <x v="10"/>
    <x v="10"/>
    <x v="2"/>
    <s v="Apoyo al proceso presupuestario y para mejorar la eficiencia institucional"/>
    <x v="2"/>
    <x v="34"/>
    <x v="105"/>
    <x v="262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1245287"/>
    <n v="0"/>
    <n v="0"/>
    <n v="1245287"/>
    <n v="1552157"/>
    <m/>
    <x v="1"/>
    <n v="1552157"/>
  </r>
  <r>
    <x v="1"/>
    <x v="10"/>
    <x v="10"/>
    <x v="2"/>
    <s v="Apoyo al proceso presupuestario y para mejorar la eficiencia institucional"/>
    <x v="2"/>
    <x v="34"/>
    <x v="105"/>
    <x v="262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25389127"/>
    <n v="0"/>
    <n v="-813508"/>
    <n v="24575619"/>
    <n v="25490707"/>
    <m/>
    <x v="1"/>
    <n v="25490707"/>
  </r>
  <r>
    <x v="1"/>
    <x v="10"/>
    <x v="10"/>
    <x v="2"/>
    <s v="Apoyo al proceso presupuestario y para mejorar la eficiencia institucional"/>
    <x v="2"/>
    <x v="34"/>
    <x v="118"/>
    <x v="216"/>
    <n v="2"/>
    <s v="Desarrollo Social"/>
    <n v="0"/>
    <s v="Educación"/>
    <n v="2"/>
    <x v="28"/>
    <x v="3"/>
    <x v="12"/>
    <n v="1"/>
    <s v="Gasto corriente"/>
    <x v="0"/>
    <x v="1"/>
    <x v="0"/>
    <x v="0"/>
    <x v="1"/>
    <x v="0"/>
    <x v="0"/>
    <m/>
    <x v="0"/>
    <x v="0"/>
    <m/>
    <n v="1517700"/>
    <n v="0"/>
    <n v="0"/>
    <n v="1517700"/>
    <n v="1583000"/>
    <m/>
    <x v="1"/>
    <n v="1583000"/>
  </r>
  <r>
    <x v="1"/>
    <x v="10"/>
    <x v="10"/>
    <x v="2"/>
    <s v="Apoyo al proceso presupuestario y para mejorar la eficiencia institucional"/>
    <x v="2"/>
    <x v="34"/>
    <x v="118"/>
    <x v="216"/>
    <n v="2"/>
    <s v="Desarrollo Social"/>
    <n v="0"/>
    <s v="Educación"/>
    <n v="2"/>
    <x v="28"/>
    <x v="3"/>
    <x v="12"/>
    <n v="1"/>
    <s v="Gasto corriente"/>
    <x v="0"/>
    <x v="0"/>
    <x v="0"/>
    <x v="0"/>
    <x v="1"/>
    <x v="0"/>
    <x v="0"/>
    <m/>
    <x v="0"/>
    <x v="0"/>
    <m/>
    <n v="33806400"/>
    <n v="0"/>
    <n v="-2145"/>
    <n v="33804255"/>
    <n v="26508006"/>
    <m/>
    <x v="1"/>
    <n v="26508006"/>
  </r>
  <r>
    <x v="1"/>
    <x v="10"/>
    <x v="10"/>
    <x v="2"/>
    <s v="Apoyo al proceso presupuestario y para mejorar la eficiencia institucional"/>
    <x v="2"/>
    <x v="34"/>
    <x v="118"/>
    <x v="216"/>
    <n v="2"/>
    <s v="Desarrollo Social"/>
    <n v="0"/>
    <s v="Educación"/>
    <n v="3"/>
    <x v="29"/>
    <x v="3"/>
    <x v="12"/>
    <n v="1"/>
    <s v="Gasto corriente"/>
    <x v="0"/>
    <x v="1"/>
    <x v="0"/>
    <x v="0"/>
    <x v="1"/>
    <x v="0"/>
    <x v="0"/>
    <m/>
    <x v="0"/>
    <x v="0"/>
    <m/>
    <n v="2961600"/>
    <n v="0"/>
    <n v="0"/>
    <n v="2961600"/>
    <n v="3088900"/>
    <m/>
    <x v="1"/>
    <n v="3088900"/>
  </r>
  <r>
    <x v="1"/>
    <x v="10"/>
    <x v="10"/>
    <x v="2"/>
    <s v="Apoyo al proceso presupuestario y para mejorar la eficiencia institucional"/>
    <x v="2"/>
    <x v="34"/>
    <x v="118"/>
    <x v="216"/>
    <n v="2"/>
    <s v="Desarrollo Social"/>
    <n v="0"/>
    <s v="Educación"/>
    <n v="3"/>
    <x v="29"/>
    <x v="3"/>
    <x v="12"/>
    <n v="1"/>
    <s v="Gasto corriente"/>
    <x v="0"/>
    <x v="0"/>
    <x v="0"/>
    <x v="0"/>
    <x v="1"/>
    <x v="0"/>
    <x v="0"/>
    <m/>
    <x v="0"/>
    <x v="0"/>
    <m/>
    <n v="55723100"/>
    <n v="0"/>
    <n v="-4185"/>
    <n v="55718915"/>
    <n v="49828000"/>
    <m/>
    <x v="1"/>
    <n v="49828000"/>
  </r>
  <r>
    <x v="1"/>
    <x v="10"/>
    <x v="10"/>
    <x v="2"/>
    <s v="Apoyo al proceso presupuestario y para mejorar la eficiencia institucional"/>
    <x v="2"/>
    <x v="34"/>
    <x v="118"/>
    <x v="216"/>
    <n v="2"/>
    <s v="Desarrollo Social"/>
    <n v="0"/>
    <s v="Educación"/>
    <n v="4"/>
    <x v="32"/>
    <x v="3"/>
    <x v="12"/>
    <n v="1"/>
    <s v="Gasto corriente"/>
    <x v="0"/>
    <x v="1"/>
    <x v="0"/>
    <x v="1"/>
    <x v="1"/>
    <x v="0"/>
    <x v="0"/>
    <m/>
    <x v="0"/>
    <x v="0"/>
    <m/>
    <n v="278600"/>
    <n v="0"/>
    <n v="0"/>
    <n v="278600"/>
    <n v="290500"/>
    <m/>
    <x v="1"/>
    <n v="290500"/>
  </r>
  <r>
    <x v="1"/>
    <x v="10"/>
    <x v="10"/>
    <x v="2"/>
    <s v="Apoyo al proceso presupuestario y para mejorar la eficiencia institucional"/>
    <x v="2"/>
    <x v="34"/>
    <x v="118"/>
    <x v="216"/>
    <n v="2"/>
    <s v="Desarrollo Social"/>
    <n v="0"/>
    <s v="Educación"/>
    <n v="4"/>
    <x v="32"/>
    <x v="3"/>
    <x v="12"/>
    <n v="1"/>
    <s v="Gasto corriente"/>
    <x v="0"/>
    <x v="0"/>
    <x v="0"/>
    <x v="1"/>
    <x v="1"/>
    <x v="0"/>
    <x v="0"/>
    <m/>
    <x v="0"/>
    <x v="0"/>
    <m/>
    <n v="6589000"/>
    <n v="0"/>
    <n v="-393"/>
    <n v="6588607"/>
    <n v="4373100"/>
    <m/>
    <x v="1"/>
    <n v="4373100"/>
  </r>
  <r>
    <x v="1"/>
    <x v="10"/>
    <x v="10"/>
    <x v="2"/>
    <s v="Apoyo al proceso presupuestario y para mejorar la eficiencia institucional"/>
    <x v="2"/>
    <x v="34"/>
    <x v="118"/>
    <x v="216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1"/>
    <x v="0"/>
    <x v="0"/>
    <m/>
    <x v="0"/>
    <x v="0"/>
    <m/>
    <n v="568800"/>
    <n v="0"/>
    <n v="0"/>
    <n v="568800"/>
    <n v="593300"/>
    <m/>
    <x v="1"/>
    <n v="593300"/>
  </r>
  <r>
    <x v="1"/>
    <x v="10"/>
    <x v="10"/>
    <x v="2"/>
    <s v="Apoyo al proceso presupuestario y para mejorar la eficiencia institucional"/>
    <x v="2"/>
    <x v="34"/>
    <x v="118"/>
    <x v="216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1"/>
    <x v="0"/>
    <x v="0"/>
    <m/>
    <x v="0"/>
    <x v="0"/>
    <m/>
    <n v="9877500"/>
    <n v="0"/>
    <n v="-804"/>
    <n v="9876696"/>
    <n v="9430800"/>
    <m/>
    <x v="1"/>
    <n v="9430800"/>
  </r>
  <r>
    <x v="1"/>
    <x v="10"/>
    <x v="10"/>
    <x v="2"/>
    <s v="Apoyo al proceso presupuestario y para mejorar la eficiencia institucional"/>
    <x v="2"/>
    <x v="34"/>
    <x v="136"/>
    <x v="263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136857"/>
    <n v="0"/>
    <n v="0"/>
    <n v="136857"/>
    <m/>
    <m/>
    <x v="1"/>
    <n v="0"/>
  </r>
  <r>
    <x v="1"/>
    <x v="10"/>
    <x v="10"/>
    <x v="2"/>
    <s v="Apoyo al proceso presupuestario y para mejorar la eficiencia institucional"/>
    <x v="2"/>
    <x v="34"/>
    <x v="136"/>
    <x v="263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8145323"/>
    <n v="0"/>
    <n v="-11199"/>
    <n v="8134124"/>
    <n v="644638"/>
    <m/>
    <x v="34"/>
    <n v="16644638"/>
  </r>
  <r>
    <x v="1"/>
    <x v="10"/>
    <x v="10"/>
    <x v="2"/>
    <s v="Apoyo al proceso presupuestario y para mejorar la eficiencia institucional"/>
    <x v="2"/>
    <x v="34"/>
    <x v="31"/>
    <x v="257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31662481"/>
    <n v="0"/>
    <n v="0"/>
    <n v="31662481"/>
    <n v="36411853"/>
    <m/>
    <x v="1"/>
    <n v="36411853"/>
  </r>
  <r>
    <x v="1"/>
    <x v="10"/>
    <x v="10"/>
    <x v="2"/>
    <s v="Apoyo al proceso presupuestario y para mejorar la eficiencia institucional"/>
    <x v="2"/>
    <x v="34"/>
    <x v="31"/>
    <x v="257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202097378"/>
    <n v="0"/>
    <n v="-1885508"/>
    <n v="200211870"/>
    <n v="164955056"/>
    <m/>
    <x v="1"/>
    <n v="164955056"/>
  </r>
  <r>
    <x v="1"/>
    <x v="10"/>
    <x v="10"/>
    <x v="2"/>
    <s v="Apoyo al proceso presupuestario y para mejorar la eficiencia institucional"/>
    <x v="2"/>
    <x v="34"/>
    <x v="32"/>
    <x v="258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281071"/>
    <n v="0"/>
    <n v="0"/>
    <n v="281071"/>
    <n v="323232"/>
    <m/>
    <x v="1"/>
    <n v="323232"/>
  </r>
  <r>
    <x v="1"/>
    <x v="10"/>
    <x v="10"/>
    <x v="2"/>
    <s v="Apoyo al proceso presupuestario y para mejorar la eficiencia institucional"/>
    <x v="2"/>
    <x v="34"/>
    <x v="32"/>
    <x v="258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11046704"/>
    <n v="0"/>
    <n v="-115725"/>
    <n v="10930979"/>
    <n v="9037785"/>
    <m/>
    <x v="35"/>
    <n v="31837785"/>
  </r>
  <r>
    <x v="1"/>
    <x v="10"/>
    <x v="10"/>
    <x v="2"/>
    <s v="Apoyo al proceso presupuestario y para mejorar la eficiencia institucional"/>
    <x v="2"/>
    <x v="34"/>
    <x v="32"/>
    <x v="258"/>
    <n v="3"/>
    <s v="Desarrollo Económico"/>
    <n v="2"/>
    <s v="Desarrollo Agropecuario y Forestal"/>
    <n v="1"/>
    <x v="35"/>
    <x v="3"/>
    <x v="12"/>
    <n v="2"/>
    <s v="Gasto de capital"/>
    <x v="0"/>
    <x v="0"/>
    <x v="0"/>
    <x v="0"/>
    <x v="1"/>
    <x v="0"/>
    <x v="0"/>
    <m/>
    <x v="0"/>
    <x v="0"/>
    <m/>
    <n v="350000"/>
    <n v="0"/>
    <n v="-3500"/>
    <n v="346500"/>
    <m/>
    <m/>
    <x v="1"/>
    <n v="0"/>
  </r>
  <r>
    <x v="1"/>
    <x v="10"/>
    <x v="10"/>
    <x v="2"/>
    <s v="Apoyo al proceso presupuestario y para mejorar la eficiencia institucional"/>
    <x v="2"/>
    <x v="34"/>
    <x v="40"/>
    <x v="217"/>
    <n v="2"/>
    <s v="Desarrollo Social"/>
    <n v="0"/>
    <s v="Educación"/>
    <n v="2"/>
    <x v="28"/>
    <x v="3"/>
    <x v="12"/>
    <n v="1"/>
    <s v="Gasto corriente"/>
    <x v="0"/>
    <x v="1"/>
    <x v="0"/>
    <x v="0"/>
    <x v="1"/>
    <x v="0"/>
    <x v="0"/>
    <m/>
    <x v="0"/>
    <x v="0"/>
    <m/>
    <n v="810800"/>
    <n v="0"/>
    <n v="0"/>
    <n v="810800"/>
    <n v="2739803"/>
    <m/>
    <x v="1"/>
    <n v="2739803"/>
  </r>
  <r>
    <x v="1"/>
    <x v="10"/>
    <x v="10"/>
    <x v="2"/>
    <s v="Apoyo al proceso presupuestario y para mejorar la eficiencia institucional"/>
    <x v="2"/>
    <x v="34"/>
    <x v="40"/>
    <x v="217"/>
    <n v="2"/>
    <s v="Desarrollo Social"/>
    <n v="0"/>
    <s v="Educación"/>
    <n v="2"/>
    <x v="28"/>
    <x v="3"/>
    <x v="12"/>
    <n v="1"/>
    <s v="Gasto corriente"/>
    <x v="0"/>
    <x v="0"/>
    <x v="0"/>
    <x v="0"/>
    <x v="1"/>
    <x v="0"/>
    <x v="0"/>
    <m/>
    <x v="0"/>
    <x v="0"/>
    <m/>
    <n v="9558448"/>
    <n v="0"/>
    <n v="-1553"/>
    <n v="9556895"/>
    <n v="6248848"/>
    <m/>
    <x v="1"/>
    <n v="6248848"/>
  </r>
  <r>
    <x v="1"/>
    <x v="10"/>
    <x v="10"/>
    <x v="2"/>
    <s v="Apoyo al proceso presupuestario y para mejorar la eficiencia institucional"/>
    <x v="2"/>
    <x v="34"/>
    <x v="36"/>
    <x v="221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8894217"/>
    <n v="0"/>
    <n v="0"/>
    <n v="8894217"/>
    <n v="10255780"/>
    <m/>
    <x v="1"/>
    <n v="10255780"/>
  </r>
  <r>
    <x v="1"/>
    <x v="10"/>
    <x v="10"/>
    <x v="2"/>
    <s v="Apoyo al proceso presupuestario y para mejorar la eficiencia institucional"/>
    <x v="2"/>
    <x v="34"/>
    <x v="36"/>
    <x v="221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305823286"/>
    <n v="0"/>
    <n v="-3352219"/>
    <n v="302471067"/>
    <n v="260173148"/>
    <m/>
    <x v="36"/>
    <n v="274973148"/>
  </r>
  <r>
    <x v="1"/>
    <x v="10"/>
    <x v="10"/>
    <x v="2"/>
    <s v="Apoyo al proceso presupuestario y para mejorar la eficiencia institucional"/>
    <x v="2"/>
    <x v="34"/>
    <x v="36"/>
    <x v="221"/>
    <n v="3"/>
    <s v="Desarrollo Económico"/>
    <n v="2"/>
    <s v="Desarrollo Agropecuario y Forestal"/>
    <n v="1"/>
    <x v="35"/>
    <x v="3"/>
    <x v="12"/>
    <n v="2"/>
    <s v="Gasto de capital"/>
    <x v="0"/>
    <x v="0"/>
    <x v="0"/>
    <x v="0"/>
    <x v="1"/>
    <x v="0"/>
    <x v="0"/>
    <m/>
    <x v="0"/>
    <x v="0"/>
    <m/>
    <n v="750000"/>
    <n v="0"/>
    <n v="-7500"/>
    <n v="742500"/>
    <m/>
    <m/>
    <x v="1"/>
    <n v="0"/>
  </r>
  <r>
    <x v="1"/>
    <x v="10"/>
    <x v="10"/>
    <x v="2"/>
    <s v="Apoyo al proceso presupuestario y para mejorar la eficiencia institucional"/>
    <x v="2"/>
    <x v="34"/>
    <x v="66"/>
    <x v="264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2328884"/>
    <n v="0"/>
    <n v="0"/>
    <n v="2328884"/>
    <n v="2678217"/>
    <m/>
    <x v="1"/>
    <n v="2678217"/>
  </r>
  <r>
    <x v="1"/>
    <x v="10"/>
    <x v="10"/>
    <x v="2"/>
    <s v="Apoyo al proceso presupuestario y para mejorar la eficiencia institucional"/>
    <x v="2"/>
    <x v="34"/>
    <x v="66"/>
    <x v="264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100885928"/>
    <n v="0"/>
    <n v="-1047100"/>
    <n v="99838828"/>
    <n v="84453057"/>
    <m/>
    <x v="26"/>
    <n v="114453057"/>
  </r>
  <r>
    <x v="1"/>
    <x v="10"/>
    <x v="10"/>
    <x v="2"/>
    <s v="Apoyo al proceso presupuestario y para mejorar la eficiencia institucional"/>
    <x v="2"/>
    <x v="34"/>
    <x v="66"/>
    <x v="264"/>
    <n v="3"/>
    <s v="Desarrollo Económico"/>
    <n v="2"/>
    <s v="Desarrollo Agropecuario y Forestal"/>
    <n v="1"/>
    <x v="35"/>
    <x v="3"/>
    <x v="12"/>
    <n v="2"/>
    <s v="Gasto de capital"/>
    <x v="0"/>
    <x v="0"/>
    <x v="0"/>
    <x v="0"/>
    <x v="1"/>
    <x v="0"/>
    <x v="0"/>
    <m/>
    <x v="0"/>
    <x v="0"/>
    <m/>
    <n v="9800000"/>
    <n v="0"/>
    <n v="-98000"/>
    <n v="9702000"/>
    <m/>
    <m/>
    <x v="1"/>
    <n v="0"/>
  </r>
  <r>
    <x v="1"/>
    <x v="10"/>
    <x v="10"/>
    <x v="2"/>
    <s v="Apoyo al proceso presupuestario y para mejorar la eficiencia institucional"/>
    <x v="2"/>
    <x v="34"/>
    <x v="49"/>
    <x v="220"/>
    <n v="3"/>
    <s v="Desarrollo Económico"/>
    <n v="2"/>
    <s v="Desarrollo Agropecuario y Forestal"/>
    <n v="4"/>
    <x v="36"/>
    <x v="3"/>
    <x v="12"/>
    <n v="1"/>
    <s v="Gasto corriente"/>
    <x v="0"/>
    <x v="1"/>
    <x v="0"/>
    <x v="1"/>
    <x v="1"/>
    <x v="0"/>
    <x v="0"/>
    <m/>
    <x v="0"/>
    <x v="0"/>
    <m/>
    <n v="10193042"/>
    <n v="0"/>
    <n v="0"/>
    <n v="10193042"/>
    <n v="11721999"/>
    <m/>
    <x v="1"/>
    <n v="11721999"/>
  </r>
  <r>
    <x v="1"/>
    <x v="10"/>
    <x v="10"/>
    <x v="2"/>
    <s v="Apoyo al proceso presupuestario y para mejorar la eficiencia institucional"/>
    <x v="2"/>
    <x v="34"/>
    <x v="49"/>
    <x v="220"/>
    <n v="3"/>
    <s v="Desarrollo Económico"/>
    <n v="2"/>
    <s v="Desarrollo Agropecuario y Forestal"/>
    <n v="4"/>
    <x v="36"/>
    <x v="3"/>
    <x v="12"/>
    <n v="1"/>
    <s v="Gasto corriente"/>
    <x v="0"/>
    <x v="0"/>
    <x v="0"/>
    <x v="1"/>
    <x v="1"/>
    <x v="0"/>
    <x v="0"/>
    <m/>
    <x v="0"/>
    <x v="0"/>
    <m/>
    <n v="124796630"/>
    <n v="0"/>
    <n v="-1231099"/>
    <n v="123565531"/>
    <n v="102021665"/>
    <m/>
    <x v="1"/>
    <n v="102021665"/>
  </r>
  <r>
    <x v="1"/>
    <x v="10"/>
    <x v="10"/>
    <x v="2"/>
    <s v="Apoyo al proceso presupuestario y para mejorar la eficiencia institucional"/>
    <x v="2"/>
    <x v="34"/>
    <x v="30"/>
    <x v="224"/>
    <n v="3"/>
    <s v="Desarrollo Económico"/>
    <n v="2"/>
    <s v="Desarrollo Agropecuario y Forestal"/>
    <n v="4"/>
    <x v="36"/>
    <x v="3"/>
    <x v="12"/>
    <n v="1"/>
    <s v="Gasto corriente"/>
    <x v="0"/>
    <x v="1"/>
    <x v="0"/>
    <x v="0"/>
    <x v="1"/>
    <x v="0"/>
    <x v="0"/>
    <m/>
    <x v="0"/>
    <x v="0"/>
    <m/>
    <n v="5765370"/>
    <n v="0"/>
    <n v="0"/>
    <n v="5765370"/>
    <n v="6630176"/>
    <m/>
    <x v="1"/>
    <n v="6630176"/>
  </r>
  <r>
    <x v="1"/>
    <x v="10"/>
    <x v="10"/>
    <x v="2"/>
    <s v="Apoyo al proceso presupuestario y para mejorar la eficiencia institucional"/>
    <x v="2"/>
    <x v="34"/>
    <x v="30"/>
    <x v="224"/>
    <n v="3"/>
    <s v="Desarrollo Económico"/>
    <n v="2"/>
    <s v="Desarrollo Agropecuario y Forestal"/>
    <n v="4"/>
    <x v="36"/>
    <x v="3"/>
    <x v="12"/>
    <n v="1"/>
    <s v="Gasto corriente"/>
    <x v="0"/>
    <x v="0"/>
    <x v="0"/>
    <x v="0"/>
    <x v="1"/>
    <x v="0"/>
    <x v="0"/>
    <m/>
    <x v="0"/>
    <x v="0"/>
    <m/>
    <n v="218583852"/>
    <n v="0"/>
    <n v="-2355162"/>
    <n v="216228690"/>
    <n v="125829927"/>
    <m/>
    <x v="1"/>
    <n v="125829927"/>
  </r>
  <r>
    <x v="1"/>
    <x v="10"/>
    <x v="10"/>
    <x v="2"/>
    <s v="Apoyo al proceso presupuestario y para mejorar la eficiencia institucional"/>
    <x v="2"/>
    <x v="34"/>
    <x v="30"/>
    <x v="224"/>
    <n v="3"/>
    <s v="Desarrollo Económico"/>
    <n v="2"/>
    <s v="Desarrollo Agropecuario y Forestal"/>
    <n v="4"/>
    <x v="36"/>
    <x v="3"/>
    <x v="12"/>
    <n v="2"/>
    <s v="Gasto de capital"/>
    <x v="0"/>
    <x v="0"/>
    <x v="0"/>
    <x v="0"/>
    <x v="1"/>
    <x v="0"/>
    <x v="0"/>
    <m/>
    <x v="0"/>
    <x v="0"/>
    <m/>
    <n v="6581836"/>
    <n v="0"/>
    <n v="-65818"/>
    <n v="6516018"/>
    <m/>
    <m/>
    <x v="1"/>
    <n v="0"/>
  </r>
  <r>
    <x v="1"/>
    <x v="10"/>
    <x v="10"/>
    <x v="2"/>
    <s v="Apoyo al proceso presupuestario y para mejorar la eficiencia institucional"/>
    <x v="2"/>
    <x v="34"/>
    <x v="137"/>
    <x v="265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253454042"/>
    <n v="0"/>
    <n v="-2835950"/>
    <n v="250618092"/>
    <n v="171546254"/>
    <m/>
    <x v="2"/>
    <n v="186546254"/>
  </r>
  <r>
    <x v="1"/>
    <x v="10"/>
    <x v="10"/>
    <x v="2"/>
    <s v="Apoyo al proceso presupuestario y para mejorar la eficiencia institucional"/>
    <x v="2"/>
    <x v="34"/>
    <x v="138"/>
    <x v="266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130408"/>
    <n v="0"/>
    <n v="0"/>
    <n v="130408"/>
    <m/>
    <m/>
    <x v="1"/>
    <n v="0"/>
  </r>
  <r>
    <x v="1"/>
    <x v="10"/>
    <x v="10"/>
    <x v="2"/>
    <s v="Apoyo al proceso presupuestario y para mejorar la eficiencia institucional"/>
    <x v="2"/>
    <x v="34"/>
    <x v="138"/>
    <x v="266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9390710"/>
    <n v="0"/>
    <n v="-15015"/>
    <n v="9375695"/>
    <n v="728881"/>
    <m/>
    <x v="37"/>
    <n v="60728881"/>
  </r>
  <r>
    <x v="1"/>
    <x v="10"/>
    <x v="10"/>
    <x v="2"/>
    <s v="Apoyo al proceso presupuestario y para mejorar la eficiencia institucional"/>
    <x v="2"/>
    <x v="34"/>
    <x v="139"/>
    <x v="267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32903862"/>
    <n v="0"/>
    <n v="-358874"/>
    <n v="32544988"/>
    <n v="12114647"/>
    <m/>
    <x v="1"/>
    <n v="12114647"/>
  </r>
  <r>
    <x v="1"/>
    <x v="10"/>
    <x v="10"/>
    <x v="2"/>
    <s v="Apoyo al proceso presupuestario y para mejorar la eficiencia institucional"/>
    <x v="2"/>
    <x v="34"/>
    <x v="119"/>
    <x v="218"/>
    <n v="2"/>
    <s v="Desarrollo Social"/>
    <n v="0"/>
    <s v="Educación"/>
    <n v="4"/>
    <x v="32"/>
    <x v="3"/>
    <x v="12"/>
    <n v="1"/>
    <s v="Gasto corriente"/>
    <x v="0"/>
    <x v="1"/>
    <x v="0"/>
    <x v="1"/>
    <x v="1"/>
    <x v="0"/>
    <x v="0"/>
    <m/>
    <x v="0"/>
    <x v="0"/>
    <m/>
    <n v="18624283"/>
    <n v="0"/>
    <n v="0"/>
    <n v="18624283"/>
    <n v="23280354"/>
    <m/>
    <x v="1"/>
    <n v="23280354"/>
  </r>
  <r>
    <x v="1"/>
    <x v="10"/>
    <x v="10"/>
    <x v="2"/>
    <s v="Apoyo al proceso presupuestario y para mejorar la eficiencia institucional"/>
    <x v="2"/>
    <x v="34"/>
    <x v="119"/>
    <x v="218"/>
    <n v="2"/>
    <s v="Desarrollo Social"/>
    <n v="0"/>
    <s v="Educación"/>
    <n v="4"/>
    <x v="32"/>
    <x v="3"/>
    <x v="12"/>
    <n v="1"/>
    <s v="Gasto corriente"/>
    <x v="0"/>
    <x v="0"/>
    <x v="0"/>
    <x v="1"/>
    <x v="1"/>
    <x v="0"/>
    <x v="0"/>
    <m/>
    <x v="0"/>
    <x v="0"/>
    <m/>
    <n v="48701413"/>
    <n v="0"/>
    <n v="-24631"/>
    <n v="48676782"/>
    <n v="35917526"/>
    <m/>
    <x v="1"/>
    <n v="35917526"/>
  </r>
  <r>
    <x v="1"/>
    <x v="10"/>
    <x v="10"/>
    <x v="2"/>
    <s v="Apoyo al proceso presupuestario y para mejorar la eficiencia institucional"/>
    <x v="2"/>
    <x v="34"/>
    <x v="140"/>
    <x v="268"/>
    <n v="3"/>
    <s v="Desarrollo Económico"/>
    <n v="2"/>
    <s v="Desarrollo Agropecuario y Forestal"/>
    <n v="1"/>
    <x v="35"/>
    <x v="3"/>
    <x v="12"/>
    <n v="1"/>
    <s v="Gasto corriente"/>
    <x v="0"/>
    <x v="1"/>
    <x v="0"/>
    <x v="0"/>
    <x v="1"/>
    <x v="0"/>
    <x v="0"/>
    <m/>
    <x v="0"/>
    <x v="0"/>
    <m/>
    <n v="1599047"/>
    <n v="0"/>
    <n v="0"/>
    <n v="1599047"/>
    <m/>
    <m/>
    <x v="1"/>
    <n v="0"/>
  </r>
  <r>
    <x v="1"/>
    <x v="10"/>
    <x v="10"/>
    <x v="2"/>
    <s v="Apoyo al proceso presupuestario y para mejorar la eficiencia institucional"/>
    <x v="2"/>
    <x v="34"/>
    <x v="140"/>
    <x v="268"/>
    <n v="3"/>
    <s v="Desarrollo Económico"/>
    <n v="2"/>
    <s v="Desarrollo Agropecuario y Forestal"/>
    <n v="1"/>
    <x v="35"/>
    <x v="3"/>
    <x v="12"/>
    <n v="1"/>
    <s v="Gasto corriente"/>
    <x v="0"/>
    <x v="0"/>
    <x v="0"/>
    <x v="0"/>
    <x v="1"/>
    <x v="0"/>
    <x v="0"/>
    <m/>
    <x v="0"/>
    <x v="0"/>
    <m/>
    <n v="44234664"/>
    <n v="0"/>
    <n v="-485216"/>
    <n v="43749448"/>
    <m/>
    <m/>
    <x v="1"/>
    <n v="0"/>
  </r>
  <r>
    <x v="1"/>
    <x v="10"/>
    <x v="10"/>
    <x v="2"/>
    <s v="Apoyo al proceso presupuestario y para mejorar la eficiencia institucional"/>
    <x v="2"/>
    <x v="34"/>
    <x v="120"/>
    <x v="219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1"/>
    <x v="0"/>
    <x v="0"/>
    <m/>
    <x v="0"/>
    <x v="0"/>
    <m/>
    <n v="5254834"/>
    <n v="0"/>
    <n v="0"/>
    <n v="5254834"/>
    <n v="2480213"/>
    <m/>
    <x v="1"/>
    <n v="2480213"/>
  </r>
  <r>
    <x v="1"/>
    <x v="10"/>
    <x v="10"/>
    <x v="2"/>
    <s v="Apoyo al proceso presupuestario y para mejorar la eficiencia institucional"/>
    <x v="2"/>
    <x v="34"/>
    <x v="120"/>
    <x v="219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1"/>
    <x v="0"/>
    <x v="0"/>
    <m/>
    <x v="0"/>
    <x v="0"/>
    <m/>
    <n v="84052491"/>
    <n v="0"/>
    <n v="-844010"/>
    <n v="83208481"/>
    <n v="70984096"/>
    <m/>
    <x v="1"/>
    <n v="70984096"/>
  </r>
  <r>
    <x v="1"/>
    <x v="10"/>
    <x v="10"/>
    <x v="3"/>
    <s v="Apoyo a la función pública y al mejoramiento de la gestión"/>
    <x v="2"/>
    <x v="35"/>
    <x v="21"/>
    <x v="77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m/>
    <m/>
    <m/>
    <m/>
    <n v="4419869"/>
    <m/>
    <x v="1"/>
    <n v="4419869"/>
  </r>
  <r>
    <x v="1"/>
    <x v="10"/>
    <x v="10"/>
    <x v="3"/>
    <s v="Apoyo a la función pública y al mejoramiento de la gestión"/>
    <x v="2"/>
    <x v="35"/>
    <x v="21"/>
    <x v="7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218308"/>
    <n v="0"/>
    <n v="-12183"/>
    <n v="1206125"/>
    <n v="58410305"/>
    <m/>
    <x v="1"/>
    <n v="58410305"/>
  </r>
  <r>
    <x v="1"/>
    <x v="10"/>
    <x v="10"/>
    <x v="3"/>
    <s v="Apoyo a la función pública y al mejoramiento de la gestión"/>
    <x v="2"/>
    <x v="35"/>
    <x v="18"/>
    <x v="226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30000"/>
    <n v="0"/>
    <n v="-300"/>
    <n v="29700"/>
    <n v="37204"/>
    <m/>
    <x v="1"/>
    <n v="37204"/>
  </r>
  <r>
    <x v="1"/>
    <x v="10"/>
    <x v="10"/>
    <x v="3"/>
    <s v="Apoyo a la función pública y al mejoramiento de la gestión"/>
    <x v="2"/>
    <x v="35"/>
    <x v="107"/>
    <x v="22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67577"/>
    <n v="0"/>
    <n v="-1676"/>
    <n v="165901"/>
    <n v="161566"/>
    <m/>
    <x v="1"/>
    <n v="161566"/>
  </r>
  <r>
    <x v="1"/>
    <x v="10"/>
    <x v="10"/>
    <x v="3"/>
    <s v="Apoyo a la función pública y al mejoramiento de la gestión"/>
    <x v="2"/>
    <x v="35"/>
    <x v="83"/>
    <x v="228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97081"/>
    <n v="0"/>
    <n v="-971"/>
    <n v="96110"/>
    <n v="92111"/>
    <m/>
    <x v="1"/>
    <n v="92111"/>
  </r>
  <r>
    <x v="1"/>
    <x v="10"/>
    <x v="10"/>
    <x v="3"/>
    <s v="Apoyo a la función pública y al mejoramiento de la gestión"/>
    <x v="2"/>
    <x v="35"/>
    <x v="108"/>
    <x v="229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49985"/>
    <n v="0"/>
    <n v="-500"/>
    <n v="49485"/>
    <n v="47810"/>
    <m/>
    <x v="1"/>
    <n v="47810"/>
  </r>
  <r>
    <x v="1"/>
    <x v="10"/>
    <x v="10"/>
    <x v="3"/>
    <s v="Apoyo a la función pública y al mejoramiento de la gestión"/>
    <x v="2"/>
    <x v="35"/>
    <x v="109"/>
    <x v="230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90982"/>
    <n v="0"/>
    <n v="-1911"/>
    <n v="189071"/>
    <n v="189071"/>
    <m/>
    <x v="1"/>
    <n v="189071"/>
  </r>
  <r>
    <x v="1"/>
    <x v="10"/>
    <x v="10"/>
    <x v="3"/>
    <s v="Apoyo a la función pública y al mejoramiento de la gestión"/>
    <x v="2"/>
    <x v="35"/>
    <x v="110"/>
    <x v="231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78666"/>
    <n v="0"/>
    <n v="-786"/>
    <n v="77880"/>
    <n v="77880"/>
    <m/>
    <x v="1"/>
    <n v="77880"/>
  </r>
  <r>
    <x v="1"/>
    <x v="10"/>
    <x v="10"/>
    <x v="3"/>
    <s v="Apoyo a la función pública y al mejoramiento de la gestión"/>
    <x v="2"/>
    <x v="35"/>
    <x v="26"/>
    <x v="232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38500"/>
    <n v="0"/>
    <n v="-2385"/>
    <n v="236115"/>
    <n v="227515"/>
    <m/>
    <x v="1"/>
    <n v="227515"/>
  </r>
  <r>
    <x v="1"/>
    <x v="10"/>
    <x v="10"/>
    <x v="3"/>
    <s v="Apoyo a la función pública y al mejoramiento de la gestión"/>
    <x v="2"/>
    <x v="35"/>
    <x v="27"/>
    <x v="233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336550"/>
    <n v="0"/>
    <n v="-3366"/>
    <n v="333184"/>
    <n v="336550"/>
    <m/>
    <x v="1"/>
    <n v="336550"/>
  </r>
  <r>
    <x v="1"/>
    <x v="10"/>
    <x v="10"/>
    <x v="3"/>
    <s v="Apoyo a la función pública y al mejoramiento de la gestión"/>
    <x v="2"/>
    <x v="35"/>
    <x v="28"/>
    <x v="234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39300"/>
    <n v="0"/>
    <n v="-1393"/>
    <n v="137907"/>
    <n v="139300"/>
    <m/>
    <x v="1"/>
    <n v="139300"/>
  </r>
  <r>
    <x v="1"/>
    <x v="10"/>
    <x v="10"/>
    <x v="3"/>
    <s v="Apoyo a la función pública y al mejoramiento de la gestión"/>
    <x v="2"/>
    <x v="35"/>
    <x v="29"/>
    <x v="235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65000"/>
    <n v="0"/>
    <n v="-1650"/>
    <n v="163350"/>
    <n v="69200"/>
    <m/>
    <x v="1"/>
    <n v="69200"/>
  </r>
  <r>
    <x v="1"/>
    <x v="10"/>
    <x v="10"/>
    <x v="3"/>
    <s v="Apoyo a la función pública y al mejoramiento de la gestión"/>
    <x v="2"/>
    <x v="35"/>
    <x v="111"/>
    <x v="236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350226"/>
    <n v="0"/>
    <n v="-3502"/>
    <n v="346724"/>
    <n v="331724"/>
    <m/>
    <x v="1"/>
    <n v="331724"/>
  </r>
  <r>
    <x v="1"/>
    <x v="10"/>
    <x v="10"/>
    <x v="3"/>
    <s v="Apoyo a la función pública y al mejoramiento de la gestión"/>
    <x v="2"/>
    <x v="35"/>
    <x v="121"/>
    <x v="23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61000"/>
    <n v="0"/>
    <n v="-610"/>
    <n v="60390"/>
    <n v="73000"/>
    <m/>
    <x v="1"/>
    <n v="73000"/>
  </r>
  <r>
    <x v="1"/>
    <x v="10"/>
    <x v="10"/>
    <x v="3"/>
    <s v="Apoyo a la función pública y al mejoramiento de la gestión"/>
    <x v="2"/>
    <x v="35"/>
    <x v="122"/>
    <x v="238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42373"/>
    <n v="0"/>
    <n v="-2424"/>
    <n v="239949"/>
    <n v="242133"/>
    <m/>
    <x v="1"/>
    <n v="242133"/>
  </r>
  <r>
    <x v="1"/>
    <x v="10"/>
    <x v="10"/>
    <x v="3"/>
    <s v="Apoyo a la función pública y al mejoramiento de la gestión"/>
    <x v="2"/>
    <x v="35"/>
    <x v="113"/>
    <x v="239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85958"/>
    <n v="0"/>
    <n v="-857"/>
    <n v="85101"/>
    <n v="77056"/>
    <m/>
    <x v="1"/>
    <n v="77056"/>
  </r>
  <r>
    <x v="1"/>
    <x v="10"/>
    <x v="10"/>
    <x v="3"/>
    <s v="Apoyo a la función pública y al mejoramiento de la gestión"/>
    <x v="2"/>
    <x v="35"/>
    <x v="112"/>
    <x v="240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22000"/>
    <n v="0"/>
    <n v="-1220"/>
    <n v="120780"/>
    <n v="115909"/>
    <m/>
    <x v="1"/>
    <n v="115909"/>
  </r>
  <r>
    <x v="1"/>
    <x v="10"/>
    <x v="10"/>
    <x v="3"/>
    <s v="Apoyo a la función pública y al mejoramiento de la gestión"/>
    <x v="2"/>
    <x v="35"/>
    <x v="123"/>
    <x v="241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79000"/>
    <n v="0"/>
    <n v="-790"/>
    <n v="78210"/>
    <n v="72300"/>
    <m/>
    <x v="1"/>
    <n v="72300"/>
  </r>
  <r>
    <x v="1"/>
    <x v="10"/>
    <x v="10"/>
    <x v="3"/>
    <s v="Apoyo a la función pública y al mejoramiento de la gestión"/>
    <x v="2"/>
    <x v="35"/>
    <x v="116"/>
    <x v="242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97200"/>
    <n v="0"/>
    <n v="-970"/>
    <n v="96230"/>
    <n v="573988"/>
    <m/>
    <x v="1"/>
    <n v="573988"/>
  </r>
  <r>
    <x v="1"/>
    <x v="10"/>
    <x v="10"/>
    <x v="3"/>
    <s v="Apoyo a la función pública y al mejoramiento de la gestión"/>
    <x v="2"/>
    <x v="35"/>
    <x v="114"/>
    <x v="243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83224"/>
    <n v="0"/>
    <n v="-2832"/>
    <n v="280392"/>
    <n v="287722"/>
    <m/>
    <x v="1"/>
    <n v="287722"/>
  </r>
  <r>
    <x v="1"/>
    <x v="10"/>
    <x v="10"/>
    <x v="3"/>
    <s v="Apoyo a la función pública y al mejoramiento de la gestión"/>
    <x v="2"/>
    <x v="35"/>
    <x v="117"/>
    <x v="244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365355"/>
    <n v="0"/>
    <n v="-3653"/>
    <n v="361702"/>
    <n v="365355"/>
    <m/>
    <x v="1"/>
    <n v="365355"/>
  </r>
  <r>
    <x v="1"/>
    <x v="10"/>
    <x v="10"/>
    <x v="3"/>
    <s v="Apoyo a la función pública y al mejoramiento de la gestión"/>
    <x v="2"/>
    <x v="35"/>
    <x v="124"/>
    <x v="245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14188"/>
    <n v="0"/>
    <n v="-1142"/>
    <n v="113046"/>
    <n v="113046"/>
    <m/>
    <x v="1"/>
    <n v="113046"/>
  </r>
  <r>
    <x v="1"/>
    <x v="10"/>
    <x v="10"/>
    <x v="3"/>
    <s v="Apoyo a la función pública y al mejoramiento de la gestión"/>
    <x v="2"/>
    <x v="35"/>
    <x v="125"/>
    <x v="246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32110"/>
    <n v="0"/>
    <n v="-322"/>
    <n v="31788"/>
    <n v="30548"/>
    <m/>
    <x v="1"/>
    <n v="30548"/>
  </r>
  <r>
    <x v="1"/>
    <x v="10"/>
    <x v="10"/>
    <x v="3"/>
    <s v="Apoyo a la función pública y al mejoramiento de la gestión"/>
    <x v="2"/>
    <x v="35"/>
    <x v="126"/>
    <x v="24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29500"/>
    <n v="0"/>
    <n v="-1295"/>
    <n v="128205"/>
    <n v="128205"/>
    <m/>
    <x v="1"/>
    <n v="128205"/>
  </r>
  <r>
    <x v="1"/>
    <x v="10"/>
    <x v="10"/>
    <x v="3"/>
    <s v="Apoyo a la función pública y al mejoramiento de la gestión"/>
    <x v="2"/>
    <x v="35"/>
    <x v="127"/>
    <x v="248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93600"/>
    <n v="0"/>
    <n v="-936"/>
    <n v="92664"/>
    <n v="92650"/>
    <m/>
    <x v="1"/>
    <n v="92650"/>
  </r>
  <r>
    <x v="1"/>
    <x v="10"/>
    <x v="10"/>
    <x v="3"/>
    <s v="Apoyo a la función pública y al mejoramiento de la gestión"/>
    <x v="2"/>
    <x v="35"/>
    <x v="128"/>
    <x v="249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585766"/>
    <n v="0"/>
    <n v="-5858"/>
    <n v="579908"/>
    <n v="553581"/>
    <m/>
    <x v="1"/>
    <n v="553581"/>
  </r>
  <r>
    <x v="1"/>
    <x v="10"/>
    <x v="10"/>
    <x v="3"/>
    <s v="Apoyo a la función pública y al mejoramiento de la gestión"/>
    <x v="2"/>
    <x v="35"/>
    <x v="129"/>
    <x v="250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29131"/>
    <n v="0"/>
    <n v="-2290"/>
    <n v="226841"/>
    <n v="219373"/>
    <m/>
    <x v="1"/>
    <n v="219373"/>
  </r>
  <r>
    <x v="1"/>
    <x v="10"/>
    <x v="10"/>
    <x v="3"/>
    <s v="Apoyo a la función pública y al mejoramiento de la gestión"/>
    <x v="2"/>
    <x v="35"/>
    <x v="130"/>
    <x v="251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81719"/>
    <n v="0"/>
    <n v="-820"/>
    <n v="80899"/>
    <n v="72503"/>
    <m/>
    <x v="1"/>
    <n v="72503"/>
  </r>
  <r>
    <x v="1"/>
    <x v="10"/>
    <x v="10"/>
    <x v="3"/>
    <s v="Apoyo a la función pública y al mejoramiento de la gestión"/>
    <x v="2"/>
    <x v="35"/>
    <x v="131"/>
    <x v="252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93055"/>
    <n v="0"/>
    <n v="-1931"/>
    <n v="191124"/>
    <n v="155500"/>
    <m/>
    <x v="1"/>
    <n v="155500"/>
  </r>
  <r>
    <x v="1"/>
    <x v="10"/>
    <x v="10"/>
    <x v="3"/>
    <s v="Apoyo a la función pública y al mejoramiento de la gestión"/>
    <x v="2"/>
    <x v="35"/>
    <x v="132"/>
    <x v="253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06900"/>
    <n v="0"/>
    <n v="-1069"/>
    <n v="105831"/>
    <n v="108290"/>
    <m/>
    <x v="1"/>
    <n v="108290"/>
  </r>
  <r>
    <x v="1"/>
    <x v="10"/>
    <x v="10"/>
    <x v="3"/>
    <s v="Apoyo a la función pública y al mejoramiento de la gestión"/>
    <x v="2"/>
    <x v="35"/>
    <x v="133"/>
    <x v="254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563797"/>
    <n v="0"/>
    <n v="-5638"/>
    <n v="558159"/>
    <n v="507906"/>
    <m/>
    <x v="1"/>
    <n v="507906"/>
  </r>
  <r>
    <x v="1"/>
    <x v="10"/>
    <x v="10"/>
    <x v="3"/>
    <s v="Apoyo a la función pública y al mejoramiento de la gestión"/>
    <x v="2"/>
    <x v="35"/>
    <x v="134"/>
    <x v="255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23300"/>
    <n v="0"/>
    <n v="-1233"/>
    <n v="122067"/>
    <n v="128197"/>
    <m/>
    <x v="1"/>
    <n v="128197"/>
  </r>
  <r>
    <x v="1"/>
    <x v="10"/>
    <x v="10"/>
    <x v="3"/>
    <s v="Apoyo a la función pública y al mejoramiento de la gestión"/>
    <x v="2"/>
    <x v="35"/>
    <x v="135"/>
    <x v="256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34000"/>
    <n v="0"/>
    <n v="-2340"/>
    <n v="231660"/>
    <n v="161317"/>
    <m/>
    <x v="1"/>
    <n v="161317"/>
  </r>
  <r>
    <x v="1"/>
    <x v="10"/>
    <x v="10"/>
    <x v="3"/>
    <s v="Apoyo a la función pública y al mejoramiento de la gestión"/>
    <x v="2"/>
    <x v="35"/>
    <x v="141"/>
    <x v="269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97000"/>
    <n v="0"/>
    <n v="-970"/>
    <n v="96030"/>
    <n v="93127"/>
    <m/>
    <x v="1"/>
    <n v="93127"/>
  </r>
  <r>
    <x v="1"/>
    <x v="10"/>
    <x v="10"/>
    <x v="3"/>
    <s v="Apoyo a la función pública y al mejoramiento de la gestión"/>
    <x v="2"/>
    <x v="35"/>
    <x v="118"/>
    <x v="216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n v="304900"/>
    <n v="0"/>
    <n v="0"/>
    <n v="304900"/>
    <n v="318000"/>
    <m/>
    <x v="1"/>
    <n v="318000"/>
  </r>
  <r>
    <x v="1"/>
    <x v="10"/>
    <x v="10"/>
    <x v="3"/>
    <s v="Apoyo a la función pública y al mejoramiento de la gestión"/>
    <x v="2"/>
    <x v="35"/>
    <x v="118"/>
    <x v="216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4478000"/>
    <n v="0"/>
    <n v="-431"/>
    <n v="4477569"/>
    <n v="4431400"/>
    <m/>
    <x v="1"/>
    <n v="4431400"/>
  </r>
  <r>
    <x v="1"/>
    <x v="10"/>
    <x v="10"/>
    <x v="3"/>
    <s v="Apoyo a la función pública y al mejoramiento de la gestión"/>
    <x v="2"/>
    <x v="35"/>
    <x v="31"/>
    <x v="25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294957"/>
    <n v="0"/>
    <n v="-22950"/>
    <n v="2272007"/>
    <n v="2085937"/>
    <m/>
    <x v="1"/>
    <n v="2085937"/>
  </r>
  <r>
    <x v="1"/>
    <x v="10"/>
    <x v="10"/>
    <x v="3"/>
    <s v="Apoyo a la función pública y al mejoramiento de la gestión"/>
    <x v="2"/>
    <x v="35"/>
    <x v="36"/>
    <x v="221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n v="233068"/>
    <n v="0"/>
    <n v="0"/>
    <n v="233068"/>
    <n v="240597"/>
    <m/>
    <x v="1"/>
    <n v="240597"/>
  </r>
  <r>
    <x v="1"/>
    <x v="10"/>
    <x v="10"/>
    <x v="3"/>
    <s v="Apoyo a la función pública y al mejoramiento de la gestión"/>
    <x v="2"/>
    <x v="35"/>
    <x v="36"/>
    <x v="221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7983890"/>
    <n v="0"/>
    <n v="-92058"/>
    <n v="7891832"/>
    <n v="7647239"/>
    <m/>
    <x v="1"/>
    <n v="7647239"/>
  </r>
  <r>
    <x v="1"/>
    <x v="10"/>
    <x v="10"/>
    <x v="3"/>
    <s v="Apoyo a la función pública y al mejoramiento de la gestión"/>
    <x v="2"/>
    <x v="35"/>
    <x v="30"/>
    <x v="224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667000"/>
    <n v="0"/>
    <n v="-6670"/>
    <n v="660330"/>
    <n v="658929"/>
    <m/>
    <x v="1"/>
    <n v="658929"/>
  </r>
  <r>
    <x v="1"/>
    <x v="10"/>
    <x v="10"/>
    <x v="3"/>
    <s v="Apoyo a la función pública y al mejoramiento de la gestión"/>
    <x v="2"/>
    <x v="35"/>
    <x v="137"/>
    <x v="265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8981638"/>
    <n v="0"/>
    <n v="-102694"/>
    <n v="8878944"/>
    <n v="6109192"/>
    <m/>
    <x v="1"/>
    <n v="6109192"/>
  </r>
  <r>
    <x v="1"/>
    <x v="10"/>
    <x v="10"/>
    <x v="3"/>
    <s v="Apoyo a la función pública y al mejoramiento de la gestión"/>
    <x v="2"/>
    <x v="35"/>
    <x v="139"/>
    <x v="26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821318"/>
    <n v="0"/>
    <n v="-20535"/>
    <n v="1800783"/>
    <n v="1701281"/>
    <m/>
    <x v="1"/>
    <n v="1701281"/>
  </r>
  <r>
    <x v="1"/>
    <x v="10"/>
    <x v="10"/>
    <x v="3"/>
    <s v="Apoyo a la función pública y al mejoramiento de la gestión"/>
    <x v="2"/>
    <x v="35"/>
    <x v="119"/>
    <x v="218"/>
    <n v="1"/>
    <s v="Gobierno"/>
    <n v="8"/>
    <s v="Administración Pública"/>
    <n v="3"/>
    <x v="6"/>
    <x v="2"/>
    <x v="13"/>
    <n v="1"/>
    <s v="Gasto corriente"/>
    <x v="0"/>
    <x v="0"/>
    <x v="0"/>
    <x v="1"/>
    <x v="1"/>
    <x v="0"/>
    <x v="0"/>
    <m/>
    <x v="0"/>
    <x v="0"/>
    <m/>
    <n v="1240000"/>
    <n v="0"/>
    <n v="0"/>
    <n v="1240000"/>
    <n v="1198000"/>
    <m/>
    <x v="1"/>
    <n v="1198000"/>
  </r>
  <r>
    <x v="1"/>
    <x v="10"/>
    <x v="10"/>
    <x v="3"/>
    <s v="Apoyo a la función pública y al mejoramiento de la gestión"/>
    <x v="2"/>
    <x v="35"/>
    <x v="140"/>
    <x v="268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n v="143604"/>
    <n v="0"/>
    <n v="0"/>
    <n v="143604"/>
    <n v="111611"/>
    <m/>
    <x v="1"/>
    <n v="111611"/>
  </r>
  <r>
    <x v="1"/>
    <x v="10"/>
    <x v="10"/>
    <x v="3"/>
    <s v="Apoyo a la función pública y al mejoramiento de la gestión"/>
    <x v="2"/>
    <x v="35"/>
    <x v="140"/>
    <x v="268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4332284"/>
    <n v="0"/>
    <n v="-48325"/>
    <n v="4283959"/>
    <n v="3675432"/>
    <m/>
    <x v="38"/>
    <n v="8675432"/>
  </r>
  <r>
    <x v="1"/>
    <x v="10"/>
    <x v="10"/>
    <x v="3"/>
    <s v="Apoyo a la función pública y al mejoramiento de la gestión"/>
    <x v="2"/>
    <x v="35"/>
    <x v="120"/>
    <x v="219"/>
    <n v="1"/>
    <s v="Gobierno"/>
    <n v="8"/>
    <s v="Administración Pública"/>
    <n v="3"/>
    <x v="6"/>
    <x v="2"/>
    <x v="13"/>
    <n v="1"/>
    <s v="Gasto corriente"/>
    <x v="0"/>
    <x v="0"/>
    <x v="0"/>
    <x v="1"/>
    <x v="1"/>
    <x v="0"/>
    <x v="0"/>
    <m/>
    <x v="0"/>
    <x v="0"/>
    <m/>
    <n v="1030000"/>
    <n v="0"/>
    <n v="-10299"/>
    <n v="1019701"/>
    <n v="917733"/>
    <m/>
    <x v="1"/>
    <n v="917733"/>
  </r>
  <r>
    <x v="1"/>
    <x v="10"/>
    <x v="10"/>
    <x v="3"/>
    <s v="Apoyo a la función pública y al mejoramiento de la gestión"/>
    <x v="32"/>
    <x v="121"/>
    <x v="85"/>
    <x v="259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40234357"/>
    <n v="0"/>
    <n v="-402344"/>
    <n v="39832013"/>
    <n v="37214231"/>
    <m/>
    <x v="1"/>
    <n v="37214231"/>
  </r>
  <r>
    <x v="1"/>
    <x v="10"/>
    <x v="10"/>
    <x v="3"/>
    <s v="Apoyo a la función pública y al mejoramiento de la gestión"/>
    <x v="32"/>
    <x v="121"/>
    <x v="31"/>
    <x v="25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2500000"/>
    <n v="0"/>
    <n v="-125000"/>
    <n v="12375000"/>
    <n v="12500000"/>
    <m/>
    <x v="1"/>
    <n v="12500000"/>
  </r>
  <r>
    <x v="1"/>
    <x v="10"/>
    <x v="10"/>
    <x v="3"/>
    <s v="Apoyo a la función pública y al mejoramiento de la gestión"/>
    <x v="32"/>
    <x v="121"/>
    <x v="32"/>
    <x v="258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60000"/>
    <n v="0"/>
    <n v="-600"/>
    <n v="59400"/>
    <n v="59400"/>
    <m/>
    <x v="1"/>
    <n v="59400"/>
  </r>
  <r>
    <x v="1"/>
    <x v="10"/>
    <x v="10"/>
    <x v="3"/>
    <s v="Apoyo a la función pública y al mejoramiento de la gestión"/>
    <x v="32"/>
    <x v="121"/>
    <x v="40"/>
    <x v="21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50000"/>
    <n v="0"/>
    <n v="0"/>
    <n v="50000"/>
    <n v="50000"/>
    <m/>
    <x v="1"/>
    <n v="50000"/>
  </r>
  <r>
    <x v="1"/>
    <x v="10"/>
    <x v="10"/>
    <x v="3"/>
    <s v="Apoyo a la función pública y al mejoramiento de la gestión"/>
    <x v="32"/>
    <x v="121"/>
    <x v="36"/>
    <x v="221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837752"/>
    <n v="0"/>
    <n v="-28378"/>
    <n v="2809374"/>
    <n v="2352000"/>
    <m/>
    <x v="1"/>
    <n v="2352000"/>
  </r>
  <r>
    <x v="1"/>
    <x v="10"/>
    <x v="10"/>
    <x v="3"/>
    <s v="Apoyo a la función pública y al mejoramiento de la gestión"/>
    <x v="32"/>
    <x v="121"/>
    <x v="66"/>
    <x v="264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800000"/>
    <n v="0"/>
    <n v="-8000"/>
    <n v="792000"/>
    <n v="790000"/>
    <m/>
    <x v="1"/>
    <n v="790000"/>
  </r>
  <r>
    <x v="1"/>
    <x v="10"/>
    <x v="10"/>
    <x v="3"/>
    <s v="Apoyo a la función pública y al mejoramiento de la gestión"/>
    <x v="32"/>
    <x v="121"/>
    <x v="49"/>
    <x v="220"/>
    <n v="1"/>
    <s v="Gobierno"/>
    <n v="8"/>
    <s v="Administración Pública"/>
    <n v="3"/>
    <x v="6"/>
    <x v="2"/>
    <x v="13"/>
    <n v="1"/>
    <s v="Gasto corriente"/>
    <x v="0"/>
    <x v="0"/>
    <x v="0"/>
    <x v="1"/>
    <x v="1"/>
    <x v="0"/>
    <x v="0"/>
    <m/>
    <x v="0"/>
    <x v="0"/>
    <m/>
    <n v="636779"/>
    <n v="0"/>
    <n v="-6368"/>
    <n v="630411"/>
    <n v="630411"/>
    <m/>
    <x v="1"/>
    <n v="630411"/>
  </r>
  <r>
    <x v="1"/>
    <x v="10"/>
    <x v="10"/>
    <x v="3"/>
    <s v="Apoyo a la función pública y al mejoramiento de la gestión"/>
    <x v="32"/>
    <x v="121"/>
    <x v="30"/>
    <x v="224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6486244"/>
    <n v="0"/>
    <n v="-64862"/>
    <n v="6421382"/>
    <n v="6599053"/>
    <m/>
    <x v="1"/>
    <n v="6599053"/>
  </r>
  <r>
    <x v="1"/>
    <x v="10"/>
    <x v="10"/>
    <x v="5"/>
    <s v="Planeación, seguimiento y evaluación de políticas públicas"/>
    <x v="2"/>
    <x v="188"/>
    <x v="1"/>
    <x v="78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1387615"/>
    <n v="0"/>
    <n v="0"/>
    <n v="1387615"/>
    <n v="1965085"/>
    <m/>
    <x v="1"/>
    <n v="1965085"/>
  </r>
  <r>
    <x v="1"/>
    <x v="10"/>
    <x v="10"/>
    <x v="5"/>
    <s v="Planeación, seguimiento y evaluación de políticas públicas"/>
    <x v="2"/>
    <x v="188"/>
    <x v="1"/>
    <x v="78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88677122"/>
    <n v="0"/>
    <n v="-1955842"/>
    <n v="86721280"/>
    <n v="97009775"/>
    <m/>
    <x v="1"/>
    <n v="97009775"/>
  </r>
  <r>
    <x v="1"/>
    <x v="10"/>
    <x v="10"/>
    <x v="5"/>
    <s v="Planeación, seguimiento y evaluación de políticas públicas"/>
    <x v="2"/>
    <x v="188"/>
    <x v="3"/>
    <x v="270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1341013"/>
    <n v="0"/>
    <n v="0"/>
    <n v="1341013"/>
    <n v="1882544"/>
    <m/>
    <x v="1"/>
    <n v="1882544"/>
  </r>
  <r>
    <x v="1"/>
    <x v="10"/>
    <x v="10"/>
    <x v="5"/>
    <s v="Planeación, seguimiento y evaluación de políticas públicas"/>
    <x v="2"/>
    <x v="188"/>
    <x v="3"/>
    <x v="270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6159970"/>
    <n v="0"/>
    <n v="-781758"/>
    <n v="25378212"/>
    <n v="29178906"/>
    <m/>
    <x v="1"/>
    <n v="29178906"/>
  </r>
  <r>
    <x v="1"/>
    <x v="10"/>
    <x v="10"/>
    <x v="5"/>
    <s v="Planeación, seguimiento y evaluación de políticas públicas"/>
    <x v="2"/>
    <x v="188"/>
    <x v="22"/>
    <x v="225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1136514"/>
    <n v="0"/>
    <n v="0"/>
    <n v="1136514"/>
    <n v="1380559"/>
    <m/>
    <x v="1"/>
    <n v="1380559"/>
  </r>
  <r>
    <x v="1"/>
    <x v="10"/>
    <x v="10"/>
    <x v="5"/>
    <s v="Planeación, seguimiento y evaluación de políticas públicas"/>
    <x v="2"/>
    <x v="188"/>
    <x v="22"/>
    <x v="225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1245104"/>
    <n v="0"/>
    <n v="-548848"/>
    <n v="20696256"/>
    <n v="19828141"/>
    <m/>
    <x v="1"/>
    <n v="19828141"/>
  </r>
  <r>
    <x v="1"/>
    <x v="10"/>
    <x v="10"/>
    <x v="5"/>
    <s v="Planeación, seguimiento y evaluación de políticas públicas"/>
    <x v="2"/>
    <x v="188"/>
    <x v="23"/>
    <x v="271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1076958"/>
    <n v="0"/>
    <n v="0"/>
    <n v="1076958"/>
    <n v="1378129"/>
    <m/>
    <x v="1"/>
    <n v="1378129"/>
  </r>
  <r>
    <x v="1"/>
    <x v="10"/>
    <x v="10"/>
    <x v="5"/>
    <s v="Planeación, seguimiento y evaluación de políticas públicas"/>
    <x v="2"/>
    <x v="188"/>
    <x v="23"/>
    <x v="271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8082520"/>
    <n v="0"/>
    <n v="-801791"/>
    <n v="27280729"/>
    <n v="28435616"/>
    <m/>
    <x v="1"/>
    <n v="28435616"/>
  </r>
  <r>
    <x v="1"/>
    <x v="10"/>
    <x v="10"/>
    <x v="5"/>
    <s v="Planeación, seguimiento y evaluación de políticas públicas"/>
    <x v="2"/>
    <x v="188"/>
    <x v="19"/>
    <x v="272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727355"/>
    <n v="0"/>
    <n v="0"/>
    <n v="727355"/>
    <n v="984115"/>
    <m/>
    <x v="1"/>
    <n v="984115"/>
  </r>
  <r>
    <x v="1"/>
    <x v="10"/>
    <x v="10"/>
    <x v="5"/>
    <s v="Planeación, seguimiento y evaluación de políticas públicas"/>
    <x v="2"/>
    <x v="188"/>
    <x v="19"/>
    <x v="272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0657640"/>
    <n v="0"/>
    <n v="-651035"/>
    <n v="20006605"/>
    <n v="54450378"/>
    <m/>
    <x v="1"/>
    <n v="54450378"/>
  </r>
  <r>
    <x v="1"/>
    <x v="10"/>
    <x v="10"/>
    <x v="5"/>
    <s v="Planeación, seguimiento y evaluación de políticas públicas"/>
    <x v="2"/>
    <x v="188"/>
    <x v="21"/>
    <x v="77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465929"/>
    <n v="0"/>
    <n v="0"/>
    <n v="3465929"/>
    <m/>
    <m/>
    <x v="1"/>
    <n v="0"/>
  </r>
  <r>
    <x v="1"/>
    <x v="10"/>
    <x v="10"/>
    <x v="5"/>
    <s v="Planeación, seguimiento y evaluación de políticas públicas"/>
    <x v="2"/>
    <x v="188"/>
    <x v="21"/>
    <x v="77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80307321"/>
    <n v="0"/>
    <n v="-2738739"/>
    <n v="77568582"/>
    <m/>
    <m/>
    <x v="1"/>
    <n v="0"/>
  </r>
  <r>
    <x v="1"/>
    <x v="10"/>
    <x v="10"/>
    <x v="5"/>
    <s v="Planeación, seguimiento y evaluación de políticas públicas"/>
    <x v="2"/>
    <x v="188"/>
    <x v="20"/>
    <x v="273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448173"/>
    <n v="0"/>
    <n v="0"/>
    <n v="448173"/>
    <n v="112553"/>
    <m/>
    <x v="1"/>
    <n v="112553"/>
  </r>
  <r>
    <x v="1"/>
    <x v="10"/>
    <x v="10"/>
    <x v="5"/>
    <s v="Planeación, seguimiento y evaluación de políticas públicas"/>
    <x v="2"/>
    <x v="188"/>
    <x v="20"/>
    <x v="273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7316505"/>
    <n v="0"/>
    <n v="-627901"/>
    <n v="16688604"/>
    <n v="4612956"/>
    <m/>
    <x v="1"/>
    <n v="4612956"/>
  </r>
  <r>
    <x v="1"/>
    <x v="10"/>
    <x v="10"/>
    <x v="5"/>
    <s v="Planeación, seguimiento y evaluación de políticas públicas"/>
    <x v="2"/>
    <x v="188"/>
    <x v="6"/>
    <x v="27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5103414"/>
    <n v="0"/>
    <n v="-51034"/>
    <n v="5052380"/>
    <n v="4756870"/>
    <m/>
    <x v="1"/>
    <n v="4756870"/>
  </r>
  <r>
    <x v="1"/>
    <x v="10"/>
    <x v="10"/>
    <x v="5"/>
    <s v="Planeación, seguimiento y evaluación de políticas públicas"/>
    <x v="2"/>
    <x v="188"/>
    <x v="6"/>
    <x v="274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1117382"/>
    <n v="0"/>
    <n v="0"/>
    <n v="1117382"/>
    <n v="1369771"/>
    <m/>
    <x v="1"/>
    <n v="1369771"/>
  </r>
  <r>
    <x v="1"/>
    <x v="10"/>
    <x v="10"/>
    <x v="5"/>
    <s v="Planeación, seguimiento y evaluación de políticas públicas"/>
    <x v="2"/>
    <x v="188"/>
    <x v="6"/>
    <x v="274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2702599"/>
    <n v="0"/>
    <n v="-714848"/>
    <n v="21987751"/>
    <n v="24826929"/>
    <m/>
    <x v="1"/>
    <n v="24826929"/>
  </r>
  <r>
    <x v="1"/>
    <x v="10"/>
    <x v="10"/>
    <x v="5"/>
    <s v="Planeación, seguimiento y evaluación de políticas públicas"/>
    <x v="2"/>
    <x v="188"/>
    <x v="18"/>
    <x v="226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4001484"/>
    <n v="0"/>
    <n v="-40015"/>
    <n v="3961469"/>
    <n v="4030635"/>
    <m/>
    <x v="1"/>
    <n v="4030635"/>
  </r>
  <r>
    <x v="1"/>
    <x v="10"/>
    <x v="10"/>
    <x v="5"/>
    <s v="Planeación, seguimiento y evaluación de políticas públicas"/>
    <x v="2"/>
    <x v="188"/>
    <x v="18"/>
    <x v="226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726474"/>
    <n v="0"/>
    <n v="0"/>
    <n v="2726474"/>
    <n v="2912607"/>
    <m/>
    <x v="1"/>
    <n v="2912607"/>
  </r>
  <r>
    <x v="1"/>
    <x v="10"/>
    <x v="10"/>
    <x v="5"/>
    <s v="Planeación, seguimiento y evaluación de políticas públicas"/>
    <x v="2"/>
    <x v="188"/>
    <x v="18"/>
    <x v="226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31862668"/>
    <n v="0"/>
    <n v="-612298"/>
    <n v="31250370"/>
    <n v="27283021"/>
    <m/>
    <x v="1"/>
    <n v="27283021"/>
  </r>
  <r>
    <x v="1"/>
    <x v="10"/>
    <x v="10"/>
    <x v="5"/>
    <s v="Planeación, seguimiento y evaluación de políticas públicas"/>
    <x v="2"/>
    <x v="188"/>
    <x v="107"/>
    <x v="22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8512470"/>
    <n v="0"/>
    <n v="-85121"/>
    <n v="8427349"/>
    <n v="8589228"/>
    <m/>
    <x v="1"/>
    <n v="8589228"/>
  </r>
  <r>
    <x v="1"/>
    <x v="10"/>
    <x v="10"/>
    <x v="5"/>
    <s v="Planeación, seguimiento y evaluación de políticas públicas"/>
    <x v="2"/>
    <x v="188"/>
    <x v="107"/>
    <x v="227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903459"/>
    <n v="0"/>
    <n v="0"/>
    <n v="3903459"/>
    <n v="4999518"/>
    <m/>
    <x v="1"/>
    <n v="4999518"/>
  </r>
  <r>
    <x v="1"/>
    <x v="10"/>
    <x v="10"/>
    <x v="5"/>
    <s v="Planeación, seguimiento y evaluación de políticas públicas"/>
    <x v="2"/>
    <x v="188"/>
    <x v="107"/>
    <x v="227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45540042"/>
    <n v="0"/>
    <n v="-902816"/>
    <n v="44637226"/>
    <n v="45392646"/>
    <m/>
    <x v="1"/>
    <n v="45392646"/>
  </r>
  <r>
    <x v="1"/>
    <x v="10"/>
    <x v="10"/>
    <x v="5"/>
    <s v="Planeación, seguimiento y evaluación de políticas públicas"/>
    <x v="2"/>
    <x v="188"/>
    <x v="83"/>
    <x v="228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3302893"/>
    <n v="0"/>
    <n v="-33032"/>
    <n v="3269861"/>
    <n v="3267321"/>
    <m/>
    <x v="1"/>
    <n v="3267321"/>
  </r>
  <r>
    <x v="1"/>
    <x v="10"/>
    <x v="10"/>
    <x v="5"/>
    <s v="Planeación, seguimiento y evaluación de políticas públicas"/>
    <x v="2"/>
    <x v="188"/>
    <x v="83"/>
    <x v="228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252021"/>
    <n v="0"/>
    <n v="0"/>
    <n v="2252021"/>
    <n v="2805265"/>
    <m/>
    <x v="1"/>
    <n v="2805265"/>
  </r>
  <r>
    <x v="1"/>
    <x v="10"/>
    <x v="10"/>
    <x v="5"/>
    <s v="Planeación, seguimiento y evaluación de políticas públicas"/>
    <x v="2"/>
    <x v="188"/>
    <x v="83"/>
    <x v="228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9525310"/>
    <n v="0"/>
    <n v="-648383"/>
    <n v="28876927"/>
    <n v="27856417"/>
    <m/>
    <x v="1"/>
    <n v="27856417"/>
  </r>
  <r>
    <x v="1"/>
    <x v="10"/>
    <x v="10"/>
    <x v="5"/>
    <s v="Planeación, seguimiento y evaluación de políticas públicas"/>
    <x v="2"/>
    <x v="188"/>
    <x v="108"/>
    <x v="229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3482630"/>
    <n v="0"/>
    <n v="-34831"/>
    <n v="3447799"/>
    <n v="3528361"/>
    <m/>
    <x v="1"/>
    <n v="3528361"/>
  </r>
  <r>
    <x v="1"/>
    <x v="10"/>
    <x v="10"/>
    <x v="5"/>
    <s v="Planeación, seguimiento y evaluación de políticas públicas"/>
    <x v="2"/>
    <x v="188"/>
    <x v="108"/>
    <x v="229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989856"/>
    <n v="0"/>
    <n v="0"/>
    <n v="2989856"/>
    <n v="3508504"/>
    <m/>
    <x v="1"/>
    <n v="3508504"/>
  </r>
  <r>
    <x v="1"/>
    <x v="10"/>
    <x v="10"/>
    <x v="5"/>
    <s v="Planeación, seguimiento y evaluación de políticas públicas"/>
    <x v="2"/>
    <x v="188"/>
    <x v="108"/>
    <x v="229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37254170"/>
    <n v="0"/>
    <n v="-794421"/>
    <n v="36459749"/>
    <n v="34554488"/>
    <m/>
    <x v="1"/>
    <n v="34554488"/>
  </r>
  <r>
    <x v="1"/>
    <x v="10"/>
    <x v="10"/>
    <x v="5"/>
    <s v="Planeación, seguimiento y evaluación de políticas públicas"/>
    <x v="2"/>
    <x v="188"/>
    <x v="109"/>
    <x v="230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7826184"/>
    <n v="0"/>
    <n v="-78264"/>
    <n v="7747920"/>
    <n v="7902396"/>
    <m/>
    <x v="1"/>
    <n v="7902396"/>
  </r>
  <r>
    <x v="1"/>
    <x v="10"/>
    <x v="10"/>
    <x v="5"/>
    <s v="Planeación, seguimiento y evaluación de políticas públicas"/>
    <x v="2"/>
    <x v="188"/>
    <x v="109"/>
    <x v="230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115076"/>
    <n v="0"/>
    <n v="0"/>
    <n v="3115076"/>
    <n v="3720187"/>
    <m/>
    <x v="1"/>
    <n v="3720187"/>
  </r>
  <r>
    <x v="1"/>
    <x v="10"/>
    <x v="10"/>
    <x v="5"/>
    <s v="Planeación, seguimiento y evaluación de políticas públicas"/>
    <x v="2"/>
    <x v="188"/>
    <x v="109"/>
    <x v="230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37630381"/>
    <n v="0"/>
    <n v="-789262"/>
    <n v="36841119"/>
    <n v="35750999"/>
    <m/>
    <x v="1"/>
    <n v="35750999"/>
  </r>
  <r>
    <x v="1"/>
    <x v="10"/>
    <x v="10"/>
    <x v="5"/>
    <s v="Planeación, seguimiento y evaluación de políticas públicas"/>
    <x v="2"/>
    <x v="188"/>
    <x v="110"/>
    <x v="231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5273939"/>
    <n v="0"/>
    <n v="-52740"/>
    <n v="5221199"/>
    <n v="5362885"/>
    <m/>
    <x v="1"/>
    <n v="5362885"/>
  </r>
  <r>
    <x v="1"/>
    <x v="10"/>
    <x v="10"/>
    <x v="5"/>
    <s v="Planeación, seguimiento y evaluación de políticas públicas"/>
    <x v="2"/>
    <x v="188"/>
    <x v="110"/>
    <x v="231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865122"/>
    <n v="0"/>
    <n v="0"/>
    <n v="2865122"/>
    <n v="3636125"/>
    <m/>
    <x v="1"/>
    <n v="3636125"/>
  </r>
  <r>
    <x v="1"/>
    <x v="10"/>
    <x v="10"/>
    <x v="5"/>
    <s v="Planeación, seguimiento y evaluación de políticas públicas"/>
    <x v="2"/>
    <x v="188"/>
    <x v="110"/>
    <x v="231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34330053"/>
    <n v="0"/>
    <n v="-699645"/>
    <n v="33630408"/>
    <n v="33269302"/>
    <m/>
    <x v="1"/>
    <n v="33269302"/>
  </r>
  <r>
    <x v="1"/>
    <x v="10"/>
    <x v="10"/>
    <x v="5"/>
    <s v="Planeación, seguimiento y evaluación de políticas públicas"/>
    <x v="2"/>
    <x v="188"/>
    <x v="26"/>
    <x v="232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9378242"/>
    <n v="0"/>
    <n v="-193783"/>
    <n v="19184459"/>
    <n v="19201541"/>
    <m/>
    <x v="1"/>
    <n v="19201541"/>
  </r>
  <r>
    <x v="1"/>
    <x v="10"/>
    <x v="10"/>
    <x v="5"/>
    <s v="Planeación, seguimiento y evaluación de políticas públicas"/>
    <x v="2"/>
    <x v="188"/>
    <x v="26"/>
    <x v="232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11884452"/>
    <n v="0"/>
    <n v="0"/>
    <n v="11884452"/>
    <n v="13305892"/>
    <m/>
    <x v="1"/>
    <n v="13305892"/>
  </r>
  <r>
    <x v="1"/>
    <x v="10"/>
    <x v="10"/>
    <x v="5"/>
    <s v="Planeación, seguimiento y evaluación de políticas públicas"/>
    <x v="2"/>
    <x v="188"/>
    <x v="26"/>
    <x v="232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25968606"/>
    <n v="0"/>
    <n v="-2170605"/>
    <n v="123798001"/>
    <n v="110036760"/>
    <m/>
    <x v="1"/>
    <n v="110036760"/>
  </r>
  <r>
    <x v="1"/>
    <x v="10"/>
    <x v="10"/>
    <x v="5"/>
    <s v="Planeación, seguimiento y evaluación de políticas públicas"/>
    <x v="2"/>
    <x v="188"/>
    <x v="27"/>
    <x v="233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4687544"/>
    <n v="0"/>
    <n v="-146872"/>
    <n v="14540672"/>
    <n v="14867924"/>
    <m/>
    <x v="1"/>
    <n v="14867924"/>
  </r>
  <r>
    <x v="1"/>
    <x v="10"/>
    <x v="10"/>
    <x v="5"/>
    <s v="Planeación, seguimiento y evaluación de políticas públicas"/>
    <x v="2"/>
    <x v="188"/>
    <x v="27"/>
    <x v="233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6070504"/>
    <n v="0"/>
    <n v="0"/>
    <n v="6070504"/>
    <n v="7730779"/>
    <m/>
    <x v="1"/>
    <n v="7730779"/>
  </r>
  <r>
    <x v="1"/>
    <x v="10"/>
    <x v="10"/>
    <x v="5"/>
    <s v="Planeación, seguimiento y evaluación de políticas públicas"/>
    <x v="2"/>
    <x v="188"/>
    <x v="27"/>
    <x v="233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71199625"/>
    <n v="0"/>
    <n v="-1489338"/>
    <n v="69710287"/>
    <n v="71761929"/>
    <m/>
    <x v="1"/>
    <n v="71761929"/>
  </r>
  <r>
    <x v="1"/>
    <x v="10"/>
    <x v="10"/>
    <x v="5"/>
    <s v="Planeación, seguimiento y evaluación de políticas públicas"/>
    <x v="2"/>
    <x v="188"/>
    <x v="25"/>
    <x v="275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3552619"/>
    <n v="0"/>
    <n v="-35526"/>
    <n v="3517093"/>
    <n v="3582159"/>
    <m/>
    <x v="1"/>
    <n v="3582159"/>
  </r>
  <r>
    <x v="1"/>
    <x v="10"/>
    <x v="10"/>
    <x v="5"/>
    <s v="Planeación, seguimiento y evaluación de políticas públicas"/>
    <x v="2"/>
    <x v="188"/>
    <x v="25"/>
    <x v="275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1761327"/>
    <n v="0"/>
    <n v="0"/>
    <n v="1761327"/>
    <n v="2244467"/>
    <m/>
    <x v="1"/>
    <n v="2244467"/>
  </r>
  <r>
    <x v="1"/>
    <x v="10"/>
    <x v="10"/>
    <x v="5"/>
    <s v="Planeación, seguimiento y evaluación de políticas públicas"/>
    <x v="2"/>
    <x v="188"/>
    <x v="25"/>
    <x v="275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2129609"/>
    <n v="0"/>
    <n v="-461353"/>
    <n v="21668256"/>
    <n v="21713172"/>
    <m/>
    <x v="1"/>
    <n v="21713172"/>
  </r>
  <r>
    <x v="1"/>
    <x v="10"/>
    <x v="10"/>
    <x v="5"/>
    <s v="Planeación, seguimiento y evaluación de políticas públicas"/>
    <x v="2"/>
    <x v="188"/>
    <x v="28"/>
    <x v="23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7719510"/>
    <n v="0"/>
    <n v="-77196"/>
    <n v="7642314"/>
    <n v="7762102"/>
    <m/>
    <x v="1"/>
    <n v="7762102"/>
  </r>
  <r>
    <x v="1"/>
    <x v="10"/>
    <x v="10"/>
    <x v="5"/>
    <s v="Planeación, seguimiento y evaluación de políticas públicas"/>
    <x v="2"/>
    <x v="188"/>
    <x v="28"/>
    <x v="234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4272785"/>
    <n v="0"/>
    <n v="0"/>
    <n v="4272785"/>
    <n v="4971077"/>
    <m/>
    <x v="1"/>
    <n v="4971077"/>
  </r>
  <r>
    <x v="1"/>
    <x v="10"/>
    <x v="10"/>
    <x v="5"/>
    <s v="Planeación, seguimiento y evaluación de políticas públicas"/>
    <x v="2"/>
    <x v="188"/>
    <x v="28"/>
    <x v="234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49857260"/>
    <n v="0"/>
    <n v="-969354"/>
    <n v="48887906"/>
    <n v="44988537"/>
    <m/>
    <x v="1"/>
    <n v="44988537"/>
  </r>
  <r>
    <x v="1"/>
    <x v="10"/>
    <x v="10"/>
    <x v="5"/>
    <s v="Planeación, seguimiento y evaluación de políticas públicas"/>
    <x v="2"/>
    <x v="188"/>
    <x v="29"/>
    <x v="235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8971454"/>
    <n v="0"/>
    <n v="-89716"/>
    <n v="8881738"/>
    <n v="9046696"/>
    <m/>
    <x v="1"/>
    <n v="9046696"/>
  </r>
  <r>
    <x v="1"/>
    <x v="10"/>
    <x v="10"/>
    <x v="5"/>
    <s v="Planeación, seguimiento y evaluación de políticas públicas"/>
    <x v="2"/>
    <x v="188"/>
    <x v="29"/>
    <x v="235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4958128"/>
    <n v="0"/>
    <n v="0"/>
    <n v="4958128"/>
    <n v="5814587"/>
    <m/>
    <x v="1"/>
    <n v="5814587"/>
  </r>
  <r>
    <x v="1"/>
    <x v="10"/>
    <x v="10"/>
    <x v="5"/>
    <s v="Planeación, seguimiento y evaluación de políticas públicas"/>
    <x v="2"/>
    <x v="188"/>
    <x v="29"/>
    <x v="235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55741081"/>
    <n v="0"/>
    <n v="-1076028"/>
    <n v="54665053"/>
    <n v="51528182"/>
    <m/>
    <x v="1"/>
    <n v="51528182"/>
  </r>
  <r>
    <x v="1"/>
    <x v="10"/>
    <x v="10"/>
    <x v="5"/>
    <s v="Planeación, seguimiento y evaluación de políticas públicas"/>
    <x v="2"/>
    <x v="188"/>
    <x v="111"/>
    <x v="236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3093864"/>
    <n v="0"/>
    <n v="-130943"/>
    <n v="12962921"/>
    <n v="13238005"/>
    <m/>
    <x v="1"/>
    <n v="13238005"/>
  </r>
  <r>
    <x v="1"/>
    <x v="10"/>
    <x v="10"/>
    <x v="5"/>
    <s v="Planeación, seguimiento y evaluación de políticas públicas"/>
    <x v="2"/>
    <x v="188"/>
    <x v="111"/>
    <x v="236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6345442"/>
    <n v="0"/>
    <n v="0"/>
    <n v="6345442"/>
    <n v="7333465"/>
    <m/>
    <x v="1"/>
    <n v="7333465"/>
  </r>
  <r>
    <x v="1"/>
    <x v="10"/>
    <x v="10"/>
    <x v="5"/>
    <s v="Planeación, seguimiento y evaluación de políticas públicas"/>
    <x v="2"/>
    <x v="188"/>
    <x v="111"/>
    <x v="236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70864151"/>
    <n v="0"/>
    <n v="-1315169"/>
    <n v="69548982"/>
    <n v="63996215"/>
    <m/>
    <x v="1"/>
    <n v="63996215"/>
  </r>
  <r>
    <x v="1"/>
    <x v="10"/>
    <x v="10"/>
    <x v="5"/>
    <s v="Planeación, seguimiento y evaluación de políticas públicas"/>
    <x v="2"/>
    <x v="188"/>
    <x v="121"/>
    <x v="23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9381854"/>
    <n v="0"/>
    <n v="-93820"/>
    <n v="9288034"/>
    <n v="9456864"/>
    <m/>
    <x v="1"/>
    <n v="9456864"/>
  </r>
  <r>
    <x v="1"/>
    <x v="10"/>
    <x v="10"/>
    <x v="5"/>
    <s v="Planeación, seguimiento y evaluación de políticas públicas"/>
    <x v="2"/>
    <x v="188"/>
    <x v="121"/>
    <x v="237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5198285"/>
    <n v="0"/>
    <n v="0"/>
    <n v="5198285"/>
    <n v="5714566"/>
    <m/>
    <x v="1"/>
    <n v="5714566"/>
  </r>
  <r>
    <x v="1"/>
    <x v="10"/>
    <x v="10"/>
    <x v="5"/>
    <s v="Planeación, seguimiento y evaluación de políticas públicas"/>
    <x v="2"/>
    <x v="188"/>
    <x v="121"/>
    <x v="237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57852702"/>
    <n v="0"/>
    <n v="-1118258"/>
    <n v="56734444"/>
    <n v="51289383"/>
    <m/>
    <x v="1"/>
    <n v="51289383"/>
  </r>
  <r>
    <x v="1"/>
    <x v="10"/>
    <x v="10"/>
    <x v="5"/>
    <s v="Planeación, seguimiento y evaluación de políticas públicas"/>
    <x v="2"/>
    <x v="188"/>
    <x v="122"/>
    <x v="238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7125324"/>
    <n v="0"/>
    <n v="-171259"/>
    <n v="16954065"/>
    <n v="17256671"/>
    <m/>
    <x v="1"/>
    <n v="17256671"/>
  </r>
  <r>
    <x v="1"/>
    <x v="10"/>
    <x v="10"/>
    <x v="5"/>
    <s v="Planeación, seguimiento y evaluación de políticas públicas"/>
    <x v="2"/>
    <x v="188"/>
    <x v="122"/>
    <x v="238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7265981"/>
    <n v="0"/>
    <n v="0"/>
    <n v="7265981"/>
    <n v="7816383"/>
    <m/>
    <x v="1"/>
    <n v="7816383"/>
  </r>
  <r>
    <x v="1"/>
    <x v="10"/>
    <x v="10"/>
    <x v="5"/>
    <s v="Planeación, seguimiento y evaluación de políticas públicas"/>
    <x v="2"/>
    <x v="188"/>
    <x v="122"/>
    <x v="238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81377093"/>
    <n v="0"/>
    <n v="-1623983"/>
    <n v="79753110"/>
    <n v="71563621"/>
    <m/>
    <x v="1"/>
    <n v="71563621"/>
  </r>
  <r>
    <x v="1"/>
    <x v="10"/>
    <x v="10"/>
    <x v="5"/>
    <s v="Planeación, seguimiento y evaluación de políticas públicas"/>
    <x v="2"/>
    <x v="188"/>
    <x v="113"/>
    <x v="239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9684063"/>
    <n v="0"/>
    <n v="-96847"/>
    <n v="9587216"/>
    <n v="9848119"/>
    <m/>
    <x v="1"/>
    <n v="9848119"/>
  </r>
  <r>
    <x v="1"/>
    <x v="10"/>
    <x v="10"/>
    <x v="5"/>
    <s v="Planeación, seguimiento y evaluación de políticas públicas"/>
    <x v="2"/>
    <x v="188"/>
    <x v="113"/>
    <x v="239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7122962"/>
    <n v="0"/>
    <n v="0"/>
    <n v="7122962"/>
    <n v="8408196"/>
    <m/>
    <x v="1"/>
    <n v="8408196"/>
  </r>
  <r>
    <x v="1"/>
    <x v="10"/>
    <x v="10"/>
    <x v="5"/>
    <s v="Planeación, seguimiento y evaluación de políticas públicas"/>
    <x v="2"/>
    <x v="188"/>
    <x v="113"/>
    <x v="239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80472587"/>
    <n v="0"/>
    <n v="-1606544"/>
    <n v="78866043"/>
    <n v="74938822"/>
    <m/>
    <x v="1"/>
    <n v="74938822"/>
  </r>
  <r>
    <x v="1"/>
    <x v="10"/>
    <x v="10"/>
    <x v="5"/>
    <s v="Planeación, seguimiento y evaluación de políticas públicas"/>
    <x v="2"/>
    <x v="188"/>
    <x v="112"/>
    <x v="240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3129542"/>
    <n v="0"/>
    <n v="-131296"/>
    <n v="12998246"/>
    <n v="13289655"/>
    <m/>
    <x v="1"/>
    <n v="13289655"/>
  </r>
  <r>
    <x v="1"/>
    <x v="10"/>
    <x v="10"/>
    <x v="5"/>
    <s v="Planeación, seguimiento y evaluación de políticas públicas"/>
    <x v="2"/>
    <x v="188"/>
    <x v="112"/>
    <x v="240"/>
    <n v="3"/>
    <s v="Desarrollo Económico"/>
    <n v="2"/>
    <s v="Desarrollo Agropecuario y Forestal"/>
    <n v="1"/>
    <x v="35"/>
    <x v="11"/>
    <x v="65"/>
    <n v="2"/>
    <s v="Gasto de capital"/>
    <x v="0"/>
    <x v="0"/>
    <x v="0"/>
    <x v="0"/>
    <x v="1"/>
    <x v="0"/>
    <x v="0"/>
    <m/>
    <x v="0"/>
    <x v="0"/>
    <m/>
    <n v="400000"/>
    <n v="0"/>
    <n v="-4000"/>
    <n v="396000"/>
    <m/>
    <m/>
    <x v="1"/>
    <n v="0"/>
  </r>
  <r>
    <x v="1"/>
    <x v="10"/>
    <x v="10"/>
    <x v="5"/>
    <s v="Planeación, seguimiento y evaluación de políticas públicas"/>
    <x v="2"/>
    <x v="188"/>
    <x v="112"/>
    <x v="240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8978110"/>
    <n v="0"/>
    <n v="0"/>
    <n v="8978110"/>
    <n v="9565180"/>
    <m/>
    <x v="1"/>
    <n v="9565180"/>
  </r>
  <r>
    <x v="1"/>
    <x v="10"/>
    <x v="10"/>
    <x v="5"/>
    <s v="Planeación, seguimiento y evaluación de políticas públicas"/>
    <x v="2"/>
    <x v="188"/>
    <x v="112"/>
    <x v="240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02078690"/>
    <n v="0"/>
    <n v="-1960248"/>
    <n v="100118442"/>
    <n v="85305384"/>
    <m/>
    <x v="1"/>
    <n v="85305384"/>
  </r>
  <r>
    <x v="1"/>
    <x v="10"/>
    <x v="10"/>
    <x v="5"/>
    <s v="Planeación, seguimiento y evaluación de políticas públicas"/>
    <x v="2"/>
    <x v="188"/>
    <x v="123"/>
    <x v="241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4551327"/>
    <n v="0"/>
    <n v="-45514"/>
    <n v="4505813"/>
    <n v="4676286"/>
    <m/>
    <x v="1"/>
    <n v="4676286"/>
  </r>
  <r>
    <x v="1"/>
    <x v="10"/>
    <x v="10"/>
    <x v="5"/>
    <s v="Planeación, seguimiento y evaluación de políticas públicas"/>
    <x v="2"/>
    <x v="188"/>
    <x v="123"/>
    <x v="241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298809"/>
    <n v="0"/>
    <n v="0"/>
    <n v="2298809"/>
    <n v="2557306"/>
    <m/>
    <x v="1"/>
    <n v="2557306"/>
  </r>
  <r>
    <x v="1"/>
    <x v="10"/>
    <x v="10"/>
    <x v="5"/>
    <s v="Planeación, seguimiento y evaluación de políticas públicas"/>
    <x v="2"/>
    <x v="188"/>
    <x v="123"/>
    <x v="241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6907096"/>
    <n v="0"/>
    <n v="-532598"/>
    <n v="26374498"/>
    <n v="23558402"/>
    <m/>
    <x v="1"/>
    <n v="23558402"/>
  </r>
  <r>
    <x v="1"/>
    <x v="10"/>
    <x v="10"/>
    <x v="5"/>
    <s v="Planeación, seguimiento y evaluación de políticas públicas"/>
    <x v="2"/>
    <x v="188"/>
    <x v="116"/>
    <x v="242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5885868"/>
    <n v="0"/>
    <n v="-58863"/>
    <n v="5827005"/>
    <n v="5471561"/>
    <m/>
    <x v="1"/>
    <n v="5471561"/>
  </r>
  <r>
    <x v="1"/>
    <x v="10"/>
    <x v="10"/>
    <x v="5"/>
    <s v="Planeación, seguimiento y evaluación de políticas públicas"/>
    <x v="2"/>
    <x v="188"/>
    <x v="116"/>
    <x v="242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597928"/>
    <n v="0"/>
    <n v="0"/>
    <n v="3597928"/>
    <n v="4338821"/>
    <m/>
    <x v="1"/>
    <n v="4338821"/>
  </r>
  <r>
    <x v="1"/>
    <x v="10"/>
    <x v="10"/>
    <x v="5"/>
    <s v="Planeación, seguimiento y evaluación de políticas públicas"/>
    <x v="2"/>
    <x v="188"/>
    <x v="116"/>
    <x v="242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43429658"/>
    <n v="0"/>
    <n v="-906210"/>
    <n v="42523448"/>
    <n v="41303229"/>
    <m/>
    <x v="1"/>
    <n v="41303229"/>
  </r>
  <r>
    <x v="1"/>
    <x v="10"/>
    <x v="10"/>
    <x v="5"/>
    <s v="Planeación, seguimiento y evaluación de políticas públicas"/>
    <x v="2"/>
    <x v="188"/>
    <x v="114"/>
    <x v="243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7904443"/>
    <n v="0"/>
    <n v="-79047"/>
    <n v="7825396"/>
    <n v="7977902"/>
    <m/>
    <x v="1"/>
    <n v="7977902"/>
  </r>
  <r>
    <x v="1"/>
    <x v="10"/>
    <x v="10"/>
    <x v="5"/>
    <s v="Planeación, seguimiento y evaluación de políticas públicas"/>
    <x v="2"/>
    <x v="188"/>
    <x v="114"/>
    <x v="243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504810"/>
    <n v="0"/>
    <n v="0"/>
    <n v="3504810"/>
    <n v="3973748"/>
    <m/>
    <x v="1"/>
    <n v="3973748"/>
  </r>
  <r>
    <x v="1"/>
    <x v="10"/>
    <x v="10"/>
    <x v="5"/>
    <s v="Planeación, seguimiento y evaluación de políticas públicas"/>
    <x v="2"/>
    <x v="188"/>
    <x v="114"/>
    <x v="243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42882879"/>
    <n v="0"/>
    <n v="-883626"/>
    <n v="41999253"/>
    <n v="37475873"/>
    <m/>
    <x v="1"/>
    <n v="37475873"/>
  </r>
  <r>
    <x v="1"/>
    <x v="10"/>
    <x v="10"/>
    <x v="5"/>
    <s v="Planeación, seguimiento y evaluación de políticas públicas"/>
    <x v="2"/>
    <x v="188"/>
    <x v="117"/>
    <x v="24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1826900"/>
    <n v="0"/>
    <n v="-118274"/>
    <n v="11708626"/>
    <n v="11933588"/>
    <m/>
    <x v="1"/>
    <n v="11933588"/>
  </r>
  <r>
    <x v="1"/>
    <x v="10"/>
    <x v="10"/>
    <x v="5"/>
    <s v="Planeación, seguimiento y evaluación de políticas públicas"/>
    <x v="2"/>
    <x v="188"/>
    <x v="117"/>
    <x v="244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7876758"/>
    <n v="0"/>
    <n v="0"/>
    <n v="7876758"/>
    <n v="8687709"/>
    <m/>
    <x v="1"/>
    <n v="8687709"/>
  </r>
  <r>
    <x v="1"/>
    <x v="10"/>
    <x v="10"/>
    <x v="5"/>
    <s v="Planeación, seguimiento y evaluación de políticas públicas"/>
    <x v="2"/>
    <x v="188"/>
    <x v="117"/>
    <x v="244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83762153"/>
    <n v="0"/>
    <n v="-1525023"/>
    <n v="82237130"/>
    <n v="73439189"/>
    <m/>
    <x v="1"/>
    <n v="73439189"/>
  </r>
  <r>
    <x v="1"/>
    <x v="10"/>
    <x v="10"/>
    <x v="5"/>
    <s v="Planeación, seguimiento y evaluación de políticas públicas"/>
    <x v="2"/>
    <x v="188"/>
    <x v="124"/>
    <x v="245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9412658"/>
    <n v="0"/>
    <n v="-94126"/>
    <n v="9318532"/>
    <n v="9495457"/>
    <m/>
    <x v="1"/>
    <n v="9495457"/>
  </r>
  <r>
    <x v="1"/>
    <x v="10"/>
    <x v="10"/>
    <x v="5"/>
    <s v="Planeación, seguimiento y evaluación de políticas públicas"/>
    <x v="2"/>
    <x v="188"/>
    <x v="124"/>
    <x v="245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6731514"/>
    <n v="0"/>
    <n v="0"/>
    <n v="6731514"/>
    <n v="7757704"/>
    <m/>
    <x v="1"/>
    <n v="7757704"/>
  </r>
  <r>
    <x v="1"/>
    <x v="10"/>
    <x v="10"/>
    <x v="5"/>
    <s v="Planeación, seguimiento y evaluación de políticas públicas"/>
    <x v="2"/>
    <x v="188"/>
    <x v="124"/>
    <x v="245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72582359"/>
    <n v="0"/>
    <n v="-1376810"/>
    <n v="71205549"/>
    <n v="65743096"/>
    <m/>
    <x v="1"/>
    <n v="65743096"/>
  </r>
  <r>
    <x v="1"/>
    <x v="10"/>
    <x v="10"/>
    <x v="5"/>
    <s v="Planeación, seguimiento y evaluación de políticas públicas"/>
    <x v="2"/>
    <x v="188"/>
    <x v="125"/>
    <x v="246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3848918"/>
    <n v="0"/>
    <n v="-38495"/>
    <n v="3810423"/>
    <n v="3955820"/>
    <m/>
    <x v="1"/>
    <n v="3955820"/>
  </r>
  <r>
    <x v="1"/>
    <x v="10"/>
    <x v="10"/>
    <x v="5"/>
    <s v="Planeación, seguimiento y evaluación de políticas públicas"/>
    <x v="2"/>
    <x v="188"/>
    <x v="125"/>
    <x v="246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484155"/>
    <n v="0"/>
    <n v="0"/>
    <n v="2484155"/>
    <n v="2588313"/>
    <m/>
    <x v="1"/>
    <n v="2588313"/>
  </r>
  <r>
    <x v="1"/>
    <x v="10"/>
    <x v="10"/>
    <x v="5"/>
    <s v="Planeación, seguimiento y evaluación de políticas públicas"/>
    <x v="2"/>
    <x v="188"/>
    <x v="125"/>
    <x v="246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30558458"/>
    <n v="0"/>
    <n v="-677348"/>
    <n v="29881110"/>
    <n v="26108233"/>
    <m/>
    <x v="1"/>
    <n v="26108233"/>
  </r>
  <r>
    <x v="1"/>
    <x v="10"/>
    <x v="10"/>
    <x v="5"/>
    <s v="Planeación, seguimiento y evaluación de políticas públicas"/>
    <x v="2"/>
    <x v="188"/>
    <x v="126"/>
    <x v="24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6217570"/>
    <n v="0"/>
    <n v="-62178"/>
    <n v="6155392"/>
    <n v="6277983"/>
    <m/>
    <x v="1"/>
    <n v="6277983"/>
  </r>
  <r>
    <x v="1"/>
    <x v="10"/>
    <x v="10"/>
    <x v="5"/>
    <s v="Planeación, seguimiento y evaluación de políticas públicas"/>
    <x v="2"/>
    <x v="188"/>
    <x v="126"/>
    <x v="247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249393"/>
    <n v="0"/>
    <n v="0"/>
    <n v="2249393"/>
    <n v="2542540"/>
    <m/>
    <x v="1"/>
    <n v="2542540"/>
  </r>
  <r>
    <x v="1"/>
    <x v="10"/>
    <x v="10"/>
    <x v="5"/>
    <s v="Planeación, seguimiento y evaluación de políticas públicas"/>
    <x v="2"/>
    <x v="188"/>
    <x v="126"/>
    <x v="247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8554584"/>
    <n v="0"/>
    <n v="-593962"/>
    <n v="27960622"/>
    <n v="24791465"/>
    <m/>
    <x v="1"/>
    <n v="24791465"/>
  </r>
  <r>
    <x v="1"/>
    <x v="10"/>
    <x v="10"/>
    <x v="5"/>
    <s v="Planeación, seguimiento y evaluación de políticas públicas"/>
    <x v="2"/>
    <x v="188"/>
    <x v="127"/>
    <x v="248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8903169"/>
    <n v="0"/>
    <n v="-89032"/>
    <n v="8814137"/>
    <n v="8982070"/>
    <m/>
    <x v="1"/>
    <n v="8982070"/>
  </r>
  <r>
    <x v="1"/>
    <x v="10"/>
    <x v="10"/>
    <x v="5"/>
    <s v="Planeación, seguimiento y evaluación de políticas públicas"/>
    <x v="2"/>
    <x v="188"/>
    <x v="127"/>
    <x v="248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4837370"/>
    <n v="0"/>
    <n v="0"/>
    <n v="4837370"/>
    <n v="5144703"/>
    <m/>
    <x v="1"/>
    <n v="5144703"/>
  </r>
  <r>
    <x v="1"/>
    <x v="10"/>
    <x v="10"/>
    <x v="5"/>
    <s v="Planeación, seguimiento y evaluación de políticas públicas"/>
    <x v="2"/>
    <x v="188"/>
    <x v="127"/>
    <x v="248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54975915"/>
    <n v="0"/>
    <n v="-1108858"/>
    <n v="53867057"/>
    <n v="46351993"/>
    <m/>
    <x v="1"/>
    <n v="46351993"/>
  </r>
  <r>
    <x v="1"/>
    <x v="10"/>
    <x v="10"/>
    <x v="5"/>
    <s v="Planeación, seguimiento y evaluación de políticas públicas"/>
    <x v="2"/>
    <x v="188"/>
    <x v="128"/>
    <x v="249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8077699"/>
    <n v="0"/>
    <n v="-180776"/>
    <n v="17896923"/>
    <n v="18296800"/>
    <m/>
    <x v="1"/>
    <n v="18296800"/>
  </r>
  <r>
    <x v="1"/>
    <x v="10"/>
    <x v="10"/>
    <x v="5"/>
    <s v="Planeación, seguimiento y evaluación de políticas públicas"/>
    <x v="2"/>
    <x v="188"/>
    <x v="128"/>
    <x v="249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6967144"/>
    <n v="0"/>
    <n v="0"/>
    <n v="6967144"/>
    <n v="7378681"/>
    <m/>
    <x v="1"/>
    <n v="7378681"/>
  </r>
  <r>
    <x v="1"/>
    <x v="10"/>
    <x v="10"/>
    <x v="5"/>
    <s v="Planeación, seguimiento y evaluación de políticas públicas"/>
    <x v="2"/>
    <x v="188"/>
    <x v="128"/>
    <x v="249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79772526"/>
    <n v="0"/>
    <n v="-1579046"/>
    <n v="78193480"/>
    <n v="68353956"/>
    <m/>
    <x v="1"/>
    <n v="68353956"/>
  </r>
  <r>
    <x v="1"/>
    <x v="10"/>
    <x v="10"/>
    <x v="5"/>
    <s v="Planeación, seguimiento y evaluación de políticas públicas"/>
    <x v="2"/>
    <x v="188"/>
    <x v="129"/>
    <x v="250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1524205"/>
    <n v="0"/>
    <n v="-115247"/>
    <n v="11408958"/>
    <n v="11682848"/>
    <m/>
    <x v="1"/>
    <n v="11682848"/>
  </r>
  <r>
    <x v="1"/>
    <x v="10"/>
    <x v="10"/>
    <x v="5"/>
    <s v="Planeación, seguimiento y evaluación de políticas públicas"/>
    <x v="2"/>
    <x v="188"/>
    <x v="129"/>
    <x v="250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5080554"/>
    <n v="0"/>
    <n v="0"/>
    <n v="5080554"/>
    <n v="5425282"/>
    <m/>
    <x v="1"/>
    <n v="5425282"/>
  </r>
  <r>
    <x v="1"/>
    <x v="10"/>
    <x v="10"/>
    <x v="5"/>
    <s v="Planeación, seguimiento y evaluación de políticas públicas"/>
    <x v="2"/>
    <x v="188"/>
    <x v="129"/>
    <x v="250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60629234"/>
    <n v="0"/>
    <n v="-1293895"/>
    <n v="59335339"/>
    <n v="52898802"/>
    <m/>
    <x v="1"/>
    <n v="52898802"/>
  </r>
  <r>
    <x v="1"/>
    <x v="10"/>
    <x v="10"/>
    <x v="5"/>
    <s v="Planeación, seguimiento y evaluación de políticas públicas"/>
    <x v="2"/>
    <x v="188"/>
    <x v="130"/>
    <x v="251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7176498"/>
    <n v="0"/>
    <n v="-71771"/>
    <n v="7104727"/>
    <n v="7266862"/>
    <m/>
    <x v="1"/>
    <n v="7266862"/>
  </r>
  <r>
    <x v="1"/>
    <x v="10"/>
    <x v="10"/>
    <x v="5"/>
    <s v="Planeación, seguimiento y evaluación de políticas públicas"/>
    <x v="2"/>
    <x v="188"/>
    <x v="130"/>
    <x v="251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5603661"/>
    <n v="0"/>
    <n v="0"/>
    <n v="5603661"/>
    <n v="5676422"/>
    <m/>
    <x v="1"/>
    <n v="5676422"/>
  </r>
  <r>
    <x v="1"/>
    <x v="10"/>
    <x v="10"/>
    <x v="5"/>
    <s v="Planeación, seguimiento y evaluación de políticas públicas"/>
    <x v="2"/>
    <x v="188"/>
    <x v="130"/>
    <x v="251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62590154"/>
    <n v="0"/>
    <n v="-1200313"/>
    <n v="61389841"/>
    <n v="52342671"/>
    <m/>
    <x v="1"/>
    <n v="52342671"/>
  </r>
  <r>
    <x v="1"/>
    <x v="10"/>
    <x v="10"/>
    <x v="5"/>
    <s v="Planeación, seguimiento y evaluación de políticas públicas"/>
    <x v="2"/>
    <x v="188"/>
    <x v="131"/>
    <x v="252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1312809"/>
    <n v="0"/>
    <n v="-113128"/>
    <n v="11199681"/>
    <n v="11177630"/>
    <m/>
    <x v="1"/>
    <n v="11177630"/>
  </r>
  <r>
    <x v="1"/>
    <x v="10"/>
    <x v="10"/>
    <x v="5"/>
    <s v="Planeación, seguimiento y evaluación de políticas públicas"/>
    <x v="2"/>
    <x v="188"/>
    <x v="131"/>
    <x v="252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7723402"/>
    <n v="0"/>
    <n v="0"/>
    <n v="7723402"/>
    <n v="8893138"/>
    <m/>
    <x v="1"/>
    <n v="8893138"/>
  </r>
  <r>
    <x v="1"/>
    <x v="10"/>
    <x v="10"/>
    <x v="5"/>
    <s v="Planeación, seguimiento y evaluación de políticas públicas"/>
    <x v="2"/>
    <x v="188"/>
    <x v="131"/>
    <x v="252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86147554"/>
    <n v="0"/>
    <n v="-1631421"/>
    <n v="84516133"/>
    <n v="78424295"/>
    <m/>
    <x v="1"/>
    <n v="78424295"/>
  </r>
  <r>
    <x v="1"/>
    <x v="10"/>
    <x v="10"/>
    <x v="5"/>
    <s v="Planeación, seguimiento y evaluación de políticas públicas"/>
    <x v="2"/>
    <x v="188"/>
    <x v="132"/>
    <x v="253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3969528"/>
    <n v="0"/>
    <n v="-39695"/>
    <n v="3929833"/>
    <n v="4002845"/>
    <m/>
    <x v="1"/>
    <n v="4002845"/>
  </r>
  <r>
    <x v="1"/>
    <x v="10"/>
    <x v="10"/>
    <x v="5"/>
    <s v="Planeación, seguimiento y evaluación de políticas públicas"/>
    <x v="2"/>
    <x v="188"/>
    <x v="132"/>
    <x v="253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748796"/>
    <n v="0"/>
    <n v="0"/>
    <n v="2748796"/>
    <n v="3227362"/>
    <m/>
    <x v="1"/>
    <n v="3227362"/>
  </r>
  <r>
    <x v="1"/>
    <x v="10"/>
    <x v="10"/>
    <x v="5"/>
    <s v="Planeación, seguimiento y evaluación de políticas públicas"/>
    <x v="2"/>
    <x v="188"/>
    <x v="132"/>
    <x v="253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31797873"/>
    <n v="0"/>
    <n v="-646483"/>
    <n v="31151390"/>
    <n v="29905352"/>
    <m/>
    <x v="1"/>
    <n v="29905352"/>
  </r>
  <r>
    <x v="1"/>
    <x v="10"/>
    <x v="10"/>
    <x v="5"/>
    <s v="Planeación, seguimiento y evaluación de políticas públicas"/>
    <x v="2"/>
    <x v="188"/>
    <x v="133"/>
    <x v="25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0225646"/>
    <n v="0"/>
    <n v="-102254"/>
    <n v="10123392"/>
    <n v="11320562"/>
    <m/>
    <x v="1"/>
    <n v="11320562"/>
  </r>
  <r>
    <x v="1"/>
    <x v="10"/>
    <x v="10"/>
    <x v="5"/>
    <s v="Planeación, seguimiento y evaluación de políticas públicas"/>
    <x v="2"/>
    <x v="188"/>
    <x v="133"/>
    <x v="254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10032183"/>
    <n v="0"/>
    <n v="0"/>
    <n v="10032183"/>
    <n v="11255574"/>
    <m/>
    <x v="1"/>
    <n v="11255574"/>
  </r>
  <r>
    <x v="1"/>
    <x v="10"/>
    <x v="10"/>
    <x v="5"/>
    <s v="Planeación, seguimiento y evaluación de políticas públicas"/>
    <x v="2"/>
    <x v="188"/>
    <x v="133"/>
    <x v="254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11650740"/>
    <n v="0"/>
    <n v="-2073106"/>
    <n v="109577634"/>
    <n v="97658635"/>
    <m/>
    <x v="1"/>
    <n v="97658635"/>
  </r>
  <r>
    <x v="1"/>
    <x v="10"/>
    <x v="10"/>
    <x v="5"/>
    <s v="Planeación, seguimiento y evaluación de políticas públicas"/>
    <x v="2"/>
    <x v="188"/>
    <x v="134"/>
    <x v="255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1565084"/>
    <n v="0"/>
    <n v="-115646"/>
    <n v="11449438"/>
    <n v="11655419"/>
    <m/>
    <x v="1"/>
    <n v="11655419"/>
  </r>
  <r>
    <x v="1"/>
    <x v="10"/>
    <x v="10"/>
    <x v="5"/>
    <s v="Planeación, seguimiento y evaluación de políticas públicas"/>
    <x v="2"/>
    <x v="188"/>
    <x v="134"/>
    <x v="255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5713075"/>
    <n v="0"/>
    <n v="0"/>
    <n v="5713075"/>
    <n v="6026091"/>
    <m/>
    <x v="1"/>
    <n v="6026091"/>
  </r>
  <r>
    <x v="1"/>
    <x v="10"/>
    <x v="10"/>
    <x v="5"/>
    <s v="Planeación, seguimiento y evaluación de políticas públicas"/>
    <x v="2"/>
    <x v="188"/>
    <x v="134"/>
    <x v="255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63354780"/>
    <n v="0"/>
    <n v="-1193467"/>
    <n v="62161313"/>
    <n v="54047527"/>
    <m/>
    <x v="1"/>
    <n v="54047527"/>
  </r>
  <r>
    <x v="1"/>
    <x v="10"/>
    <x v="10"/>
    <x v="5"/>
    <s v="Planeación, seguimiento y evaluación de políticas públicas"/>
    <x v="2"/>
    <x v="188"/>
    <x v="135"/>
    <x v="256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9418931"/>
    <n v="0"/>
    <n v="-94189"/>
    <n v="9324742"/>
    <n v="9603024"/>
    <m/>
    <x v="1"/>
    <n v="9603024"/>
  </r>
  <r>
    <x v="1"/>
    <x v="10"/>
    <x v="10"/>
    <x v="5"/>
    <s v="Planeación, seguimiento y evaluación de políticas públicas"/>
    <x v="2"/>
    <x v="188"/>
    <x v="135"/>
    <x v="256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5628605"/>
    <n v="0"/>
    <n v="0"/>
    <n v="5628605"/>
    <n v="6712868"/>
    <m/>
    <x v="1"/>
    <n v="6712868"/>
  </r>
  <r>
    <x v="1"/>
    <x v="10"/>
    <x v="10"/>
    <x v="5"/>
    <s v="Planeación, seguimiento y evaluación de políticas públicas"/>
    <x v="2"/>
    <x v="188"/>
    <x v="135"/>
    <x v="256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62549005"/>
    <n v="0"/>
    <n v="-1223810"/>
    <n v="61325195"/>
    <n v="58999398"/>
    <m/>
    <x v="1"/>
    <n v="58999398"/>
  </r>
  <r>
    <x v="1"/>
    <x v="10"/>
    <x v="10"/>
    <x v="5"/>
    <s v="Planeación, seguimiento y evaluación de políticas públicas"/>
    <x v="2"/>
    <x v="188"/>
    <x v="141"/>
    <x v="269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6943991"/>
    <n v="0"/>
    <n v="-69439"/>
    <n v="6874552"/>
    <n v="7006411"/>
    <m/>
    <x v="1"/>
    <n v="7006411"/>
  </r>
  <r>
    <x v="1"/>
    <x v="10"/>
    <x v="10"/>
    <x v="5"/>
    <s v="Planeación, seguimiento y evaluación de políticas públicas"/>
    <x v="2"/>
    <x v="188"/>
    <x v="141"/>
    <x v="269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450315"/>
    <n v="0"/>
    <n v="0"/>
    <n v="3450315"/>
    <n v="3709166"/>
    <m/>
    <x v="1"/>
    <n v="3709166"/>
  </r>
  <r>
    <x v="1"/>
    <x v="10"/>
    <x v="10"/>
    <x v="5"/>
    <s v="Planeación, seguimiento y evaluación de políticas públicas"/>
    <x v="2"/>
    <x v="188"/>
    <x v="141"/>
    <x v="269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40019216"/>
    <n v="0"/>
    <n v="-784200"/>
    <n v="39235016"/>
    <n v="34478959"/>
    <m/>
    <x v="1"/>
    <n v="34478959"/>
  </r>
  <r>
    <x v="1"/>
    <x v="10"/>
    <x v="10"/>
    <x v="5"/>
    <s v="Planeación, seguimiento y evaluación de políticas públicas"/>
    <x v="2"/>
    <x v="188"/>
    <x v="0"/>
    <x v="276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209612"/>
    <n v="0"/>
    <n v="-12007"/>
    <n v="1197605"/>
    <n v="1219761"/>
    <m/>
    <x v="1"/>
    <n v="1219761"/>
  </r>
  <r>
    <x v="1"/>
    <x v="10"/>
    <x v="10"/>
    <x v="5"/>
    <s v="Planeación, seguimiento y evaluación de políticas públicas"/>
    <x v="2"/>
    <x v="188"/>
    <x v="0"/>
    <x v="276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523608"/>
    <n v="0"/>
    <n v="0"/>
    <n v="523608"/>
    <n v="679301"/>
    <m/>
    <x v="1"/>
    <n v="679301"/>
  </r>
  <r>
    <x v="1"/>
    <x v="10"/>
    <x v="10"/>
    <x v="5"/>
    <s v="Planeación, seguimiento y evaluación de políticas públicas"/>
    <x v="2"/>
    <x v="188"/>
    <x v="0"/>
    <x v="276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2013187"/>
    <n v="0"/>
    <n v="-399030"/>
    <n v="11614157"/>
    <n v="15602644"/>
    <m/>
    <x v="1"/>
    <n v="15602644"/>
  </r>
  <r>
    <x v="1"/>
    <x v="10"/>
    <x v="10"/>
    <x v="5"/>
    <s v="Planeación, seguimiento y evaluación de políticas públicas"/>
    <x v="2"/>
    <x v="188"/>
    <x v="4"/>
    <x v="223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378054"/>
    <n v="0"/>
    <n v="-13727"/>
    <n v="1364327"/>
    <n v="1389567"/>
    <m/>
    <x v="1"/>
    <n v="1389567"/>
  </r>
  <r>
    <x v="1"/>
    <x v="10"/>
    <x v="10"/>
    <x v="5"/>
    <s v="Planeación, seguimiento y evaluación de políticas públicas"/>
    <x v="2"/>
    <x v="188"/>
    <x v="4"/>
    <x v="223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28534"/>
    <n v="0"/>
    <n v="0"/>
    <n v="328534"/>
    <n v="598665"/>
    <m/>
    <x v="1"/>
    <n v="598665"/>
  </r>
  <r>
    <x v="1"/>
    <x v="10"/>
    <x v="10"/>
    <x v="5"/>
    <s v="Planeación, seguimiento y evaluación de políticas públicas"/>
    <x v="2"/>
    <x v="188"/>
    <x v="4"/>
    <x v="223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9677192"/>
    <n v="0"/>
    <n v="-349067"/>
    <n v="9328125"/>
    <n v="14181551"/>
    <m/>
    <x v="1"/>
    <n v="14181551"/>
  </r>
  <r>
    <x v="1"/>
    <x v="10"/>
    <x v="10"/>
    <x v="5"/>
    <s v="Planeación, seguimiento y evaluación de políticas públicas"/>
    <x v="2"/>
    <x v="188"/>
    <x v="5"/>
    <x v="27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3381020"/>
    <n v="0"/>
    <n v="-33665"/>
    <n v="3347355"/>
    <n v="3409281"/>
    <m/>
    <x v="1"/>
    <n v="3409281"/>
  </r>
  <r>
    <x v="1"/>
    <x v="10"/>
    <x v="10"/>
    <x v="5"/>
    <s v="Planeación, seguimiento y evaluación de políticas públicas"/>
    <x v="2"/>
    <x v="188"/>
    <x v="5"/>
    <x v="277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598265"/>
    <n v="0"/>
    <n v="0"/>
    <n v="598265"/>
    <n v="642086"/>
    <m/>
    <x v="1"/>
    <n v="642086"/>
  </r>
  <r>
    <x v="1"/>
    <x v="10"/>
    <x v="10"/>
    <x v="5"/>
    <s v="Planeación, seguimiento y evaluación de políticas públicas"/>
    <x v="2"/>
    <x v="188"/>
    <x v="5"/>
    <x v="277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3824359"/>
    <n v="0"/>
    <n v="-453223"/>
    <n v="13371136"/>
    <n v="11484883"/>
    <m/>
    <x v="1"/>
    <n v="11484883"/>
  </r>
  <r>
    <x v="1"/>
    <x v="10"/>
    <x v="10"/>
    <x v="5"/>
    <s v="Planeación, seguimiento y evaluación de políticas públicas"/>
    <x v="2"/>
    <x v="188"/>
    <x v="50"/>
    <x v="222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2182811"/>
    <n v="0"/>
    <n v="-21701"/>
    <n v="2161110"/>
    <n v="2201091"/>
    <m/>
    <x v="1"/>
    <n v="2201091"/>
  </r>
  <r>
    <x v="1"/>
    <x v="10"/>
    <x v="10"/>
    <x v="5"/>
    <s v="Planeación, seguimiento y evaluación de políticas públicas"/>
    <x v="2"/>
    <x v="188"/>
    <x v="50"/>
    <x v="222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07447"/>
    <n v="0"/>
    <n v="0"/>
    <n v="307447"/>
    <n v="386549"/>
    <m/>
    <x v="1"/>
    <n v="386549"/>
  </r>
  <r>
    <x v="1"/>
    <x v="10"/>
    <x v="10"/>
    <x v="5"/>
    <s v="Planeación, seguimiento y evaluación de políticas públicas"/>
    <x v="2"/>
    <x v="188"/>
    <x v="50"/>
    <x v="222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2937468"/>
    <n v="0"/>
    <n v="-497693"/>
    <n v="12439775"/>
    <n v="10708618"/>
    <m/>
    <x v="1"/>
    <n v="10708618"/>
  </r>
  <r>
    <x v="1"/>
    <x v="10"/>
    <x v="10"/>
    <x v="5"/>
    <s v="Planeación, seguimiento y evaluación de políticas públicas"/>
    <x v="2"/>
    <x v="188"/>
    <x v="7"/>
    <x v="278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629648"/>
    <n v="0"/>
    <n v="0"/>
    <n v="629648"/>
    <n v="894825"/>
    <m/>
    <x v="1"/>
    <n v="894825"/>
  </r>
  <r>
    <x v="1"/>
    <x v="10"/>
    <x v="10"/>
    <x v="5"/>
    <s v="Planeación, seguimiento y evaluación de políticas públicas"/>
    <x v="2"/>
    <x v="188"/>
    <x v="7"/>
    <x v="278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0028699"/>
    <n v="0"/>
    <n v="-631651"/>
    <n v="19397048"/>
    <n v="18708066"/>
    <m/>
    <x v="1"/>
    <n v="18708066"/>
  </r>
  <r>
    <x v="1"/>
    <x v="10"/>
    <x v="10"/>
    <x v="5"/>
    <s v="Planeación, seguimiento y evaluación de políticas públicas"/>
    <x v="2"/>
    <x v="188"/>
    <x v="53"/>
    <x v="279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2047118"/>
    <n v="0"/>
    <n v="-20471"/>
    <n v="2026647"/>
    <n v="2064140"/>
    <m/>
    <x v="1"/>
    <n v="2064140"/>
  </r>
  <r>
    <x v="1"/>
    <x v="10"/>
    <x v="10"/>
    <x v="5"/>
    <s v="Planeación, seguimiento y evaluación de políticas públicas"/>
    <x v="2"/>
    <x v="188"/>
    <x v="53"/>
    <x v="279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848949"/>
    <n v="0"/>
    <n v="0"/>
    <n v="848949"/>
    <n v="1375169"/>
    <m/>
    <x v="1"/>
    <n v="1375169"/>
  </r>
  <r>
    <x v="1"/>
    <x v="10"/>
    <x v="10"/>
    <x v="5"/>
    <s v="Planeación, seguimiento y evaluación de políticas públicas"/>
    <x v="2"/>
    <x v="188"/>
    <x v="53"/>
    <x v="279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7305882"/>
    <n v="0"/>
    <n v="-497823"/>
    <n v="16808059"/>
    <n v="22830989"/>
    <m/>
    <x v="1"/>
    <n v="22830989"/>
  </r>
  <r>
    <x v="1"/>
    <x v="10"/>
    <x v="10"/>
    <x v="5"/>
    <s v="Planeación, seguimiento y evaluación de políticas públicas"/>
    <x v="2"/>
    <x v="188"/>
    <x v="54"/>
    <x v="280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n v="1"/>
    <n v="851756"/>
    <n v="0"/>
    <n v="0"/>
    <n v="851756"/>
    <n v="1079394"/>
    <m/>
    <x v="1"/>
    <n v="1079394"/>
  </r>
  <r>
    <x v="1"/>
    <x v="10"/>
    <x v="10"/>
    <x v="5"/>
    <s v="Planeación, seguimiento y evaluación de políticas públicas"/>
    <x v="2"/>
    <x v="188"/>
    <x v="54"/>
    <x v="280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n v="1"/>
    <n v="1023852839"/>
    <n v="0"/>
    <n v="-799426"/>
    <n v="1023053413"/>
    <n v="24238063"/>
    <m/>
    <x v="1"/>
    <n v="24238063"/>
  </r>
  <r>
    <x v="1"/>
    <x v="10"/>
    <x v="10"/>
    <x v="5"/>
    <s v="Planeación, seguimiento y evaluación de políticas públicas"/>
    <x v="2"/>
    <x v="188"/>
    <x v="38"/>
    <x v="281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450878"/>
    <n v="0"/>
    <n v="0"/>
    <n v="450878"/>
    <n v="575714"/>
    <m/>
    <x v="1"/>
    <n v="575714"/>
  </r>
  <r>
    <x v="1"/>
    <x v="10"/>
    <x v="10"/>
    <x v="5"/>
    <s v="Planeación, seguimiento y evaluación de políticas públicas"/>
    <x v="2"/>
    <x v="188"/>
    <x v="38"/>
    <x v="281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3154341"/>
    <n v="0"/>
    <n v="-364479"/>
    <n v="12789862"/>
    <n v="13902130"/>
    <m/>
    <x v="1"/>
    <n v="13902130"/>
  </r>
  <r>
    <x v="1"/>
    <x v="10"/>
    <x v="10"/>
    <x v="5"/>
    <s v="Planeación, seguimiento y evaluación de políticas públicas"/>
    <x v="2"/>
    <x v="188"/>
    <x v="39"/>
    <x v="282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81761"/>
    <n v="0"/>
    <n v="0"/>
    <n v="281761"/>
    <n v="395826"/>
    <m/>
    <x v="1"/>
    <n v="395826"/>
  </r>
  <r>
    <x v="1"/>
    <x v="10"/>
    <x v="10"/>
    <x v="5"/>
    <s v="Planeación, seguimiento y evaluación de políticas públicas"/>
    <x v="2"/>
    <x v="188"/>
    <x v="39"/>
    <x v="282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9821532"/>
    <n v="0"/>
    <n v="-334395"/>
    <n v="9487137"/>
    <n v="10085511"/>
    <m/>
    <x v="1"/>
    <n v="10085511"/>
  </r>
  <r>
    <x v="1"/>
    <x v="10"/>
    <x v="10"/>
    <x v="5"/>
    <s v="Planeación, seguimiento y evaluación de políticas públicas"/>
    <x v="2"/>
    <x v="188"/>
    <x v="56"/>
    <x v="283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027207"/>
    <n v="0"/>
    <n v="-10212"/>
    <n v="1016995"/>
    <n v="1035809"/>
    <m/>
    <x v="1"/>
    <n v="1035809"/>
  </r>
  <r>
    <x v="1"/>
    <x v="10"/>
    <x v="10"/>
    <x v="5"/>
    <s v="Planeación, seguimiento y evaluación de políticas públicas"/>
    <x v="2"/>
    <x v="188"/>
    <x v="56"/>
    <x v="283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336791"/>
    <n v="0"/>
    <n v="0"/>
    <n v="336791"/>
    <n v="382791"/>
    <m/>
    <x v="1"/>
    <n v="382791"/>
  </r>
  <r>
    <x v="1"/>
    <x v="10"/>
    <x v="10"/>
    <x v="5"/>
    <s v="Planeación, seguimiento y evaluación de políticas públicas"/>
    <x v="2"/>
    <x v="188"/>
    <x v="56"/>
    <x v="283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9506381"/>
    <n v="0"/>
    <n v="-337804"/>
    <n v="9168577"/>
    <n v="9674745"/>
    <m/>
    <x v="1"/>
    <n v="9674745"/>
  </r>
  <r>
    <x v="1"/>
    <x v="10"/>
    <x v="10"/>
    <x v="5"/>
    <s v="Planeación, seguimiento y evaluación de políticas públicas"/>
    <x v="2"/>
    <x v="188"/>
    <x v="73"/>
    <x v="28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101943"/>
    <n v="0"/>
    <n v="-10986"/>
    <n v="1090957"/>
    <n v="1111140"/>
    <m/>
    <x v="1"/>
    <n v="1111140"/>
  </r>
  <r>
    <x v="1"/>
    <x v="10"/>
    <x v="10"/>
    <x v="5"/>
    <s v="Planeación, seguimiento y evaluación de políticas públicas"/>
    <x v="2"/>
    <x v="188"/>
    <x v="73"/>
    <x v="284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58777"/>
    <n v="0"/>
    <n v="0"/>
    <n v="258777"/>
    <n v="310344"/>
    <m/>
    <x v="1"/>
    <n v="310344"/>
  </r>
  <r>
    <x v="1"/>
    <x v="10"/>
    <x v="10"/>
    <x v="5"/>
    <s v="Planeación, seguimiento y evaluación de políticas públicas"/>
    <x v="2"/>
    <x v="188"/>
    <x v="73"/>
    <x v="284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8871437"/>
    <n v="0"/>
    <n v="-328364"/>
    <n v="8543073"/>
    <n v="8399752"/>
    <m/>
    <x v="1"/>
    <n v="8399752"/>
  </r>
  <r>
    <x v="1"/>
    <x v="10"/>
    <x v="10"/>
    <x v="5"/>
    <s v="Planeación, seguimiento y evaluación de políticas públicas"/>
    <x v="2"/>
    <x v="188"/>
    <x v="84"/>
    <x v="285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116970"/>
    <n v="0"/>
    <n v="-11145"/>
    <n v="1105825"/>
    <n v="1126283"/>
    <m/>
    <x v="1"/>
    <n v="1126283"/>
  </r>
  <r>
    <x v="1"/>
    <x v="10"/>
    <x v="10"/>
    <x v="5"/>
    <s v="Planeación, seguimiento y evaluación de políticas públicas"/>
    <x v="2"/>
    <x v="188"/>
    <x v="84"/>
    <x v="285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n v="281841"/>
    <n v="0"/>
    <n v="0"/>
    <n v="281841"/>
    <n v="343404"/>
    <m/>
    <x v="1"/>
    <n v="343404"/>
  </r>
  <r>
    <x v="1"/>
    <x v="10"/>
    <x v="10"/>
    <x v="5"/>
    <s v="Planeación, seguimiento y evaluación de políticas públicas"/>
    <x v="2"/>
    <x v="188"/>
    <x v="84"/>
    <x v="285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8725346"/>
    <n v="0"/>
    <n v="-314661"/>
    <n v="8410685"/>
    <n v="8508155"/>
    <m/>
    <x v="1"/>
    <n v="8508155"/>
  </r>
  <r>
    <x v="1"/>
    <x v="10"/>
    <x v="10"/>
    <x v="5"/>
    <s v="Planeación, seguimiento y evaluación de políticas públicas"/>
    <x v="2"/>
    <x v="188"/>
    <x v="58"/>
    <x v="39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1697837"/>
    <n v="0"/>
    <n v="-16942"/>
    <n v="1680895"/>
    <n v="1784407"/>
    <m/>
    <x v="1"/>
    <n v="1784407"/>
  </r>
  <r>
    <x v="1"/>
    <x v="10"/>
    <x v="10"/>
    <x v="5"/>
    <s v="Planeación, seguimiento y evaluación de políticas públicas"/>
    <x v="2"/>
    <x v="188"/>
    <x v="59"/>
    <x v="260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57627208"/>
    <n v="0"/>
    <n v="-11677443"/>
    <n v="145949765"/>
    <m/>
    <m/>
    <x v="1"/>
    <n v="0"/>
  </r>
  <r>
    <x v="1"/>
    <x v="10"/>
    <x v="10"/>
    <x v="5"/>
    <s v="Planeación, seguimiento y evaluación de políticas públicas"/>
    <x v="2"/>
    <x v="188"/>
    <x v="59"/>
    <x v="260"/>
    <n v="3"/>
    <s v="Desarrollo Económico"/>
    <n v="2"/>
    <s v="Desarrollo Agropecuario y Forestal"/>
    <n v="1"/>
    <x v="35"/>
    <x v="5"/>
    <x v="66"/>
    <n v="1"/>
    <s v="Gasto corriente"/>
    <x v="0"/>
    <x v="1"/>
    <x v="0"/>
    <x v="0"/>
    <x v="1"/>
    <x v="0"/>
    <x v="0"/>
    <m/>
    <x v="0"/>
    <x v="0"/>
    <m/>
    <m/>
    <n v="0"/>
    <n v="0"/>
    <m/>
    <n v="3606000"/>
    <m/>
    <x v="1"/>
    <n v="3606000"/>
  </r>
  <r>
    <x v="1"/>
    <x v="10"/>
    <x v="10"/>
    <x v="5"/>
    <s v="Planeación, seguimiento y evaluación de políticas públicas"/>
    <x v="2"/>
    <x v="188"/>
    <x v="59"/>
    <x v="260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337301"/>
    <n v="0"/>
    <n v="-23321"/>
    <n v="2313980"/>
    <n v="87904573"/>
    <m/>
    <x v="1"/>
    <n v="87904573"/>
  </r>
  <r>
    <x v="1"/>
    <x v="10"/>
    <x v="10"/>
    <x v="5"/>
    <s v="Planeación, seguimiento y evaluación de políticas públicas"/>
    <x v="2"/>
    <x v="188"/>
    <x v="85"/>
    <x v="259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1"/>
    <m/>
    <x v="0"/>
    <x v="0"/>
    <m/>
    <m/>
    <m/>
    <m/>
    <m/>
    <n v="1863787"/>
    <m/>
    <x v="1"/>
    <n v="1863787"/>
  </r>
  <r>
    <x v="1"/>
    <x v="10"/>
    <x v="10"/>
    <x v="5"/>
    <s v="Planeación, seguimiento y evaluación de políticas públicas"/>
    <x v="2"/>
    <x v="188"/>
    <x v="85"/>
    <x v="259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1"/>
    <m/>
    <x v="0"/>
    <x v="0"/>
    <m/>
    <n v="22803050"/>
    <n v="0"/>
    <n v="-210271"/>
    <n v="22592779"/>
    <n v="23158949"/>
    <m/>
    <x v="1"/>
    <n v="23158949"/>
  </r>
  <r>
    <x v="1"/>
    <x v="10"/>
    <x v="10"/>
    <x v="5"/>
    <s v="Planeación, seguimiento y evaluación de políticas públicas"/>
    <x v="2"/>
    <x v="188"/>
    <x v="81"/>
    <x v="261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114769628"/>
    <n v="0"/>
    <n v="-1147697"/>
    <n v="113621931"/>
    <n v="137376232"/>
    <m/>
    <x v="1"/>
    <n v="137376232"/>
  </r>
  <r>
    <x v="1"/>
    <x v="10"/>
    <x v="10"/>
    <x v="5"/>
    <s v="Planeación, seguimiento y evaluación de políticas públicas"/>
    <x v="2"/>
    <x v="188"/>
    <x v="81"/>
    <x v="261"/>
    <n v="3"/>
    <s v="Desarrollo Económico"/>
    <n v="2"/>
    <s v="Desarrollo Agropecuario y Forestal"/>
    <n v="1"/>
    <x v="35"/>
    <x v="11"/>
    <x v="65"/>
    <n v="2"/>
    <s v="Gasto de capital"/>
    <x v="0"/>
    <x v="0"/>
    <x v="0"/>
    <x v="0"/>
    <x v="1"/>
    <x v="0"/>
    <x v="0"/>
    <m/>
    <x v="0"/>
    <x v="0"/>
    <m/>
    <n v="1265104"/>
    <n v="0"/>
    <n v="-12652"/>
    <n v="1252452"/>
    <m/>
    <m/>
    <x v="1"/>
    <n v="0"/>
  </r>
  <r>
    <x v="1"/>
    <x v="10"/>
    <x v="10"/>
    <x v="5"/>
    <s v="Planeación, seguimiento y evaluación de políticas públicas"/>
    <x v="2"/>
    <x v="188"/>
    <x v="81"/>
    <x v="261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944811"/>
    <n v="0"/>
    <n v="-9448"/>
    <n v="935363"/>
    <n v="1017720"/>
    <m/>
    <x v="1"/>
    <n v="1017720"/>
  </r>
  <r>
    <x v="1"/>
    <x v="10"/>
    <x v="10"/>
    <x v="5"/>
    <s v="Planeación, seguimiento y evaluación de políticas públicas"/>
    <x v="2"/>
    <x v="188"/>
    <x v="105"/>
    <x v="262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53566495"/>
    <n v="0"/>
    <n v="-535634"/>
    <n v="53030861"/>
    <n v="90325303"/>
    <m/>
    <x v="1"/>
    <n v="90325303"/>
  </r>
  <r>
    <x v="1"/>
    <x v="10"/>
    <x v="10"/>
    <x v="5"/>
    <s v="Planeación, seguimiento y evaluación de políticas públicas"/>
    <x v="2"/>
    <x v="188"/>
    <x v="118"/>
    <x v="216"/>
    <n v="2"/>
    <s v="Desarrollo Social"/>
    <n v="0"/>
    <s v="Educación"/>
    <n v="2"/>
    <x v="28"/>
    <x v="11"/>
    <x v="65"/>
    <n v="1"/>
    <s v="Gasto corriente"/>
    <x v="0"/>
    <x v="0"/>
    <x v="0"/>
    <x v="0"/>
    <x v="1"/>
    <x v="0"/>
    <x v="0"/>
    <m/>
    <x v="0"/>
    <x v="0"/>
    <m/>
    <m/>
    <m/>
    <m/>
    <m/>
    <n v="166000"/>
    <m/>
    <x v="1"/>
    <n v="166000"/>
  </r>
  <r>
    <x v="1"/>
    <x v="10"/>
    <x v="10"/>
    <x v="5"/>
    <s v="Planeación, seguimiento y evaluación de políticas públicas"/>
    <x v="2"/>
    <x v="188"/>
    <x v="136"/>
    <x v="263"/>
    <n v="3"/>
    <s v="Desarrollo Económico"/>
    <n v="2"/>
    <s v="Desarrollo Agropecuario y Forestal"/>
    <n v="1"/>
    <x v="35"/>
    <x v="11"/>
    <x v="65"/>
    <n v="1"/>
    <s v="Gasto corriente"/>
    <x v="0"/>
    <x v="1"/>
    <x v="0"/>
    <x v="0"/>
    <x v="1"/>
    <x v="0"/>
    <x v="0"/>
    <m/>
    <x v="0"/>
    <x v="0"/>
    <m/>
    <m/>
    <m/>
    <m/>
    <m/>
    <n v="157386"/>
    <m/>
    <x v="1"/>
    <n v="157386"/>
  </r>
  <r>
    <x v="1"/>
    <x v="10"/>
    <x v="10"/>
    <x v="5"/>
    <s v="Planeación, seguimiento y evaluación de políticas públicas"/>
    <x v="2"/>
    <x v="188"/>
    <x v="136"/>
    <x v="263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7255956"/>
    <m/>
    <x v="1"/>
    <n v="7255956"/>
  </r>
  <r>
    <x v="1"/>
    <x v="10"/>
    <x v="10"/>
    <x v="5"/>
    <s v="Planeación, seguimiento y evaluación de políticas públicas"/>
    <x v="2"/>
    <x v="188"/>
    <x v="31"/>
    <x v="25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154104523"/>
    <m/>
    <x v="1"/>
    <n v="154104523"/>
  </r>
  <r>
    <x v="1"/>
    <x v="10"/>
    <x v="10"/>
    <x v="5"/>
    <s v="Planeación, seguimiento y evaluación de políticas públicas"/>
    <x v="2"/>
    <x v="188"/>
    <x v="32"/>
    <x v="258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1670200"/>
    <m/>
    <x v="1"/>
    <n v="1670200"/>
  </r>
  <r>
    <x v="1"/>
    <x v="10"/>
    <x v="10"/>
    <x v="5"/>
    <s v="Planeación, seguimiento y evaluación de políticas públicas"/>
    <x v="2"/>
    <x v="188"/>
    <x v="36"/>
    <x v="221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32461230"/>
    <m/>
    <x v="1"/>
    <n v="32461230"/>
  </r>
  <r>
    <x v="1"/>
    <x v="10"/>
    <x v="10"/>
    <x v="5"/>
    <s v="Planeación, seguimiento y evaluación de políticas públicas"/>
    <x v="2"/>
    <x v="188"/>
    <x v="66"/>
    <x v="26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14698202"/>
    <m/>
    <x v="1"/>
    <n v="14698202"/>
  </r>
  <r>
    <x v="1"/>
    <x v="10"/>
    <x v="10"/>
    <x v="5"/>
    <s v="Planeación, seguimiento y evaluación de políticas públicas"/>
    <x v="2"/>
    <x v="188"/>
    <x v="137"/>
    <x v="265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73595049"/>
    <m/>
    <x v="1"/>
    <n v="73595049"/>
  </r>
  <r>
    <x v="1"/>
    <x v="10"/>
    <x v="10"/>
    <x v="5"/>
    <s v="Planeación, seguimiento y evaluación de políticas públicas"/>
    <x v="2"/>
    <x v="188"/>
    <x v="138"/>
    <x v="266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8382137"/>
    <m/>
    <x v="1"/>
    <n v="8382137"/>
  </r>
  <r>
    <x v="1"/>
    <x v="10"/>
    <x v="10"/>
    <x v="5"/>
    <s v="Planeación, seguimiento y evaluación de políticas públicas"/>
    <x v="2"/>
    <x v="188"/>
    <x v="139"/>
    <x v="26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19372205"/>
    <m/>
    <x v="1"/>
    <n v="19372205"/>
  </r>
  <r>
    <x v="1"/>
    <x v="10"/>
    <x v="10"/>
    <x v="5"/>
    <s v="Planeación, seguimiento y evaluación de políticas públicas"/>
    <x v="2"/>
    <x v="188"/>
    <x v="140"/>
    <x v="268"/>
    <n v="3"/>
    <s v="Desarrollo Económico"/>
    <n v="2"/>
    <s v="Desarrollo Agropecuario y Forestal"/>
    <n v="1"/>
    <x v="35"/>
    <x v="11"/>
    <x v="65"/>
    <n v="1"/>
    <s v="Gasto corriente"/>
    <x v="0"/>
    <x v="1"/>
    <x v="0"/>
    <x v="0"/>
    <x v="1"/>
    <x v="0"/>
    <x v="0"/>
    <m/>
    <x v="0"/>
    <x v="0"/>
    <m/>
    <m/>
    <m/>
    <m/>
    <m/>
    <n v="1892438"/>
    <m/>
    <x v="1"/>
    <n v="1892438"/>
  </r>
  <r>
    <x v="1"/>
    <x v="10"/>
    <x v="10"/>
    <x v="5"/>
    <s v="Planeación, seguimiento y evaluación de políticas públicas"/>
    <x v="2"/>
    <x v="188"/>
    <x v="140"/>
    <x v="268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m/>
    <m/>
    <m/>
    <m/>
    <n v="42808560"/>
    <m/>
    <x v="1"/>
    <n v="42808560"/>
  </r>
  <r>
    <x v="1"/>
    <x v="10"/>
    <x v="10"/>
    <x v="1"/>
    <s v="Específicos"/>
    <x v="4"/>
    <x v="189"/>
    <x v="7"/>
    <x v="278"/>
    <n v="3"/>
    <s v="Desarrollo Económico"/>
    <n v="2"/>
    <s v="Desarrollo Agropecuario y Forestal"/>
    <n v="1"/>
    <x v="35"/>
    <x v="5"/>
    <x v="66"/>
    <n v="1"/>
    <s v="Gasto corriente"/>
    <x v="0"/>
    <x v="0"/>
    <x v="0"/>
    <x v="0"/>
    <x v="1"/>
    <x v="0"/>
    <x v="0"/>
    <m/>
    <x v="0"/>
    <x v="0"/>
    <m/>
    <n v="250000000"/>
    <n v="0"/>
    <n v="0"/>
    <n v="250000000"/>
    <n v="254600000"/>
    <m/>
    <x v="1"/>
    <n v="254600000"/>
  </r>
  <r>
    <x v="1"/>
    <x v="10"/>
    <x v="10"/>
    <x v="1"/>
    <s v="Específicos"/>
    <x v="4"/>
    <x v="189"/>
    <x v="31"/>
    <x v="25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2621097"/>
    <n v="0"/>
    <n v="0"/>
    <n v="2621097"/>
    <n v="1800000"/>
    <m/>
    <x v="1"/>
    <n v="1800000"/>
  </r>
  <r>
    <x v="1"/>
    <x v="10"/>
    <x v="10"/>
    <x v="1"/>
    <s v="Específicos"/>
    <x v="4"/>
    <x v="189"/>
    <x v="32"/>
    <x v="258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570000"/>
    <n v="0"/>
    <n v="0"/>
    <n v="570000"/>
    <n v="682000"/>
    <m/>
    <x v="1"/>
    <n v="682000"/>
  </r>
  <r>
    <x v="1"/>
    <x v="10"/>
    <x v="10"/>
    <x v="1"/>
    <s v="Específicos"/>
    <x v="4"/>
    <x v="189"/>
    <x v="30"/>
    <x v="224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20000000"/>
    <n v="0"/>
    <n v="0"/>
    <n v="20000000"/>
    <n v="13867925"/>
    <m/>
    <x v="1"/>
    <n v="13867925"/>
  </r>
  <r>
    <x v="1"/>
    <x v="10"/>
    <x v="10"/>
    <x v="11"/>
    <s v="Sujetos a Reglas de Operación"/>
    <x v="48"/>
    <x v="190"/>
    <x v="6"/>
    <x v="274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1263100000"/>
    <n v="1670000000"/>
    <n v="0"/>
    <n v="2933100000"/>
    <n v="636391400"/>
    <m/>
    <x v="39"/>
    <n v="2109901400"/>
  </r>
  <r>
    <x v="1"/>
    <x v="10"/>
    <x v="10"/>
    <x v="11"/>
    <s v="Sujetos a Reglas de Operación"/>
    <x v="48"/>
    <x v="190"/>
    <x v="53"/>
    <x v="279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500000000"/>
    <n v="1952000000"/>
    <n v="0"/>
    <n v="2452000000"/>
    <n v="463000000"/>
    <m/>
    <x v="40"/>
    <n v="950000000"/>
  </r>
  <r>
    <x v="1"/>
    <x v="10"/>
    <x v="10"/>
    <x v="11"/>
    <s v="Sujetos a Reglas de Operación"/>
    <x v="48"/>
    <x v="190"/>
    <x v="54"/>
    <x v="280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2567400001"/>
    <n v="0"/>
    <n v="0"/>
    <n v="2567400001"/>
    <n v="4914000000"/>
    <m/>
    <x v="1"/>
    <n v="4914000000"/>
  </r>
  <r>
    <x v="1"/>
    <x v="10"/>
    <x v="10"/>
    <x v="11"/>
    <s v="Sujetos a Reglas de Operación"/>
    <x v="48"/>
    <x v="190"/>
    <x v="54"/>
    <x v="280"/>
    <n v="3"/>
    <s v="Desarrollo Económico"/>
    <n v="2"/>
    <s v="Desarrollo Agropecuario y Forestal"/>
    <n v="1"/>
    <x v="35"/>
    <x v="5"/>
    <x v="66"/>
    <n v="1"/>
    <s v="Gasto corriente"/>
    <x v="0"/>
    <x v="0"/>
    <x v="1"/>
    <x v="0"/>
    <x v="1"/>
    <x v="0"/>
    <x v="0"/>
    <m/>
    <x v="0"/>
    <x v="0"/>
    <m/>
    <m/>
    <m/>
    <m/>
    <m/>
    <n v="87000000"/>
    <m/>
    <x v="41"/>
    <n v="3919800000"/>
  </r>
  <r>
    <x v="1"/>
    <x v="10"/>
    <x v="10"/>
    <x v="11"/>
    <s v="Sujetos a Reglas de Operación"/>
    <x v="48"/>
    <x v="190"/>
    <x v="56"/>
    <x v="283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1585000000"/>
    <n v="1100000000"/>
    <n v="0"/>
    <n v="2685000000"/>
    <n v="450000000"/>
    <m/>
    <x v="1"/>
    <n v="450000000"/>
  </r>
  <r>
    <x v="1"/>
    <x v="10"/>
    <x v="10"/>
    <x v="11"/>
    <s v="Sujetos a Reglas de Operación"/>
    <x v="48"/>
    <x v="190"/>
    <x v="30"/>
    <x v="224"/>
    <n v="3"/>
    <s v="Desarrollo Económico"/>
    <n v="2"/>
    <s v="Desarrollo Agropecuario y Forestal"/>
    <n v="4"/>
    <x v="36"/>
    <x v="9"/>
    <x v="67"/>
    <n v="1"/>
    <s v="Gasto corriente"/>
    <x v="0"/>
    <x v="0"/>
    <x v="1"/>
    <x v="0"/>
    <x v="1"/>
    <x v="0"/>
    <x v="0"/>
    <m/>
    <x v="0"/>
    <x v="0"/>
    <m/>
    <n v="834500000"/>
    <n v="425000000"/>
    <n v="0"/>
    <n v="1259500000"/>
    <n v="1294300000"/>
    <m/>
    <x v="42"/>
    <n v="2259300000"/>
  </r>
  <r>
    <x v="1"/>
    <x v="10"/>
    <x v="10"/>
    <x v="11"/>
    <s v="Sujetos a Reglas de Operación"/>
    <x v="48"/>
    <x v="190"/>
    <x v="137"/>
    <x v="265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750000000"/>
    <n v="0"/>
    <n v="0"/>
    <n v="750000000"/>
    <n v="2000000000"/>
    <m/>
    <x v="1"/>
    <n v="2000000000"/>
  </r>
  <r>
    <x v="1"/>
    <x v="10"/>
    <x v="10"/>
    <x v="11"/>
    <s v="Sujetos a Reglas de Operación"/>
    <x v="49"/>
    <x v="191"/>
    <x v="36"/>
    <x v="221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16150000000"/>
    <n v="0"/>
    <n v="-548161424"/>
    <n v="15601838576"/>
    <n v="13930600000"/>
    <m/>
    <x v="1"/>
    <n v="13930600000"/>
  </r>
  <r>
    <x v="1"/>
    <x v="10"/>
    <x v="10"/>
    <x v="11"/>
    <s v="Sujetos a Reglas de Operación"/>
    <x v="50"/>
    <x v="192"/>
    <x v="5"/>
    <x v="277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1"/>
    <m/>
    <n v="3641050941"/>
    <n v="0"/>
    <n v="0"/>
    <n v="3641050941"/>
    <n v="1232000000"/>
    <m/>
    <x v="43"/>
    <n v="1700000000"/>
  </r>
  <r>
    <x v="1"/>
    <x v="10"/>
    <x v="10"/>
    <x v="11"/>
    <s v="Sujetos a Reglas de Operación"/>
    <x v="50"/>
    <x v="192"/>
    <x v="5"/>
    <x v="277"/>
    <n v="3"/>
    <s v="Desarrollo Económico"/>
    <n v="2"/>
    <s v="Desarrollo Agropecuario y Forestal"/>
    <n v="1"/>
    <x v="35"/>
    <x v="11"/>
    <x v="65"/>
    <n v="2"/>
    <s v="Gasto de capital"/>
    <x v="0"/>
    <x v="0"/>
    <x v="1"/>
    <x v="0"/>
    <x v="1"/>
    <x v="0"/>
    <x v="0"/>
    <m/>
    <x v="0"/>
    <x v="1"/>
    <m/>
    <n v="58949059"/>
    <n v="0"/>
    <n v="0"/>
    <n v="58949059"/>
    <m/>
    <m/>
    <x v="1"/>
    <n v="0"/>
  </r>
  <r>
    <x v="1"/>
    <x v="10"/>
    <x v="10"/>
    <x v="11"/>
    <s v="Sujetos a Reglas de Operación"/>
    <x v="50"/>
    <x v="192"/>
    <x v="54"/>
    <x v="280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1"/>
    <m/>
    <n v="2450100000"/>
    <n v="0"/>
    <n v="0"/>
    <n v="2450100000"/>
    <m/>
    <m/>
    <x v="1"/>
    <n v="0"/>
  </r>
  <r>
    <x v="1"/>
    <x v="10"/>
    <x v="10"/>
    <x v="11"/>
    <s v="Sujetos a Reglas de Operación"/>
    <x v="50"/>
    <x v="192"/>
    <x v="73"/>
    <x v="284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1"/>
    <m/>
    <n v="800000000"/>
    <n v="100000000"/>
    <n v="0"/>
    <n v="900000000"/>
    <n v="900000000"/>
    <m/>
    <x v="0"/>
    <n v="1100000000"/>
  </r>
  <r>
    <x v="1"/>
    <x v="10"/>
    <x v="10"/>
    <x v="11"/>
    <s v="Sujetos a Reglas de Operación"/>
    <x v="50"/>
    <x v="192"/>
    <x v="31"/>
    <x v="257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1"/>
    <m/>
    <m/>
    <m/>
    <m/>
    <m/>
    <n v="2"/>
    <m/>
    <x v="1"/>
    <n v="2"/>
  </r>
  <r>
    <x v="1"/>
    <x v="10"/>
    <x v="10"/>
    <x v="11"/>
    <s v="Sujetos a Reglas de Operación"/>
    <x v="50"/>
    <x v="192"/>
    <x v="36"/>
    <x v="221"/>
    <n v="3"/>
    <s v="Desarrollo Económico"/>
    <n v="2"/>
    <s v="Desarrollo Agropecuario y Forestal"/>
    <n v="2"/>
    <x v="34"/>
    <x v="11"/>
    <x v="65"/>
    <n v="1"/>
    <s v="Gasto corriente"/>
    <x v="0"/>
    <x v="0"/>
    <x v="1"/>
    <x v="0"/>
    <x v="1"/>
    <x v="0"/>
    <x v="0"/>
    <m/>
    <x v="0"/>
    <x v="1"/>
    <m/>
    <n v="4500000000"/>
    <n v="5450000000"/>
    <n v="0"/>
    <n v="9950000000"/>
    <n v="8237000000"/>
    <m/>
    <x v="44"/>
    <n v="10613700000"/>
  </r>
  <r>
    <x v="1"/>
    <x v="10"/>
    <x v="10"/>
    <x v="11"/>
    <s v="Sujetos a Reglas de Operación"/>
    <x v="50"/>
    <x v="192"/>
    <x v="137"/>
    <x v="265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1"/>
    <m/>
    <n v="854000000"/>
    <n v="1100000000"/>
    <n v="0"/>
    <n v="1954000000"/>
    <m/>
    <m/>
    <x v="1"/>
    <n v="0"/>
  </r>
  <r>
    <x v="1"/>
    <x v="10"/>
    <x v="10"/>
    <x v="11"/>
    <s v="Sujetos a Reglas de Operación"/>
    <x v="51"/>
    <x v="193"/>
    <x v="23"/>
    <x v="271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200000000"/>
    <n v="200000000"/>
    <n v="0"/>
    <n v="400000000"/>
    <n v="450000000"/>
    <m/>
    <x v="45"/>
    <n v="675000000"/>
  </r>
  <r>
    <x v="1"/>
    <x v="10"/>
    <x v="10"/>
    <x v="11"/>
    <s v="Sujetos a Reglas de Operación"/>
    <x v="51"/>
    <x v="193"/>
    <x v="53"/>
    <x v="279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120800000"/>
    <n v="418000000"/>
    <n v="0"/>
    <n v="538800000"/>
    <m/>
    <m/>
    <x v="1"/>
    <n v="0"/>
  </r>
  <r>
    <x v="1"/>
    <x v="10"/>
    <x v="10"/>
    <x v="11"/>
    <s v="Sujetos a Reglas de Operación"/>
    <x v="51"/>
    <x v="193"/>
    <x v="54"/>
    <x v="280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250000000"/>
    <n v="50000000"/>
    <n v="0"/>
    <n v="300000000"/>
    <n v="300000000"/>
    <m/>
    <x v="46"/>
    <n v="820000000"/>
  </r>
  <r>
    <x v="1"/>
    <x v="10"/>
    <x v="10"/>
    <x v="11"/>
    <s v="Sujetos a Reglas de Operación"/>
    <x v="51"/>
    <x v="193"/>
    <x v="84"/>
    <x v="285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927100000"/>
    <n v="250000000"/>
    <n v="0"/>
    <n v="1177100000"/>
    <n v="2459100000"/>
    <m/>
    <x v="47"/>
    <n v="3419100000"/>
  </r>
  <r>
    <x v="1"/>
    <x v="10"/>
    <x v="10"/>
    <x v="11"/>
    <s v="Sujetos a Reglas de Operación"/>
    <x v="51"/>
    <x v="193"/>
    <x v="31"/>
    <x v="257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0"/>
    <m/>
    <n v="2050000000"/>
    <n v="50000000"/>
    <n v="0"/>
    <n v="2100000000"/>
    <m/>
    <m/>
    <x v="1"/>
    <n v="0"/>
  </r>
  <r>
    <x v="1"/>
    <x v="10"/>
    <x v="10"/>
    <x v="11"/>
    <s v="Sujetos a Reglas de Operación"/>
    <x v="52"/>
    <x v="194"/>
    <x v="6"/>
    <x v="274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1"/>
    <m/>
    <n v="3950000000"/>
    <n v="0"/>
    <n v="0"/>
    <n v="3950000000"/>
    <n v="4300000000"/>
    <m/>
    <x v="1"/>
    <n v="4300000000"/>
  </r>
  <r>
    <x v="1"/>
    <x v="10"/>
    <x v="10"/>
    <x v="11"/>
    <s v="Sujetos a Reglas de Operación"/>
    <x v="52"/>
    <x v="194"/>
    <x v="53"/>
    <x v="279"/>
    <n v="3"/>
    <s v="Desarrollo Económico"/>
    <n v="2"/>
    <s v="Desarrollo Agropecuario y Forestal"/>
    <n v="1"/>
    <x v="35"/>
    <x v="11"/>
    <x v="65"/>
    <n v="1"/>
    <s v="Gasto corriente"/>
    <x v="0"/>
    <x v="0"/>
    <x v="1"/>
    <x v="0"/>
    <x v="1"/>
    <x v="0"/>
    <x v="0"/>
    <m/>
    <x v="0"/>
    <x v="1"/>
    <m/>
    <n v="400000000"/>
    <n v="200000000"/>
    <n v="0"/>
    <n v="600000000"/>
    <n v="475000000"/>
    <m/>
    <x v="10"/>
    <n v="575000000"/>
  </r>
  <r>
    <x v="1"/>
    <x v="10"/>
    <x v="10"/>
    <x v="11"/>
    <s v="Sujetos a Reglas de Operación"/>
    <x v="52"/>
    <x v="194"/>
    <x v="54"/>
    <x v="280"/>
    <n v="3"/>
    <s v="Desarrollo Económico"/>
    <n v="2"/>
    <s v="Desarrollo Agropecuario y Forestal"/>
    <n v="1"/>
    <x v="35"/>
    <x v="5"/>
    <x v="66"/>
    <n v="1"/>
    <s v="Gasto corriente"/>
    <x v="0"/>
    <x v="0"/>
    <x v="1"/>
    <x v="0"/>
    <x v="1"/>
    <x v="0"/>
    <x v="0"/>
    <m/>
    <x v="0"/>
    <x v="1"/>
    <n v="1"/>
    <n v="250000000"/>
    <n v="0"/>
    <n v="0"/>
    <n v="250000000"/>
    <n v="850000000"/>
    <m/>
    <x v="48"/>
    <n v="1200000000"/>
  </r>
  <r>
    <x v="1"/>
    <x v="10"/>
    <x v="10"/>
    <x v="11"/>
    <s v="Sujetos a Reglas de Operación"/>
    <x v="52"/>
    <x v="194"/>
    <x v="39"/>
    <x v="282"/>
    <n v="3"/>
    <s v="Desarrollo Económico"/>
    <n v="2"/>
    <s v="Desarrollo Agropecuario y Forestal"/>
    <n v="1"/>
    <x v="35"/>
    <x v="5"/>
    <x v="66"/>
    <n v="1"/>
    <s v="Gasto corriente"/>
    <x v="0"/>
    <x v="0"/>
    <x v="1"/>
    <x v="0"/>
    <x v="1"/>
    <x v="0"/>
    <x v="0"/>
    <m/>
    <x v="0"/>
    <x v="1"/>
    <m/>
    <n v="1950900000"/>
    <n v="120000000"/>
    <n v="0"/>
    <n v="2070900000"/>
    <n v="1692000000"/>
    <m/>
    <x v="0"/>
    <n v="1892000000"/>
  </r>
  <r>
    <x v="1"/>
    <x v="10"/>
    <x v="10"/>
    <x v="11"/>
    <s v="Sujetos a Reglas de Operación"/>
    <x v="52"/>
    <x v="194"/>
    <x v="30"/>
    <x v="224"/>
    <n v="3"/>
    <s v="Desarrollo Económico"/>
    <n v="2"/>
    <s v="Desarrollo Agropecuario y Forestal"/>
    <n v="4"/>
    <x v="36"/>
    <x v="9"/>
    <x v="67"/>
    <n v="1"/>
    <s v="Gasto corriente"/>
    <x v="0"/>
    <x v="0"/>
    <x v="1"/>
    <x v="0"/>
    <x v="1"/>
    <x v="0"/>
    <x v="0"/>
    <m/>
    <x v="0"/>
    <x v="1"/>
    <m/>
    <n v="61200000"/>
    <n v="0"/>
    <n v="0"/>
    <n v="61200000"/>
    <n v="380000000"/>
    <m/>
    <x v="49"/>
    <n v="650000000"/>
  </r>
  <r>
    <x v="1"/>
    <x v="10"/>
    <x v="10"/>
    <x v="7"/>
    <s v="Otros Subsidios"/>
    <x v="3"/>
    <x v="195"/>
    <x v="31"/>
    <x v="257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722563084"/>
    <n v="0"/>
    <n v="0"/>
    <n v="722563084"/>
    <n v="1667369593"/>
    <n v="566081671"/>
    <x v="1"/>
    <n v="1101287922"/>
  </r>
  <r>
    <x v="1"/>
    <x v="10"/>
    <x v="10"/>
    <x v="7"/>
    <s v="Otros Subsidios"/>
    <x v="4"/>
    <x v="196"/>
    <x v="6"/>
    <x v="27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2000000"/>
    <n v="0"/>
    <n v="0"/>
    <n v="2000000"/>
    <n v="1000000"/>
    <m/>
    <x v="1"/>
    <n v="1000000"/>
  </r>
  <r>
    <x v="1"/>
    <x v="10"/>
    <x v="10"/>
    <x v="7"/>
    <s v="Otros Subsidios"/>
    <x v="5"/>
    <x v="197"/>
    <x v="54"/>
    <x v="280"/>
    <n v="3"/>
    <s v="Desarrollo Económico"/>
    <n v="2"/>
    <s v="Desarrollo Agropecuario y Forestal"/>
    <n v="1"/>
    <x v="35"/>
    <x v="11"/>
    <x v="65"/>
    <n v="1"/>
    <s v="Gasto corriente"/>
    <x v="0"/>
    <x v="0"/>
    <x v="0"/>
    <x v="1"/>
    <x v="1"/>
    <x v="0"/>
    <x v="0"/>
    <m/>
    <x v="0"/>
    <x v="0"/>
    <m/>
    <n v="58215827"/>
    <n v="0"/>
    <n v="0"/>
    <n v="58215827"/>
    <n v="59260000"/>
    <m/>
    <x v="1"/>
    <n v="59260000"/>
  </r>
  <r>
    <x v="1"/>
    <x v="10"/>
    <x v="10"/>
    <x v="7"/>
    <s v="Otros Subsidios"/>
    <x v="8"/>
    <x v="198"/>
    <x v="49"/>
    <x v="220"/>
    <n v="3"/>
    <s v="Desarrollo Económico"/>
    <n v="7"/>
    <s v="Ciencia y Tecnología"/>
    <n v="1"/>
    <x v="33"/>
    <x v="15"/>
    <x v="64"/>
    <n v="1"/>
    <s v="Gasto corriente"/>
    <x v="0"/>
    <x v="0"/>
    <x v="0"/>
    <x v="1"/>
    <x v="1"/>
    <x v="0"/>
    <x v="0"/>
    <m/>
    <x v="0"/>
    <x v="1"/>
    <m/>
    <n v="2500000"/>
    <n v="0"/>
    <n v="0"/>
    <n v="2500000"/>
    <n v="2500000"/>
    <m/>
    <x v="1"/>
    <n v="2500000"/>
  </r>
  <r>
    <x v="1"/>
    <x v="10"/>
    <x v="10"/>
    <x v="7"/>
    <s v="Otros Subsidios"/>
    <x v="10"/>
    <x v="199"/>
    <x v="6"/>
    <x v="27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4000000"/>
    <n v="0"/>
    <n v="0"/>
    <n v="4000000"/>
    <n v="8438000"/>
    <m/>
    <x v="1"/>
    <n v="8438000"/>
  </r>
  <r>
    <x v="1"/>
    <x v="10"/>
    <x v="10"/>
    <x v="7"/>
    <s v="Otros Subsidios"/>
    <x v="11"/>
    <x v="200"/>
    <x v="6"/>
    <x v="27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3410000"/>
    <n v="0"/>
    <n v="0"/>
    <n v="3410000"/>
    <n v="1870000"/>
    <m/>
    <x v="1"/>
    <n v="1870000"/>
  </r>
  <r>
    <x v="1"/>
    <x v="10"/>
    <x v="10"/>
    <x v="7"/>
    <s v="Otros Subsidios"/>
    <x v="12"/>
    <x v="201"/>
    <x v="6"/>
    <x v="27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0"/>
    <m/>
    <n v="3282697"/>
    <n v="0"/>
    <n v="0"/>
    <n v="3282697"/>
    <n v="2008491"/>
    <m/>
    <x v="1"/>
    <n v="2008491"/>
  </r>
  <r>
    <x v="1"/>
    <x v="10"/>
    <x v="10"/>
    <x v="7"/>
    <s v="Otros Subsidios"/>
    <x v="14"/>
    <x v="202"/>
    <x v="30"/>
    <x v="224"/>
    <n v="3"/>
    <s v="Desarrollo Económico"/>
    <n v="2"/>
    <s v="Desarrollo Agropecuario y Forestal"/>
    <n v="4"/>
    <x v="36"/>
    <x v="9"/>
    <x v="67"/>
    <n v="1"/>
    <s v="Gasto corriente"/>
    <x v="0"/>
    <x v="0"/>
    <x v="0"/>
    <x v="0"/>
    <x v="1"/>
    <x v="0"/>
    <x v="0"/>
    <m/>
    <x v="0"/>
    <x v="0"/>
    <m/>
    <n v="59499419"/>
    <n v="0"/>
    <n v="0"/>
    <n v="59499419"/>
    <n v="59471150"/>
    <m/>
    <x v="1"/>
    <n v="59471150"/>
  </r>
  <r>
    <x v="1"/>
    <x v="10"/>
    <x v="10"/>
    <x v="7"/>
    <s v="Otros Subsidios"/>
    <x v="17"/>
    <x v="203"/>
    <x v="54"/>
    <x v="280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1"/>
    <m/>
    <n v="1249999999"/>
    <n v="0"/>
    <n v="0"/>
    <n v="1249999999"/>
    <n v="1110500000"/>
    <m/>
    <x v="50"/>
    <n v="1700000000"/>
  </r>
  <r>
    <x v="1"/>
    <x v="10"/>
    <x v="10"/>
    <x v="7"/>
    <s v="Otros Subsidios"/>
    <x v="18"/>
    <x v="204"/>
    <x v="66"/>
    <x v="264"/>
    <n v="3"/>
    <s v="Desarrollo Económico"/>
    <n v="2"/>
    <s v="Desarrollo Agropecuario y Forestal"/>
    <n v="1"/>
    <x v="35"/>
    <x v="11"/>
    <x v="65"/>
    <n v="1"/>
    <s v="Gasto corriente"/>
    <x v="0"/>
    <x v="0"/>
    <x v="0"/>
    <x v="0"/>
    <x v="1"/>
    <x v="0"/>
    <x v="0"/>
    <m/>
    <x v="0"/>
    <x v="1"/>
    <m/>
    <n v="100000000"/>
    <n v="100000000"/>
    <n v="0"/>
    <n v="200000000"/>
    <n v="220000000"/>
    <m/>
    <x v="26"/>
    <n v="250000000"/>
  </r>
  <r>
    <x v="1"/>
    <x v="11"/>
    <x v="11"/>
    <x v="4"/>
    <s v="Prestación de Servicios Públicos"/>
    <x v="5"/>
    <x v="205"/>
    <x v="52"/>
    <x v="28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51650552"/>
    <n v="0"/>
    <n v="-474295"/>
    <n v="51176257"/>
    <n v="46322104"/>
    <m/>
    <x v="1"/>
    <n v="46322104"/>
  </r>
  <r>
    <x v="1"/>
    <x v="11"/>
    <x v="11"/>
    <x v="4"/>
    <s v="Prestación de Servicios Públicos"/>
    <x v="5"/>
    <x v="205"/>
    <x v="52"/>
    <x v="28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7430000"/>
    <n v="0"/>
    <n v="0"/>
    <n v="97430000"/>
    <n v="80000000"/>
    <m/>
    <x v="1"/>
    <n v="80000000"/>
  </r>
  <r>
    <x v="1"/>
    <x v="11"/>
    <x v="11"/>
    <x v="4"/>
    <s v="Prestación de Servicios Públicos"/>
    <x v="8"/>
    <x v="206"/>
    <x v="142"/>
    <x v="287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61499247"/>
    <n v="0"/>
    <n v="-3400000"/>
    <n v="58099247"/>
    <n v="55054189"/>
    <m/>
    <x v="1"/>
    <n v="55054189"/>
  </r>
  <r>
    <x v="1"/>
    <x v="11"/>
    <x v="11"/>
    <x v="4"/>
    <s v="Prestación de Servicios Públicos"/>
    <x v="9"/>
    <x v="207"/>
    <x v="143"/>
    <x v="288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5631051"/>
    <n v="0"/>
    <n v="-930000"/>
    <n v="14701051"/>
    <n v="14506227"/>
    <m/>
    <x v="1"/>
    <n v="14506227"/>
  </r>
  <r>
    <x v="1"/>
    <x v="11"/>
    <x v="11"/>
    <x v="4"/>
    <s v="Prestación de Servicios Públicos"/>
    <x v="11"/>
    <x v="208"/>
    <x v="32"/>
    <x v="289"/>
    <n v="3"/>
    <s v="Desarrollo Económico"/>
    <n v="1"/>
    <s v="Comunicaciones y Transportes"/>
    <n v="3"/>
    <x v="39"/>
    <x v="4"/>
    <x v="70"/>
    <n v="1"/>
    <s v="Gasto corriente"/>
    <x v="0"/>
    <x v="1"/>
    <x v="0"/>
    <x v="0"/>
    <x v="0"/>
    <x v="0"/>
    <x v="0"/>
    <m/>
    <x v="0"/>
    <x v="0"/>
    <m/>
    <n v="52894019"/>
    <n v="0"/>
    <n v="0"/>
    <n v="52894019"/>
    <n v="62217082"/>
    <m/>
    <x v="1"/>
    <n v="62217082"/>
  </r>
  <r>
    <x v="1"/>
    <x v="11"/>
    <x v="11"/>
    <x v="4"/>
    <s v="Prestación de Servicios Públicos"/>
    <x v="11"/>
    <x v="208"/>
    <x v="32"/>
    <x v="289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501621415"/>
    <n v="0"/>
    <n v="-38600000"/>
    <n v="1463021415"/>
    <n v="1612222222"/>
    <n v="646390070"/>
    <x v="1"/>
    <n v="965832152"/>
  </r>
  <r>
    <x v="1"/>
    <x v="11"/>
    <x v="11"/>
    <x v="4"/>
    <s v="Prestación de Servicios Públicos"/>
    <x v="11"/>
    <x v="208"/>
    <x v="32"/>
    <x v="289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92616774"/>
    <n v="0"/>
    <n v="-12700000"/>
    <n v="179916774"/>
    <n v="50000000"/>
    <m/>
    <x v="1"/>
    <n v="50000000"/>
  </r>
  <r>
    <x v="1"/>
    <x v="11"/>
    <x v="11"/>
    <x v="4"/>
    <s v="Prestación de Servicios Públicos"/>
    <x v="12"/>
    <x v="209"/>
    <x v="144"/>
    <x v="290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46740222"/>
    <n v="0"/>
    <n v="-3033619"/>
    <n v="43706603"/>
    <n v="43174989"/>
    <m/>
    <x v="1"/>
    <n v="43174989"/>
  </r>
  <r>
    <x v="1"/>
    <x v="11"/>
    <x v="11"/>
    <x v="4"/>
    <s v="Prestación de Servicios Públicos"/>
    <x v="12"/>
    <x v="209"/>
    <x v="144"/>
    <x v="290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0"/>
    <m/>
    <n v="550000"/>
    <n v="0"/>
    <n v="0"/>
    <n v="550000"/>
    <n v="2900000"/>
    <m/>
    <x v="1"/>
    <n v="2900000"/>
  </r>
  <r>
    <x v="1"/>
    <x v="11"/>
    <x v="11"/>
    <x v="4"/>
    <s v="Prestación de Servicios Públicos"/>
    <x v="13"/>
    <x v="210"/>
    <x v="145"/>
    <x v="291"/>
    <n v="3"/>
    <s v="Desarrollo Económico"/>
    <n v="1"/>
    <s v="Comunicaciones y Transportes"/>
    <n v="5"/>
    <x v="41"/>
    <x v="15"/>
    <x v="72"/>
    <n v="1"/>
    <s v="Gasto corriente"/>
    <x v="0"/>
    <x v="0"/>
    <x v="0"/>
    <x v="0"/>
    <x v="0"/>
    <x v="0"/>
    <x v="0"/>
    <m/>
    <x v="0"/>
    <x v="0"/>
    <m/>
    <n v="1062114394"/>
    <n v="0"/>
    <n v="-32600000"/>
    <n v="1029514394"/>
    <n v="1002205258"/>
    <m/>
    <x v="1"/>
    <n v="1002205258"/>
  </r>
  <r>
    <x v="1"/>
    <x v="11"/>
    <x v="11"/>
    <x v="4"/>
    <s v="Prestación de Servicios Públicos"/>
    <x v="14"/>
    <x v="211"/>
    <x v="146"/>
    <x v="292"/>
    <n v="3"/>
    <s v="Desarrollo Económico"/>
    <n v="1"/>
    <s v="Comunicaciones y Transportes"/>
    <n v="5"/>
    <x v="41"/>
    <x v="15"/>
    <x v="72"/>
    <n v="1"/>
    <s v="Gasto corriente"/>
    <x v="0"/>
    <x v="0"/>
    <x v="0"/>
    <x v="0"/>
    <x v="0"/>
    <x v="0"/>
    <x v="0"/>
    <m/>
    <x v="0"/>
    <x v="0"/>
    <m/>
    <n v="548354872"/>
    <n v="0"/>
    <n v="-15730000"/>
    <n v="532624872"/>
    <n v="525015025"/>
    <m/>
    <x v="1"/>
    <n v="525015025"/>
  </r>
  <r>
    <x v="1"/>
    <x v="11"/>
    <x v="11"/>
    <x v="4"/>
    <s v="Prestación de Servicios Públicos"/>
    <x v="16"/>
    <x v="212"/>
    <x v="57"/>
    <x v="293"/>
    <n v="3"/>
    <s v="Desarrollo Económico"/>
    <n v="7"/>
    <s v="Ciencia y Tecnología"/>
    <n v="2"/>
    <x v="42"/>
    <x v="5"/>
    <x v="73"/>
    <n v="1"/>
    <s v="Gasto corriente"/>
    <x v="0"/>
    <x v="1"/>
    <x v="0"/>
    <x v="1"/>
    <x v="0"/>
    <x v="0"/>
    <x v="0"/>
    <m/>
    <x v="0"/>
    <x v="0"/>
    <m/>
    <n v="2874603"/>
    <n v="0"/>
    <n v="0"/>
    <n v="2874603"/>
    <n v="3437136"/>
    <m/>
    <x v="1"/>
    <n v="3437136"/>
  </r>
  <r>
    <x v="1"/>
    <x v="11"/>
    <x v="11"/>
    <x v="4"/>
    <s v="Prestación de Servicios Públicos"/>
    <x v="16"/>
    <x v="212"/>
    <x v="57"/>
    <x v="293"/>
    <n v="3"/>
    <s v="Desarrollo Económico"/>
    <n v="7"/>
    <s v="Ciencia y Tecnología"/>
    <n v="2"/>
    <x v="42"/>
    <x v="5"/>
    <x v="73"/>
    <n v="1"/>
    <s v="Gasto corriente"/>
    <x v="0"/>
    <x v="0"/>
    <x v="0"/>
    <x v="1"/>
    <x v="0"/>
    <x v="0"/>
    <x v="0"/>
    <m/>
    <x v="0"/>
    <x v="0"/>
    <m/>
    <n v="88320728"/>
    <n v="0"/>
    <n v="-2900000"/>
    <n v="85420728"/>
    <n v="105765810"/>
    <m/>
    <x v="1"/>
    <n v="105765810"/>
  </r>
  <r>
    <x v="1"/>
    <x v="11"/>
    <x v="11"/>
    <x v="4"/>
    <s v="Prestación de Servicios Públicos"/>
    <x v="20"/>
    <x v="213"/>
    <x v="144"/>
    <x v="290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m/>
    <m/>
    <m/>
    <m/>
    <n v="30000000"/>
    <m/>
    <x v="1"/>
    <n v="30000000"/>
  </r>
  <r>
    <x v="1"/>
    <x v="11"/>
    <x v="11"/>
    <x v="4"/>
    <s v="Prestación de Servicios Públicos"/>
    <x v="21"/>
    <x v="214"/>
    <x v="55"/>
    <x v="29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83283"/>
    <n v="0"/>
    <n v="0"/>
    <n v="283283"/>
    <m/>
    <m/>
    <x v="1"/>
    <n v="0"/>
  </r>
  <r>
    <x v="1"/>
    <x v="11"/>
    <x v="11"/>
    <x v="4"/>
    <s v="Prestación de Servicios Públicos"/>
    <x v="0"/>
    <x v="215"/>
    <x v="85"/>
    <x v="295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n v="109094195"/>
    <n v="0"/>
    <n v="0"/>
    <n v="109094195"/>
    <n v="89610500"/>
    <m/>
    <x v="1"/>
    <n v="89610500"/>
  </r>
  <r>
    <x v="1"/>
    <x v="11"/>
    <x v="11"/>
    <x v="4"/>
    <s v="Prestación de Servicios Públicos"/>
    <x v="0"/>
    <x v="215"/>
    <x v="147"/>
    <x v="296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950000"/>
    <m/>
    <x v="1"/>
    <n v="950000"/>
  </r>
  <r>
    <x v="1"/>
    <x v="11"/>
    <x v="11"/>
    <x v="4"/>
    <s v="Prestación de Servicios Públicos"/>
    <x v="0"/>
    <x v="215"/>
    <x v="148"/>
    <x v="297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6550000"/>
    <m/>
    <x v="1"/>
    <n v="6550000"/>
  </r>
  <r>
    <x v="1"/>
    <x v="11"/>
    <x v="11"/>
    <x v="4"/>
    <s v="Prestación de Servicios Públicos"/>
    <x v="0"/>
    <x v="215"/>
    <x v="149"/>
    <x v="298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750000"/>
    <m/>
    <x v="1"/>
    <n v="750000"/>
  </r>
  <r>
    <x v="1"/>
    <x v="11"/>
    <x v="11"/>
    <x v="4"/>
    <s v="Prestación de Servicios Públicos"/>
    <x v="0"/>
    <x v="215"/>
    <x v="150"/>
    <x v="299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1800000"/>
    <m/>
    <x v="1"/>
    <n v="1800000"/>
  </r>
  <r>
    <x v="1"/>
    <x v="11"/>
    <x v="11"/>
    <x v="4"/>
    <s v="Prestación de Servicios Públicos"/>
    <x v="0"/>
    <x v="215"/>
    <x v="151"/>
    <x v="300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2000000"/>
    <m/>
    <x v="1"/>
    <n v="2000000"/>
  </r>
  <r>
    <x v="1"/>
    <x v="11"/>
    <x v="11"/>
    <x v="4"/>
    <s v="Prestación de Servicios Públicos"/>
    <x v="0"/>
    <x v="215"/>
    <x v="152"/>
    <x v="301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300000"/>
    <m/>
    <x v="1"/>
    <n v="300000"/>
  </r>
  <r>
    <x v="1"/>
    <x v="11"/>
    <x v="11"/>
    <x v="4"/>
    <s v="Prestación de Servicios Públicos"/>
    <x v="0"/>
    <x v="215"/>
    <x v="153"/>
    <x v="302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800000"/>
    <m/>
    <x v="1"/>
    <n v="800000"/>
  </r>
  <r>
    <x v="1"/>
    <x v="11"/>
    <x v="11"/>
    <x v="4"/>
    <s v="Prestación de Servicios Públicos"/>
    <x v="0"/>
    <x v="215"/>
    <x v="154"/>
    <x v="303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300000"/>
    <m/>
    <x v="1"/>
    <n v="300000"/>
  </r>
  <r>
    <x v="1"/>
    <x v="11"/>
    <x v="11"/>
    <x v="4"/>
    <s v="Prestación de Servicios Públicos"/>
    <x v="0"/>
    <x v="215"/>
    <x v="155"/>
    <x v="304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3100000"/>
    <m/>
    <x v="1"/>
    <n v="3100000"/>
  </r>
  <r>
    <x v="1"/>
    <x v="11"/>
    <x v="11"/>
    <x v="4"/>
    <s v="Prestación de Servicios Públicos"/>
    <x v="0"/>
    <x v="215"/>
    <x v="156"/>
    <x v="305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1200000"/>
    <m/>
    <x v="1"/>
    <n v="1200000"/>
  </r>
  <r>
    <x v="1"/>
    <x v="11"/>
    <x v="11"/>
    <x v="4"/>
    <s v="Prestación de Servicios Públicos"/>
    <x v="0"/>
    <x v="215"/>
    <x v="157"/>
    <x v="306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1100000"/>
    <m/>
    <x v="1"/>
    <n v="1100000"/>
  </r>
  <r>
    <x v="1"/>
    <x v="11"/>
    <x v="11"/>
    <x v="4"/>
    <s v="Prestación de Servicios Públicos"/>
    <x v="0"/>
    <x v="215"/>
    <x v="158"/>
    <x v="307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2700000"/>
    <m/>
    <x v="1"/>
    <n v="2700000"/>
  </r>
  <r>
    <x v="1"/>
    <x v="11"/>
    <x v="11"/>
    <x v="4"/>
    <s v="Prestación de Servicios Públicos"/>
    <x v="0"/>
    <x v="215"/>
    <x v="159"/>
    <x v="308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6450000"/>
    <m/>
    <x v="1"/>
    <n v="6450000"/>
  </r>
  <r>
    <x v="1"/>
    <x v="11"/>
    <x v="11"/>
    <x v="4"/>
    <s v="Prestación de Servicios Públicos"/>
    <x v="1"/>
    <x v="216"/>
    <x v="160"/>
    <x v="309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0"/>
    <n v="419000000"/>
    <n v="0"/>
    <n v="419000000"/>
    <n v="129700000"/>
    <m/>
    <x v="1"/>
    <n v="129700000"/>
  </r>
  <r>
    <x v="1"/>
    <x v="11"/>
    <x v="11"/>
    <x v="10"/>
    <s v="Regulación y supervisión"/>
    <x v="2"/>
    <x v="217"/>
    <x v="161"/>
    <x v="310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70193881"/>
    <n v="0"/>
    <n v="-660140"/>
    <n v="169533741"/>
    <n v="160915881"/>
    <m/>
    <x v="1"/>
    <n v="160915881"/>
  </r>
  <r>
    <x v="1"/>
    <x v="11"/>
    <x v="11"/>
    <x v="10"/>
    <s v="Regulación y supervisión"/>
    <x v="2"/>
    <x v="217"/>
    <x v="161"/>
    <x v="310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8508200"/>
    <n v="0"/>
    <n v="0"/>
    <n v="48508200"/>
    <n v="51800000"/>
    <m/>
    <x v="1"/>
    <n v="51800000"/>
  </r>
  <r>
    <x v="1"/>
    <x v="11"/>
    <x v="11"/>
    <x v="10"/>
    <s v="Regulación y supervisión"/>
    <x v="2"/>
    <x v="217"/>
    <x v="162"/>
    <x v="31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7088278"/>
    <n v="0"/>
    <n v="0"/>
    <n v="7088278"/>
    <n v="5833157"/>
    <m/>
    <x v="1"/>
    <n v="5833157"/>
  </r>
  <r>
    <x v="1"/>
    <x v="11"/>
    <x v="11"/>
    <x v="10"/>
    <s v="Regulación y supervisión"/>
    <x v="2"/>
    <x v="217"/>
    <x v="162"/>
    <x v="311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100000"/>
    <m/>
    <x v="1"/>
    <n v="100000"/>
  </r>
  <r>
    <x v="1"/>
    <x v="11"/>
    <x v="11"/>
    <x v="10"/>
    <s v="Regulación y supervisión"/>
    <x v="2"/>
    <x v="217"/>
    <x v="147"/>
    <x v="29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5280848"/>
    <n v="0"/>
    <n v="0"/>
    <n v="15280848"/>
    <n v="14190208"/>
    <m/>
    <x v="1"/>
    <n v="14190208"/>
  </r>
  <r>
    <x v="1"/>
    <x v="11"/>
    <x v="11"/>
    <x v="10"/>
    <s v="Regulación y supervisión"/>
    <x v="2"/>
    <x v="217"/>
    <x v="147"/>
    <x v="29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n v="0"/>
    <n v="0"/>
    <m/>
    <n v="600000"/>
    <m/>
    <x v="1"/>
    <n v="600000"/>
  </r>
  <r>
    <x v="1"/>
    <x v="11"/>
    <x v="11"/>
    <x v="10"/>
    <s v="Regulación y supervisión"/>
    <x v="2"/>
    <x v="217"/>
    <x v="148"/>
    <x v="29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812229"/>
    <n v="0"/>
    <n v="-94145"/>
    <n v="2718084"/>
    <n v="2711616"/>
    <m/>
    <x v="1"/>
    <n v="2711616"/>
  </r>
  <r>
    <x v="1"/>
    <x v="11"/>
    <x v="11"/>
    <x v="10"/>
    <s v="Regulación y supervisión"/>
    <x v="2"/>
    <x v="217"/>
    <x v="148"/>
    <x v="29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n v="0"/>
    <n v="0"/>
    <m/>
    <n v="300000"/>
    <m/>
    <x v="1"/>
    <n v="300000"/>
  </r>
  <r>
    <x v="1"/>
    <x v="11"/>
    <x v="11"/>
    <x v="10"/>
    <s v="Regulación y supervisión"/>
    <x v="2"/>
    <x v="217"/>
    <x v="149"/>
    <x v="29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202582"/>
    <n v="0"/>
    <n v="0"/>
    <n v="4202582"/>
    <n v="4301602"/>
    <m/>
    <x v="1"/>
    <n v="4301602"/>
  </r>
  <r>
    <x v="1"/>
    <x v="11"/>
    <x v="11"/>
    <x v="10"/>
    <s v="Regulación y supervisión"/>
    <x v="2"/>
    <x v="217"/>
    <x v="149"/>
    <x v="29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300000"/>
    <m/>
    <x v="1"/>
    <n v="300000"/>
  </r>
  <r>
    <x v="1"/>
    <x v="11"/>
    <x v="11"/>
    <x v="10"/>
    <s v="Regulación y supervisión"/>
    <x v="2"/>
    <x v="217"/>
    <x v="163"/>
    <x v="31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2923203"/>
    <n v="0"/>
    <n v="-94482"/>
    <n v="12828721"/>
    <n v="11066158"/>
    <m/>
    <x v="1"/>
    <n v="11066158"/>
  </r>
  <r>
    <x v="1"/>
    <x v="11"/>
    <x v="11"/>
    <x v="10"/>
    <s v="Regulación y supervisión"/>
    <x v="2"/>
    <x v="217"/>
    <x v="163"/>
    <x v="312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500000"/>
    <n v="0"/>
    <n v="0"/>
    <n v="1500000"/>
    <n v="400000"/>
    <m/>
    <x v="1"/>
    <n v="400000"/>
  </r>
  <r>
    <x v="1"/>
    <x v="11"/>
    <x v="11"/>
    <x v="10"/>
    <s v="Regulación y supervisión"/>
    <x v="2"/>
    <x v="217"/>
    <x v="164"/>
    <x v="31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763539"/>
    <n v="0"/>
    <n v="-108764"/>
    <n v="6654775"/>
    <n v="6039238"/>
    <m/>
    <x v="1"/>
    <n v="6039238"/>
  </r>
  <r>
    <x v="1"/>
    <x v="11"/>
    <x v="11"/>
    <x v="10"/>
    <s v="Regulación y supervisión"/>
    <x v="2"/>
    <x v="217"/>
    <x v="150"/>
    <x v="29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395435"/>
    <n v="0"/>
    <n v="0"/>
    <n v="5395435"/>
    <n v="4943589"/>
    <m/>
    <x v="1"/>
    <n v="4943589"/>
  </r>
  <r>
    <x v="1"/>
    <x v="11"/>
    <x v="11"/>
    <x v="10"/>
    <s v="Regulación y supervisión"/>
    <x v="2"/>
    <x v="217"/>
    <x v="150"/>
    <x v="299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500000"/>
    <m/>
    <x v="1"/>
    <n v="500000"/>
  </r>
  <r>
    <x v="1"/>
    <x v="11"/>
    <x v="11"/>
    <x v="10"/>
    <s v="Regulación y supervisión"/>
    <x v="2"/>
    <x v="217"/>
    <x v="165"/>
    <x v="31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8811733"/>
    <n v="0"/>
    <n v="-94482"/>
    <n v="8717251"/>
    <n v="9542088"/>
    <m/>
    <x v="1"/>
    <n v="9542088"/>
  </r>
  <r>
    <x v="1"/>
    <x v="11"/>
    <x v="11"/>
    <x v="10"/>
    <s v="Regulación y supervisión"/>
    <x v="2"/>
    <x v="217"/>
    <x v="165"/>
    <x v="31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300000"/>
    <m/>
    <x v="1"/>
    <n v="300000"/>
  </r>
  <r>
    <x v="1"/>
    <x v="11"/>
    <x v="11"/>
    <x v="10"/>
    <s v="Regulación y supervisión"/>
    <x v="2"/>
    <x v="217"/>
    <x v="166"/>
    <x v="31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936201"/>
    <n v="0"/>
    <n v="-101670"/>
    <n v="6834531"/>
    <n v="6976395"/>
    <m/>
    <x v="1"/>
    <n v="6976395"/>
  </r>
  <r>
    <x v="1"/>
    <x v="11"/>
    <x v="11"/>
    <x v="10"/>
    <s v="Regulación y supervisión"/>
    <x v="2"/>
    <x v="217"/>
    <x v="166"/>
    <x v="31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00000"/>
    <n v="0"/>
    <n v="0"/>
    <n v="300000"/>
    <m/>
    <m/>
    <x v="1"/>
    <n v="0"/>
  </r>
  <r>
    <x v="1"/>
    <x v="11"/>
    <x v="11"/>
    <x v="10"/>
    <s v="Regulación y supervisión"/>
    <x v="2"/>
    <x v="217"/>
    <x v="167"/>
    <x v="31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8101058"/>
    <n v="0"/>
    <n v="-90319"/>
    <n v="8010739"/>
    <n v="7139078"/>
    <m/>
    <x v="1"/>
    <n v="7139078"/>
  </r>
  <r>
    <x v="1"/>
    <x v="11"/>
    <x v="11"/>
    <x v="10"/>
    <s v="Regulación y supervisión"/>
    <x v="2"/>
    <x v="217"/>
    <x v="167"/>
    <x v="31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200000"/>
    <n v="0"/>
    <n v="0"/>
    <n v="200000"/>
    <n v="300000"/>
    <m/>
    <x v="1"/>
    <n v="300000"/>
  </r>
  <r>
    <x v="1"/>
    <x v="11"/>
    <x v="11"/>
    <x v="10"/>
    <s v="Regulación y supervisión"/>
    <x v="2"/>
    <x v="217"/>
    <x v="151"/>
    <x v="300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296973"/>
    <n v="0"/>
    <n v="-94145"/>
    <n v="6202828"/>
    <n v="5804445"/>
    <m/>
    <x v="1"/>
    <n v="5804445"/>
  </r>
  <r>
    <x v="1"/>
    <x v="11"/>
    <x v="11"/>
    <x v="10"/>
    <s v="Regulación y supervisión"/>
    <x v="2"/>
    <x v="217"/>
    <x v="151"/>
    <x v="300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200000"/>
    <m/>
    <x v="1"/>
    <n v="200000"/>
  </r>
  <r>
    <x v="1"/>
    <x v="11"/>
    <x v="11"/>
    <x v="10"/>
    <s v="Regulación y supervisión"/>
    <x v="2"/>
    <x v="217"/>
    <x v="168"/>
    <x v="31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450835"/>
    <n v="0"/>
    <n v="-94482"/>
    <n v="6356353"/>
    <n v="5812746"/>
    <m/>
    <x v="1"/>
    <n v="5812746"/>
  </r>
  <r>
    <x v="1"/>
    <x v="11"/>
    <x v="11"/>
    <x v="10"/>
    <s v="Regulación y supervisión"/>
    <x v="2"/>
    <x v="217"/>
    <x v="168"/>
    <x v="31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500000"/>
    <n v="0"/>
    <n v="0"/>
    <n v="500000"/>
    <n v="300000"/>
    <m/>
    <x v="1"/>
    <n v="300000"/>
  </r>
  <r>
    <x v="1"/>
    <x v="11"/>
    <x v="11"/>
    <x v="10"/>
    <s v="Regulación y supervisión"/>
    <x v="2"/>
    <x v="217"/>
    <x v="152"/>
    <x v="30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922089"/>
    <n v="0"/>
    <n v="-94482"/>
    <n v="6827607"/>
    <n v="6426902"/>
    <m/>
    <x v="1"/>
    <n v="6426902"/>
  </r>
  <r>
    <x v="1"/>
    <x v="11"/>
    <x v="11"/>
    <x v="10"/>
    <s v="Regulación y supervisión"/>
    <x v="2"/>
    <x v="217"/>
    <x v="152"/>
    <x v="301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n v="0"/>
    <n v="0"/>
    <m/>
    <n v="300000"/>
    <m/>
    <x v="1"/>
    <n v="300000"/>
  </r>
  <r>
    <x v="1"/>
    <x v="11"/>
    <x v="11"/>
    <x v="10"/>
    <s v="Regulación y supervisión"/>
    <x v="2"/>
    <x v="217"/>
    <x v="169"/>
    <x v="31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984037"/>
    <n v="0"/>
    <n v="0"/>
    <n v="4984037"/>
    <n v="4688327"/>
    <m/>
    <x v="1"/>
    <n v="4688327"/>
  </r>
  <r>
    <x v="1"/>
    <x v="11"/>
    <x v="11"/>
    <x v="10"/>
    <s v="Regulación y supervisión"/>
    <x v="2"/>
    <x v="217"/>
    <x v="170"/>
    <x v="31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1735906"/>
    <n v="0"/>
    <n v="0"/>
    <n v="11735906"/>
    <n v="10849059"/>
    <m/>
    <x v="1"/>
    <n v="10849059"/>
  </r>
  <r>
    <x v="1"/>
    <x v="11"/>
    <x v="11"/>
    <x v="10"/>
    <s v="Regulación y supervisión"/>
    <x v="2"/>
    <x v="217"/>
    <x v="170"/>
    <x v="319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300000"/>
    <m/>
    <x v="1"/>
    <n v="300000"/>
  </r>
  <r>
    <x v="1"/>
    <x v="11"/>
    <x v="11"/>
    <x v="10"/>
    <s v="Regulación y supervisión"/>
    <x v="2"/>
    <x v="217"/>
    <x v="171"/>
    <x v="320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702143"/>
    <n v="0"/>
    <n v="0"/>
    <n v="3702143"/>
    <n v="3440286"/>
    <m/>
    <x v="1"/>
    <n v="3440286"/>
  </r>
  <r>
    <x v="1"/>
    <x v="11"/>
    <x v="11"/>
    <x v="10"/>
    <s v="Regulación y supervisión"/>
    <x v="2"/>
    <x v="217"/>
    <x v="171"/>
    <x v="320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n v="0"/>
    <n v="0"/>
    <m/>
    <n v="250000"/>
    <m/>
    <x v="1"/>
    <n v="250000"/>
  </r>
  <r>
    <x v="1"/>
    <x v="11"/>
    <x v="11"/>
    <x v="10"/>
    <s v="Regulación y supervisión"/>
    <x v="2"/>
    <x v="217"/>
    <x v="153"/>
    <x v="30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297504"/>
    <n v="0"/>
    <n v="-94482"/>
    <n v="4203022"/>
    <n v="4388359"/>
    <m/>
    <x v="1"/>
    <n v="4388359"/>
  </r>
  <r>
    <x v="1"/>
    <x v="11"/>
    <x v="11"/>
    <x v="10"/>
    <s v="Regulación y supervisión"/>
    <x v="2"/>
    <x v="217"/>
    <x v="153"/>
    <x v="302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400000"/>
    <m/>
    <x v="1"/>
    <n v="400000"/>
  </r>
  <r>
    <x v="1"/>
    <x v="11"/>
    <x v="11"/>
    <x v="10"/>
    <s v="Regulación y supervisión"/>
    <x v="2"/>
    <x v="217"/>
    <x v="172"/>
    <x v="32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0353416"/>
    <n v="0"/>
    <n v="0"/>
    <n v="10353416"/>
    <n v="10225159"/>
    <m/>
    <x v="1"/>
    <n v="10225159"/>
  </r>
  <r>
    <x v="1"/>
    <x v="11"/>
    <x v="11"/>
    <x v="10"/>
    <s v="Regulación y supervisión"/>
    <x v="2"/>
    <x v="217"/>
    <x v="172"/>
    <x v="321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420000"/>
    <m/>
    <x v="1"/>
    <n v="420000"/>
  </r>
  <r>
    <x v="1"/>
    <x v="11"/>
    <x v="11"/>
    <x v="10"/>
    <s v="Regulación y supervisión"/>
    <x v="2"/>
    <x v="217"/>
    <x v="154"/>
    <x v="30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9553113"/>
    <n v="0"/>
    <n v="0"/>
    <n v="9553113"/>
    <n v="9361585"/>
    <m/>
    <x v="1"/>
    <n v="9361585"/>
  </r>
  <r>
    <x v="1"/>
    <x v="11"/>
    <x v="11"/>
    <x v="10"/>
    <s v="Regulación y supervisión"/>
    <x v="2"/>
    <x v="217"/>
    <x v="154"/>
    <x v="303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00000"/>
    <n v="0"/>
    <n v="0"/>
    <n v="300000"/>
    <n v="120000"/>
    <m/>
    <x v="1"/>
    <n v="120000"/>
  </r>
  <r>
    <x v="1"/>
    <x v="11"/>
    <x v="11"/>
    <x v="10"/>
    <s v="Regulación y supervisión"/>
    <x v="2"/>
    <x v="217"/>
    <x v="173"/>
    <x v="32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7335875"/>
    <n v="0"/>
    <n v="-106878"/>
    <n v="7228997"/>
    <n v="7075479"/>
    <m/>
    <x v="1"/>
    <n v="7075479"/>
  </r>
  <r>
    <x v="1"/>
    <x v="11"/>
    <x v="11"/>
    <x v="10"/>
    <s v="Regulación y supervisión"/>
    <x v="2"/>
    <x v="217"/>
    <x v="173"/>
    <x v="322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300000"/>
    <m/>
    <x v="1"/>
    <n v="300000"/>
  </r>
  <r>
    <x v="1"/>
    <x v="11"/>
    <x v="11"/>
    <x v="10"/>
    <s v="Regulación y supervisión"/>
    <x v="2"/>
    <x v="217"/>
    <x v="174"/>
    <x v="32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324855"/>
    <n v="0"/>
    <n v="0"/>
    <n v="6324855"/>
    <n v="5465405"/>
    <m/>
    <x v="1"/>
    <n v="5465405"/>
  </r>
  <r>
    <x v="1"/>
    <x v="11"/>
    <x v="11"/>
    <x v="10"/>
    <s v="Regulación y supervisión"/>
    <x v="2"/>
    <x v="217"/>
    <x v="174"/>
    <x v="323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50000"/>
    <n v="0"/>
    <n v="0"/>
    <n v="150000"/>
    <m/>
    <m/>
    <x v="1"/>
    <n v="0"/>
  </r>
  <r>
    <x v="1"/>
    <x v="11"/>
    <x v="11"/>
    <x v="10"/>
    <s v="Regulación y supervisión"/>
    <x v="2"/>
    <x v="217"/>
    <x v="155"/>
    <x v="30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303853"/>
    <n v="0"/>
    <n v="0"/>
    <n v="3303853"/>
    <n v="3242009"/>
    <m/>
    <x v="1"/>
    <n v="3242009"/>
  </r>
  <r>
    <x v="1"/>
    <x v="11"/>
    <x v="11"/>
    <x v="10"/>
    <s v="Regulación y supervisión"/>
    <x v="2"/>
    <x v="217"/>
    <x v="155"/>
    <x v="30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200000"/>
    <n v="0"/>
    <n v="0"/>
    <n v="200000"/>
    <n v="300000"/>
    <m/>
    <x v="1"/>
    <n v="300000"/>
  </r>
  <r>
    <x v="1"/>
    <x v="11"/>
    <x v="11"/>
    <x v="10"/>
    <s v="Regulación y supervisión"/>
    <x v="2"/>
    <x v="217"/>
    <x v="175"/>
    <x v="32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7006083"/>
    <n v="0"/>
    <n v="0"/>
    <n v="7006083"/>
    <n v="6780361"/>
    <m/>
    <x v="1"/>
    <n v="6780361"/>
  </r>
  <r>
    <x v="1"/>
    <x v="11"/>
    <x v="11"/>
    <x v="10"/>
    <s v="Regulación y supervisión"/>
    <x v="2"/>
    <x v="217"/>
    <x v="175"/>
    <x v="32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500000"/>
    <n v="0"/>
    <n v="0"/>
    <n v="500000"/>
    <m/>
    <m/>
    <x v="1"/>
    <n v="0"/>
  </r>
  <r>
    <x v="1"/>
    <x v="11"/>
    <x v="11"/>
    <x v="10"/>
    <s v="Regulación y supervisión"/>
    <x v="2"/>
    <x v="217"/>
    <x v="176"/>
    <x v="32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2635345"/>
    <n v="0"/>
    <n v="0"/>
    <n v="12635345"/>
    <n v="12060996"/>
    <m/>
    <x v="1"/>
    <n v="12060996"/>
  </r>
  <r>
    <x v="1"/>
    <x v="11"/>
    <x v="11"/>
    <x v="10"/>
    <s v="Regulación y supervisión"/>
    <x v="2"/>
    <x v="217"/>
    <x v="176"/>
    <x v="32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200000"/>
    <m/>
    <x v="1"/>
    <n v="200000"/>
  </r>
  <r>
    <x v="1"/>
    <x v="11"/>
    <x v="11"/>
    <x v="10"/>
    <s v="Regulación y supervisión"/>
    <x v="2"/>
    <x v="217"/>
    <x v="156"/>
    <x v="30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670246"/>
    <n v="0"/>
    <n v="0"/>
    <n v="6670246"/>
    <n v="6466015"/>
    <m/>
    <x v="1"/>
    <n v="6466015"/>
  </r>
  <r>
    <x v="1"/>
    <x v="11"/>
    <x v="11"/>
    <x v="10"/>
    <s v="Regulación y supervisión"/>
    <x v="2"/>
    <x v="217"/>
    <x v="156"/>
    <x v="30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200000"/>
    <m/>
    <x v="1"/>
    <n v="200000"/>
  </r>
  <r>
    <x v="1"/>
    <x v="11"/>
    <x v="11"/>
    <x v="10"/>
    <s v="Regulación y supervisión"/>
    <x v="2"/>
    <x v="217"/>
    <x v="177"/>
    <x v="32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076320"/>
    <n v="0"/>
    <n v="0"/>
    <n v="5076320"/>
    <n v="4831817"/>
    <m/>
    <x v="1"/>
    <n v="4831817"/>
  </r>
  <r>
    <x v="1"/>
    <x v="11"/>
    <x v="11"/>
    <x v="10"/>
    <s v="Regulación y supervisión"/>
    <x v="2"/>
    <x v="217"/>
    <x v="177"/>
    <x v="32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800000"/>
    <m/>
    <x v="1"/>
    <n v="800000"/>
  </r>
  <r>
    <x v="1"/>
    <x v="11"/>
    <x v="11"/>
    <x v="10"/>
    <s v="Regulación y supervisión"/>
    <x v="2"/>
    <x v="217"/>
    <x v="157"/>
    <x v="30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5760196"/>
    <n v="0"/>
    <n v="0"/>
    <n v="15760196"/>
    <n v="15505222"/>
    <m/>
    <x v="1"/>
    <n v="15505222"/>
  </r>
  <r>
    <x v="1"/>
    <x v="11"/>
    <x v="11"/>
    <x v="10"/>
    <s v="Regulación y supervisión"/>
    <x v="2"/>
    <x v="217"/>
    <x v="157"/>
    <x v="30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05000"/>
    <n v="0"/>
    <n v="0"/>
    <n v="105000"/>
    <n v="410000"/>
    <m/>
    <x v="1"/>
    <n v="410000"/>
  </r>
  <r>
    <x v="1"/>
    <x v="11"/>
    <x v="11"/>
    <x v="10"/>
    <s v="Regulación y supervisión"/>
    <x v="2"/>
    <x v="217"/>
    <x v="178"/>
    <x v="32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699045"/>
    <n v="0"/>
    <n v="0"/>
    <n v="4699045"/>
    <n v="4703165"/>
    <m/>
    <x v="1"/>
    <n v="4703165"/>
  </r>
  <r>
    <x v="1"/>
    <x v="11"/>
    <x v="11"/>
    <x v="10"/>
    <s v="Regulación y supervisión"/>
    <x v="2"/>
    <x v="217"/>
    <x v="178"/>
    <x v="32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000000"/>
    <n v="0"/>
    <n v="0"/>
    <n v="3000000"/>
    <m/>
    <m/>
    <x v="1"/>
    <n v="0"/>
  </r>
  <r>
    <x v="1"/>
    <x v="11"/>
    <x v="11"/>
    <x v="10"/>
    <s v="Regulación y supervisión"/>
    <x v="2"/>
    <x v="217"/>
    <x v="158"/>
    <x v="30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3019730"/>
    <n v="0"/>
    <n v="0"/>
    <n v="23019730"/>
    <n v="20458999"/>
    <m/>
    <x v="1"/>
    <n v="20458999"/>
  </r>
  <r>
    <x v="1"/>
    <x v="11"/>
    <x v="11"/>
    <x v="10"/>
    <s v="Regulación y supervisión"/>
    <x v="2"/>
    <x v="217"/>
    <x v="158"/>
    <x v="30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050000"/>
    <n v="0"/>
    <n v="0"/>
    <n v="1050000"/>
    <n v="800000"/>
    <m/>
    <x v="1"/>
    <n v="800000"/>
  </r>
  <r>
    <x v="1"/>
    <x v="11"/>
    <x v="11"/>
    <x v="10"/>
    <s v="Regulación y supervisión"/>
    <x v="2"/>
    <x v="217"/>
    <x v="159"/>
    <x v="30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8266453"/>
    <n v="0"/>
    <n v="0"/>
    <n v="8266453"/>
    <n v="7251728"/>
    <m/>
    <x v="1"/>
    <n v="7251728"/>
  </r>
  <r>
    <x v="1"/>
    <x v="11"/>
    <x v="11"/>
    <x v="10"/>
    <s v="Regulación y supervisión"/>
    <x v="2"/>
    <x v="217"/>
    <x v="159"/>
    <x v="30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00000"/>
    <n v="0"/>
    <n v="0"/>
    <n v="100000"/>
    <n v="100000"/>
    <m/>
    <x v="1"/>
    <n v="100000"/>
  </r>
  <r>
    <x v="1"/>
    <x v="11"/>
    <x v="11"/>
    <x v="10"/>
    <s v="Regulación y supervisión"/>
    <x v="2"/>
    <x v="217"/>
    <x v="179"/>
    <x v="32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774539"/>
    <n v="0"/>
    <n v="0"/>
    <n v="2774539"/>
    <n v="2453171"/>
    <m/>
    <x v="1"/>
    <n v="2453171"/>
  </r>
  <r>
    <x v="1"/>
    <x v="11"/>
    <x v="11"/>
    <x v="10"/>
    <s v="Regulación y supervisión"/>
    <x v="3"/>
    <x v="218"/>
    <x v="53"/>
    <x v="329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337538086"/>
    <n v="0"/>
    <n v="-1187233"/>
    <n v="336350853"/>
    <n v="386520368"/>
    <m/>
    <x v="1"/>
    <n v="386520368"/>
  </r>
  <r>
    <x v="1"/>
    <x v="11"/>
    <x v="11"/>
    <x v="10"/>
    <s v="Regulación y supervisión"/>
    <x v="3"/>
    <x v="218"/>
    <x v="53"/>
    <x v="329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73069182"/>
    <n v="0"/>
    <n v="0"/>
    <n v="73069182"/>
    <n v="336844610"/>
    <m/>
    <x v="1"/>
    <n v="336844610"/>
  </r>
  <r>
    <x v="1"/>
    <x v="11"/>
    <x v="11"/>
    <x v="10"/>
    <s v="Regulación y supervisión"/>
    <x v="3"/>
    <x v="218"/>
    <x v="54"/>
    <x v="330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62189032"/>
    <n v="0"/>
    <n v="-694195"/>
    <n v="61494837"/>
    <n v="61400824"/>
    <m/>
    <x v="1"/>
    <n v="61400824"/>
  </r>
  <r>
    <x v="1"/>
    <x v="11"/>
    <x v="11"/>
    <x v="10"/>
    <s v="Regulación y supervisión"/>
    <x v="3"/>
    <x v="218"/>
    <x v="54"/>
    <x v="330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0"/>
    <m/>
    <n v="1160000000"/>
    <n v="0"/>
    <n v="0"/>
    <n v="1160000000"/>
    <m/>
    <m/>
    <x v="1"/>
    <n v="0"/>
  </r>
  <r>
    <x v="1"/>
    <x v="11"/>
    <x v="11"/>
    <x v="10"/>
    <s v="Regulación y supervisión"/>
    <x v="3"/>
    <x v="218"/>
    <x v="55"/>
    <x v="29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03198215"/>
    <n v="0"/>
    <n v="-1992466"/>
    <n v="201205749"/>
    <n v="169112547"/>
    <m/>
    <x v="1"/>
    <n v="169112547"/>
  </r>
  <r>
    <x v="1"/>
    <x v="11"/>
    <x v="11"/>
    <x v="10"/>
    <s v="Regulación y supervisión"/>
    <x v="3"/>
    <x v="218"/>
    <x v="55"/>
    <x v="29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970000"/>
    <n v="0"/>
    <n v="0"/>
    <n v="4970000"/>
    <n v="125346876"/>
    <m/>
    <x v="1"/>
    <n v="125346876"/>
  </r>
  <r>
    <x v="1"/>
    <x v="11"/>
    <x v="11"/>
    <x v="10"/>
    <s v="Regulación y supervisión"/>
    <x v="3"/>
    <x v="218"/>
    <x v="59"/>
    <x v="331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50036142"/>
    <n v="0"/>
    <n v="-681559"/>
    <n v="49354583"/>
    <n v="48238056"/>
    <m/>
    <x v="1"/>
    <n v="48238056"/>
  </r>
  <r>
    <x v="1"/>
    <x v="11"/>
    <x v="11"/>
    <x v="10"/>
    <s v="Regulación y supervisión"/>
    <x v="3"/>
    <x v="218"/>
    <x v="59"/>
    <x v="331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n v="490000"/>
    <n v="0"/>
    <n v="0"/>
    <n v="490000"/>
    <n v="360000"/>
    <m/>
    <x v="1"/>
    <n v="360000"/>
  </r>
  <r>
    <x v="1"/>
    <x v="11"/>
    <x v="11"/>
    <x v="10"/>
    <s v="Regulación y supervisión"/>
    <x v="3"/>
    <x v="218"/>
    <x v="85"/>
    <x v="295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38874054"/>
    <n v="0"/>
    <n v="-868688"/>
    <n v="138005366"/>
    <n v="126562766"/>
    <m/>
    <x v="1"/>
    <n v="126562766"/>
  </r>
  <r>
    <x v="1"/>
    <x v="11"/>
    <x v="11"/>
    <x v="10"/>
    <s v="Regulación y supervisión"/>
    <x v="3"/>
    <x v="218"/>
    <x v="85"/>
    <x v="295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n v="21183608"/>
    <n v="0"/>
    <n v="0"/>
    <n v="21183608"/>
    <n v="42389500"/>
    <m/>
    <x v="1"/>
    <n v="42389500"/>
  </r>
  <r>
    <x v="1"/>
    <x v="11"/>
    <x v="11"/>
    <x v="10"/>
    <s v="Regulación y supervisión"/>
    <x v="3"/>
    <x v="218"/>
    <x v="162"/>
    <x v="311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972603"/>
    <n v="0"/>
    <n v="0"/>
    <n v="1972603"/>
    <n v="1436070"/>
    <m/>
    <x v="1"/>
    <n v="1436070"/>
  </r>
  <r>
    <x v="1"/>
    <x v="11"/>
    <x v="11"/>
    <x v="10"/>
    <s v="Regulación y supervisión"/>
    <x v="3"/>
    <x v="218"/>
    <x v="162"/>
    <x v="311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245000"/>
    <n v="0"/>
    <n v="0"/>
    <n v="245000"/>
    <n v="762500"/>
    <m/>
    <x v="1"/>
    <n v="762500"/>
  </r>
  <r>
    <x v="1"/>
    <x v="11"/>
    <x v="11"/>
    <x v="10"/>
    <s v="Regulación y supervisión"/>
    <x v="3"/>
    <x v="218"/>
    <x v="162"/>
    <x v="311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829986"/>
    <n v="0"/>
    <n v="-106878"/>
    <n v="723108"/>
    <n v="823374"/>
    <m/>
    <x v="1"/>
    <n v="823374"/>
  </r>
  <r>
    <x v="1"/>
    <x v="11"/>
    <x v="11"/>
    <x v="10"/>
    <s v="Regulación y supervisión"/>
    <x v="3"/>
    <x v="218"/>
    <x v="162"/>
    <x v="31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789370"/>
    <n v="0"/>
    <n v="-197892"/>
    <n v="4591478"/>
    <n v="4408403"/>
    <m/>
    <x v="1"/>
    <n v="4408403"/>
  </r>
  <r>
    <x v="1"/>
    <x v="11"/>
    <x v="11"/>
    <x v="10"/>
    <s v="Regulación y supervisión"/>
    <x v="3"/>
    <x v="218"/>
    <x v="162"/>
    <x v="311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2062000"/>
    <n v="0"/>
    <n v="0"/>
    <n v="2062000"/>
    <m/>
    <m/>
    <x v="1"/>
    <n v="0"/>
  </r>
  <r>
    <x v="1"/>
    <x v="11"/>
    <x v="11"/>
    <x v="10"/>
    <s v="Regulación y supervisión"/>
    <x v="3"/>
    <x v="218"/>
    <x v="147"/>
    <x v="296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3653172"/>
    <n v="0"/>
    <n v="-532621"/>
    <n v="13120551"/>
    <n v="12773840"/>
    <m/>
    <x v="1"/>
    <n v="12773840"/>
  </r>
  <r>
    <x v="1"/>
    <x v="11"/>
    <x v="11"/>
    <x v="10"/>
    <s v="Regulación y supervisión"/>
    <x v="3"/>
    <x v="218"/>
    <x v="147"/>
    <x v="296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5001502"/>
    <n v="0"/>
    <n v="0"/>
    <n v="5001502"/>
    <n v="4175895"/>
    <m/>
    <x v="1"/>
    <n v="4175895"/>
  </r>
  <r>
    <x v="1"/>
    <x v="11"/>
    <x v="11"/>
    <x v="10"/>
    <s v="Regulación y supervisión"/>
    <x v="3"/>
    <x v="218"/>
    <x v="147"/>
    <x v="296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824400"/>
    <n v="0"/>
    <n v="0"/>
    <n v="824400"/>
    <n v="1179700"/>
    <m/>
    <x v="1"/>
    <n v="1179700"/>
  </r>
  <r>
    <x v="1"/>
    <x v="11"/>
    <x v="11"/>
    <x v="10"/>
    <s v="Regulación y supervisión"/>
    <x v="3"/>
    <x v="218"/>
    <x v="147"/>
    <x v="296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781848"/>
    <n v="0"/>
    <n v="0"/>
    <n v="781848"/>
    <n v="830050"/>
    <m/>
    <x v="1"/>
    <n v="830050"/>
  </r>
  <r>
    <x v="1"/>
    <x v="11"/>
    <x v="11"/>
    <x v="10"/>
    <s v="Regulación y supervisión"/>
    <x v="3"/>
    <x v="218"/>
    <x v="147"/>
    <x v="29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6698799"/>
    <n v="0"/>
    <n v="-108764"/>
    <n v="16590035"/>
    <n v="14835272"/>
    <m/>
    <x v="1"/>
    <n v="14835272"/>
  </r>
  <r>
    <x v="1"/>
    <x v="11"/>
    <x v="11"/>
    <x v="10"/>
    <s v="Regulación y supervisión"/>
    <x v="3"/>
    <x v="218"/>
    <x v="147"/>
    <x v="29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484750"/>
    <n v="0"/>
    <n v="0"/>
    <n v="3484750"/>
    <m/>
    <m/>
    <x v="1"/>
    <n v="0"/>
  </r>
  <r>
    <x v="1"/>
    <x v="11"/>
    <x v="11"/>
    <x v="10"/>
    <s v="Regulación y supervisión"/>
    <x v="3"/>
    <x v="218"/>
    <x v="148"/>
    <x v="297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8931935"/>
    <n v="0"/>
    <n v="-1034890"/>
    <n v="17897045"/>
    <n v="22667915"/>
    <m/>
    <x v="1"/>
    <n v="22667915"/>
  </r>
  <r>
    <x v="1"/>
    <x v="11"/>
    <x v="11"/>
    <x v="10"/>
    <s v="Regulación y supervisión"/>
    <x v="3"/>
    <x v="218"/>
    <x v="148"/>
    <x v="297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5516100"/>
    <n v="0"/>
    <n v="0"/>
    <n v="5516100"/>
    <n v="4662829"/>
    <m/>
    <x v="1"/>
    <n v="4662829"/>
  </r>
  <r>
    <x v="1"/>
    <x v="11"/>
    <x v="11"/>
    <x v="10"/>
    <s v="Regulación y supervisión"/>
    <x v="3"/>
    <x v="218"/>
    <x v="148"/>
    <x v="297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437500"/>
    <n v="0"/>
    <n v="0"/>
    <n v="437500"/>
    <n v="1207500"/>
    <m/>
    <x v="1"/>
    <n v="1207500"/>
  </r>
  <r>
    <x v="1"/>
    <x v="11"/>
    <x v="11"/>
    <x v="10"/>
    <s v="Regulación y supervisión"/>
    <x v="3"/>
    <x v="218"/>
    <x v="148"/>
    <x v="29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056965"/>
    <n v="0"/>
    <n v="-308312"/>
    <n v="4748653"/>
    <n v="4077661"/>
    <m/>
    <x v="1"/>
    <n v="4077661"/>
  </r>
  <r>
    <x v="1"/>
    <x v="11"/>
    <x v="11"/>
    <x v="10"/>
    <s v="Regulación y supervisión"/>
    <x v="3"/>
    <x v="218"/>
    <x v="148"/>
    <x v="29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83600"/>
    <n v="0"/>
    <n v="0"/>
    <n v="83600"/>
    <m/>
    <m/>
    <x v="1"/>
    <n v="0"/>
  </r>
  <r>
    <x v="1"/>
    <x v="11"/>
    <x v="11"/>
    <x v="10"/>
    <s v="Regulación y supervisión"/>
    <x v="3"/>
    <x v="218"/>
    <x v="149"/>
    <x v="298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0473320"/>
    <n v="0"/>
    <n v="-202909"/>
    <n v="10270411"/>
    <n v="8941262"/>
    <m/>
    <x v="1"/>
    <n v="8941262"/>
  </r>
  <r>
    <x v="1"/>
    <x v="11"/>
    <x v="11"/>
    <x v="10"/>
    <s v="Regulación y supervisión"/>
    <x v="3"/>
    <x v="218"/>
    <x v="149"/>
    <x v="298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2439446"/>
    <n v="0"/>
    <n v="-100928"/>
    <n v="2338518"/>
    <n v="1767430"/>
    <m/>
    <x v="1"/>
    <n v="1767430"/>
  </r>
  <r>
    <x v="1"/>
    <x v="11"/>
    <x v="11"/>
    <x v="10"/>
    <s v="Regulación y supervisión"/>
    <x v="3"/>
    <x v="218"/>
    <x v="149"/>
    <x v="298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446500"/>
    <n v="0"/>
    <n v="0"/>
    <n v="446500"/>
    <n v="203000"/>
    <m/>
    <x v="1"/>
    <n v="203000"/>
  </r>
  <r>
    <x v="1"/>
    <x v="11"/>
    <x v="11"/>
    <x v="10"/>
    <s v="Regulación y supervisión"/>
    <x v="3"/>
    <x v="218"/>
    <x v="149"/>
    <x v="298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913163"/>
    <n v="0"/>
    <n v="0"/>
    <n v="913163"/>
    <n v="912248"/>
    <m/>
    <x v="1"/>
    <n v="912248"/>
  </r>
  <r>
    <x v="1"/>
    <x v="11"/>
    <x v="11"/>
    <x v="10"/>
    <s v="Regulación y supervisión"/>
    <x v="3"/>
    <x v="218"/>
    <x v="149"/>
    <x v="29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763628"/>
    <n v="0"/>
    <n v="-94145"/>
    <n v="3669483"/>
    <n v="3482735"/>
    <m/>
    <x v="1"/>
    <n v="3482735"/>
  </r>
  <r>
    <x v="1"/>
    <x v="11"/>
    <x v="11"/>
    <x v="10"/>
    <s v="Regulación y supervisión"/>
    <x v="3"/>
    <x v="218"/>
    <x v="149"/>
    <x v="29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25000"/>
    <n v="0"/>
    <n v="0"/>
    <n v="325000"/>
    <m/>
    <m/>
    <x v="1"/>
    <n v="0"/>
  </r>
  <r>
    <x v="1"/>
    <x v="11"/>
    <x v="11"/>
    <x v="10"/>
    <s v="Regulación y supervisión"/>
    <x v="3"/>
    <x v="218"/>
    <x v="163"/>
    <x v="312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6180625"/>
    <n v="0"/>
    <n v="0"/>
    <n v="6180625"/>
    <n v="7260419"/>
    <m/>
    <x v="1"/>
    <n v="7260419"/>
  </r>
  <r>
    <x v="1"/>
    <x v="11"/>
    <x v="11"/>
    <x v="10"/>
    <s v="Regulación y supervisión"/>
    <x v="3"/>
    <x v="218"/>
    <x v="163"/>
    <x v="312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487600"/>
    <n v="0"/>
    <n v="0"/>
    <n v="487600"/>
    <n v="3833600"/>
    <m/>
    <x v="1"/>
    <n v="3833600"/>
  </r>
  <r>
    <x v="1"/>
    <x v="11"/>
    <x v="11"/>
    <x v="10"/>
    <s v="Regulación y supervisión"/>
    <x v="3"/>
    <x v="218"/>
    <x v="163"/>
    <x v="312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1510441"/>
    <n v="0"/>
    <n v="-94482"/>
    <n v="1415959"/>
    <n v="1367605"/>
    <m/>
    <x v="1"/>
    <n v="1367605"/>
  </r>
  <r>
    <x v="1"/>
    <x v="11"/>
    <x v="11"/>
    <x v="10"/>
    <s v="Regulación y supervisión"/>
    <x v="3"/>
    <x v="218"/>
    <x v="163"/>
    <x v="31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6293575"/>
    <n v="0"/>
    <n v="-392521"/>
    <n v="15901054"/>
    <n v="16389950"/>
    <m/>
    <x v="1"/>
    <n v="16389950"/>
  </r>
  <r>
    <x v="1"/>
    <x v="11"/>
    <x v="11"/>
    <x v="10"/>
    <s v="Regulación y supervisión"/>
    <x v="3"/>
    <x v="218"/>
    <x v="163"/>
    <x v="312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209000"/>
    <n v="0"/>
    <n v="0"/>
    <n v="209000"/>
    <m/>
    <m/>
    <x v="1"/>
    <n v="0"/>
  </r>
  <r>
    <x v="1"/>
    <x v="11"/>
    <x v="11"/>
    <x v="10"/>
    <s v="Regulación y supervisión"/>
    <x v="3"/>
    <x v="218"/>
    <x v="164"/>
    <x v="313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8383647"/>
    <n v="0"/>
    <n v="-519056"/>
    <n v="7864591"/>
    <n v="7870900"/>
    <m/>
    <x v="1"/>
    <n v="7870900"/>
  </r>
  <r>
    <x v="1"/>
    <x v="11"/>
    <x v="11"/>
    <x v="10"/>
    <s v="Regulación y supervisión"/>
    <x v="3"/>
    <x v="218"/>
    <x v="164"/>
    <x v="313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3378152"/>
    <n v="0"/>
    <n v="0"/>
    <n v="3378152"/>
    <n v="2634153"/>
    <m/>
    <x v="1"/>
    <n v="2634153"/>
  </r>
  <r>
    <x v="1"/>
    <x v="11"/>
    <x v="11"/>
    <x v="10"/>
    <s v="Regulación y supervisión"/>
    <x v="3"/>
    <x v="218"/>
    <x v="164"/>
    <x v="313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92000"/>
    <n v="0"/>
    <n v="0"/>
    <n v="92000"/>
    <n v="68000"/>
    <m/>
    <x v="1"/>
    <n v="68000"/>
  </r>
  <r>
    <x v="1"/>
    <x v="11"/>
    <x v="11"/>
    <x v="10"/>
    <s v="Regulación y supervisión"/>
    <x v="3"/>
    <x v="218"/>
    <x v="164"/>
    <x v="313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576829"/>
    <n v="0"/>
    <n v="0"/>
    <n v="576829"/>
    <n v="610984"/>
    <m/>
    <x v="1"/>
    <n v="610984"/>
  </r>
  <r>
    <x v="1"/>
    <x v="11"/>
    <x v="11"/>
    <x v="10"/>
    <s v="Regulación y supervisión"/>
    <x v="3"/>
    <x v="218"/>
    <x v="164"/>
    <x v="313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0"/>
    <m/>
    <m/>
    <m/>
    <m/>
    <m/>
    <n v="50000000"/>
    <m/>
    <x v="1"/>
    <n v="50000000"/>
  </r>
  <r>
    <x v="1"/>
    <x v="11"/>
    <x v="11"/>
    <x v="10"/>
    <s v="Regulación y supervisión"/>
    <x v="3"/>
    <x v="218"/>
    <x v="164"/>
    <x v="31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291611"/>
    <n v="0"/>
    <n v="-302288"/>
    <n v="5989323"/>
    <n v="5651995"/>
    <m/>
    <x v="1"/>
    <n v="5651995"/>
  </r>
  <r>
    <x v="1"/>
    <x v="11"/>
    <x v="11"/>
    <x v="10"/>
    <s v="Regulación y supervisión"/>
    <x v="3"/>
    <x v="218"/>
    <x v="164"/>
    <x v="313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673000"/>
    <n v="0"/>
    <n v="0"/>
    <n v="673000"/>
    <m/>
    <m/>
    <x v="1"/>
    <n v="0"/>
  </r>
  <r>
    <x v="1"/>
    <x v="11"/>
    <x v="11"/>
    <x v="10"/>
    <s v="Regulación y supervisión"/>
    <x v="3"/>
    <x v="218"/>
    <x v="150"/>
    <x v="299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6194769"/>
    <n v="0"/>
    <n v="-528145"/>
    <n v="5666624"/>
    <n v="4543361"/>
    <m/>
    <x v="1"/>
    <n v="4543361"/>
  </r>
  <r>
    <x v="1"/>
    <x v="11"/>
    <x v="11"/>
    <x v="10"/>
    <s v="Regulación y supervisión"/>
    <x v="3"/>
    <x v="218"/>
    <x v="150"/>
    <x v="299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5355377"/>
    <n v="0"/>
    <n v="-94145"/>
    <n v="5261232"/>
    <n v="5235520"/>
    <m/>
    <x v="1"/>
    <n v="5235520"/>
  </r>
  <r>
    <x v="1"/>
    <x v="11"/>
    <x v="11"/>
    <x v="10"/>
    <s v="Regulación y supervisión"/>
    <x v="3"/>
    <x v="218"/>
    <x v="150"/>
    <x v="299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3918400"/>
    <n v="0"/>
    <n v="0"/>
    <n v="3918400"/>
    <n v="1641400"/>
    <m/>
    <x v="1"/>
    <n v="1641400"/>
  </r>
  <r>
    <x v="1"/>
    <x v="11"/>
    <x v="11"/>
    <x v="10"/>
    <s v="Regulación y supervisión"/>
    <x v="3"/>
    <x v="218"/>
    <x v="150"/>
    <x v="299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893819"/>
    <n v="0"/>
    <n v="0"/>
    <n v="893819"/>
    <n v="915207"/>
    <m/>
    <x v="1"/>
    <n v="915207"/>
  </r>
  <r>
    <x v="1"/>
    <x v="11"/>
    <x v="11"/>
    <x v="10"/>
    <s v="Regulación y supervisión"/>
    <x v="3"/>
    <x v="218"/>
    <x v="150"/>
    <x v="29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532100"/>
    <n v="0"/>
    <n v="-209691"/>
    <n v="5322409"/>
    <n v="6057820"/>
    <m/>
    <x v="1"/>
    <n v="6057820"/>
  </r>
  <r>
    <x v="1"/>
    <x v="11"/>
    <x v="11"/>
    <x v="10"/>
    <s v="Regulación y supervisión"/>
    <x v="3"/>
    <x v="218"/>
    <x v="150"/>
    <x v="299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33800"/>
    <n v="0"/>
    <n v="0"/>
    <n v="333800"/>
    <n v="1000000"/>
    <m/>
    <x v="1"/>
    <n v="1000000"/>
  </r>
  <r>
    <x v="1"/>
    <x v="11"/>
    <x v="11"/>
    <x v="10"/>
    <s v="Regulación y supervisión"/>
    <x v="3"/>
    <x v="218"/>
    <x v="165"/>
    <x v="314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4395421"/>
    <n v="0"/>
    <n v="-195073"/>
    <n v="4200348"/>
    <n v="3244291"/>
    <m/>
    <x v="1"/>
    <n v="3244291"/>
  </r>
  <r>
    <x v="1"/>
    <x v="11"/>
    <x v="11"/>
    <x v="10"/>
    <s v="Regulación y supervisión"/>
    <x v="3"/>
    <x v="218"/>
    <x v="165"/>
    <x v="314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314468"/>
    <n v="0"/>
    <n v="0"/>
    <n v="314468"/>
    <n v="333000"/>
    <m/>
    <x v="1"/>
    <n v="333000"/>
  </r>
  <r>
    <x v="1"/>
    <x v="11"/>
    <x v="11"/>
    <x v="10"/>
    <s v="Regulación y supervisión"/>
    <x v="3"/>
    <x v="218"/>
    <x v="165"/>
    <x v="314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1777032"/>
    <n v="0"/>
    <n v="-94482"/>
    <n v="1682550"/>
    <n v="1648446"/>
    <m/>
    <x v="1"/>
    <n v="1648446"/>
  </r>
  <r>
    <x v="1"/>
    <x v="11"/>
    <x v="11"/>
    <x v="10"/>
    <s v="Regulación y supervisión"/>
    <x v="3"/>
    <x v="218"/>
    <x v="165"/>
    <x v="31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9568849"/>
    <n v="0"/>
    <n v="-386160"/>
    <n v="9182689"/>
    <n v="8963690"/>
    <m/>
    <x v="1"/>
    <n v="8963690"/>
  </r>
  <r>
    <x v="1"/>
    <x v="11"/>
    <x v="11"/>
    <x v="10"/>
    <s v="Regulación y supervisión"/>
    <x v="3"/>
    <x v="218"/>
    <x v="165"/>
    <x v="31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2227900"/>
    <n v="0"/>
    <n v="0"/>
    <n v="2227900"/>
    <m/>
    <m/>
    <x v="1"/>
    <n v="0"/>
  </r>
  <r>
    <x v="1"/>
    <x v="11"/>
    <x v="11"/>
    <x v="10"/>
    <s v="Regulación y supervisión"/>
    <x v="3"/>
    <x v="218"/>
    <x v="166"/>
    <x v="315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686487"/>
    <n v="0"/>
    <n v="0"/>
    <n v="1686487"/>
    <n v="1553176"/>
    <m/>
    <x v="1"/>
    <n v="1553176"/>
  </r>
  <r>
    <x v="1"/>
    <x v="11"/>
    <x v="11"/>
    <x v="10"/>
    <s v="Regulación y supervisión"/>
    <x v="3"/>
    <x v="218"/>
    <x v="166"/>
    <x v="315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86250"/>
    <n v="0"/>
    <n v="0"/>
    <n v="86250"/>
    <n v="240000"/>
    <m/>
    <x v="1"/>
    <n v="240000"/>
  </r>
  <r>
    <x v="1"/>
    <x v="11"/>
    <x v="11"/>
    <x v="10"/>
    <s v="Regulación y supervisión"/>
    <x v="3"/>
    <x v="218"/>
    <x v="166"/>
    <x v="315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622245"/>
    <n v="0"/>
    <n v="0"/>
    <n v="622245"/>
    <n v="832850"/>
    <m/>
    <x v="1"/>
    <n v="832850"/>
  </r>
  <r>
    <x v="1"/>
    <x v="11"/>
    <x v="11"/>
    <x v="10"/>
    <s v="Regulación y supervisión"/>
    <x v="3"/>
    <x v="218"/>
    <x v="166"/>
    <x v="31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212417"/>
    <n v="0"/>
    <n v="-203340"/>
    <n v="5009077"/>
    <n v="5482122"/>
    <m/>
    <x v="1"/>
    <n v="5482122"/>
  </r>
  <r>
    <x v="1"/>
    <x v="11"/>
    <x v="11"/>
    <x v="10"/>
    <s v="Regulación y supervisión"/>
    <x v="3"/>
    <x v="218"/>
    <x v="166"/>
    <x v="31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2000"/>
    <n v="0"/>
    <n v="0"/>
    <n v="42000"/>
    <m/>
    <m/>
    <x v="1"/>
    <n v="0"/>
  </r>
  <r>
    <x v="1"/>
    <x v="11"/>
    <x v="11"/>
    <x v="10"/>
    <s v="Regulación y supervisión"/>
    <x v="3"/>
    <x v="218"/>
    <x v="167"/>
    <x v="316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3500966"/>
    <n v="0"/>
    <n v="-106878"/>
    <n v="3394088"/>
    <n v="2733585"/>
    <m/>
    <x v="1"/>
    <n v="2733585"/>
  </r>
  <r>
    <x v="1"/>
    <x v="11"/>
    <x v="11"/>
    <x v="10"/>
    <s v="Regulación y supervisión"/>
    <x v="3"/>
    <x v="218"/>
    <x v="167"/>
    <x v="316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250000"/>
    <n v="0"/>
    <n v="0"/>
    <n v="1250000"/>
    <n v="982500"/>
    <m/>
    <x v="1"/>
    <n v="982500"/>
  </r>
  <r>
    <x v="1"/>
    <x v="11"/>
    <x v="11"/>
    <x v="10"/>
    <s v="Regulación y supervisión"/>
    <x v="3"/>
    <x v="218"/>
    <x v="167"/>
    <x v="316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724151"/>
    <n v="0"/>
    <n v="-94482"/>
    <n v="629669"/>
    <n v="718136"/>
    <m/>
    <x v="1"/>
    <n v="718136"/>
  </r>
  <r>
    <x v="1"/>
    <x v="11"/>
    <x v="11"/>
    <x v="10"/>
    <s v="Regulación y supervisión"/>
    <x v="3"/>
    <x v="218"/>
    <x v="167"/>
    <x v="316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0"/>
    <m/>
    <n v="523560000"/>
    <n v="0"/>
    <n v="0"/>
    <n v="523560000"/>
    <m/>
    <m/>
    <x v="1"/>
    <n v="0"/>
  </r>
  <r>
    <x v="1"/>
    <x v="11"/>
    <x v="11"/>
    <x v="10"/>
    <s v="Regulación y supervisión"/>
    <x v="3"/>
    <x v="218"/>
    <x v="167"/>
    <x v="31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716888"/>
    <n v="0"/>
    <n v="-483666"/>
    <n v="5233222"/>
    <n v="5188166"/>
    <m/>
    <x v="1"/>
    <n v="5188166"/>
  </r>
  <r>
    <x v="1"/>
    <x v="11"/>
    <x v="11"/>
    <x v="10"/>
    <s v="Regulación y supervisión"/>
    <x v="3"/>
    <x v="218"/>
    <x v="167"/>
    <x v="31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614000"/>
    <n v="0"/>
    <n v="0"/>
    <n v="4614000"/>
    <m/>
    <m/>
    <x v="1"/>
    <n v="0"/>
  </r>
  <r>
    <x v="1"/>
    <x v="11"/>
    <x v="11"/>
    <x v="10"/>
    <s v="Regulación y supervisión"/>
    <x v="3"/>
    <x v="218"/>
    <x v="151"/>
    <x v="300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1152117"/>
    <n v="0"/>
    <n v="-311672"/>
    <n v="10840445"/>
    <n v="8924546"/>
    <m/>
    <x v="1"/>
    <n v="8924546"/>
  </r>
  <r>
    <x v="1"/>
    <x v="11"/>
    <x v="11"/>
    <x v="10"/>
    <s v="Regulación y supervisión"/>
    <x v="3"/>
    <x v="218"/>
    <x v="151"/>
    <x v="300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2673561"/>
    <n v="0"/>
    <n v="0"/>
    <n v="2673561"/>
    <n v="2271743"/>
    <m/>
    <x v="1"/>
    <n v="2271743"/>
  </r>
  <r>
    <x v="1"/>
    <x v="11"/>
    <x v="11"/>
    <x v="10"/>
    <s v="Regulación y supervisión"/>
    <x v="3"/>
    <x v="218"/>
    <x v="151"/>
    <x v="300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047400"/>
    <n v="0"/>
    <n v="0"/>
    <n v="1047400"/>
    <n v="344500"/>
    <m/>
    <x v="1"/>
    <n v="344500"/>
  </r>
  <r>
    <x v="1"/>
    <x v="11"/>
    <x v="11"/>
    <x v="10"/>
    <s v="Regulación y supervisión"/>
    <x v="3"/>
    <x v="218"/>
    <x v="151"/>
    <x v="300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8640863"/>
    <n v="0"/>
    <n v="-203245"/>
    <n v="8437618"/>
    <n v="8485652"/>
    <m/>
    <x v="1"/>
    <n v="8485652"/>
  </r>
  <r>
    <x v="1"/>
    <x v="11"/>
    <x v="11"/>
    <x v="10"/>
    <s v="Regulación y supervisión"/>
    <x v="3"/>
    <x v="218"/>
    <x v="151"/>
    <x v="300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9207000"/>
    <n v="0"/>
    <n v="0"/>
    <n v="9207000"/>
    <n v="3200000"/>
    <m/>
    <x v="1"/>
    <n v="3200000"/>
  </r>
  <r>
    <x v="1"/>
    <x v="11"/>
    <x v="11"/>
    <x v="10"/>
    <s v="Regulación y supervisión"/>
    <x v="3"/>
    <x v="218"/>
    <x v="168"/>
    <x v="317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141752"/>
    <n v="0"/>
    <n v="0"/>
    <n v="1141752"/>
    <n v="1027484"/>
    <m/>
    <x v="1"/>
    <n v="1027484"/>
  </r>
  <r>
    <x v="1"/>
    <x v="11"/>
    <x v="11"/>
    <x v="10"/>
    <s v="Regulación y supervisión"/>
    <x v="3"/>
    <x v="218"/>
    <x v="168"/>
    <x v="317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205800"/>
    <n v="0"/>
    <n v="0"/>
    <n v="205800"/>
    <n v="394500"/>
    <m/>
    <x v="1"/>
    <n v="394500"/>
  </r>
  <r>
    <x v="1"/>
    <x v="11"/>
    <x v="11"/>
    <x v="10"/>
    <s v="Regulación y supervisión"/>
    <x v="3"/>
    <x v="218"/>
    <x v="168"/>
    <x v="317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1024694"/>
    <n v="0"/>
    <n v="0"/>
    <n v="1024694"/>
    <n v="1096675"/>
    <m/>
    <x v="1"/>
    <n v="1096675"/>
  </r>
  <r>
    <x v="1"/>
    <x v="11"/>
    <x v="11"/>
    <x v="10"/>
    <s v="Regulación y supervisión"/>
    <x v="3"/>
    <x v="218"/>
    <x v="168"/>
    <x v="31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811504"/>
    <n v="0"/>
    <n v="-208548"/>
    <n v="5602956"/>
    <n v="5567392"/>
    <m/>
    <x v="1"/>
    <n v="5567392"/>
  </r>
  <r>
    <x v="1"/>
    <x v="11"/>
    <x v="11"/>
    <x v="10"/>
    <s v="Regulación y supervisión"/>
    <x v="3"/>
    <x v="218"/>
    <x v="168"/>
    <x v="31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54876"/>
    <n v="0"/>
    <n v="0"/>
    <n v="354876"/>
    <m/>
    <m/>
    <x v="1"/>
    <n v="0"/>
  </r>
  <r>
    <x v="1"/>
    <x v="11"/>
    <x v="11"/>
    <x v="10"/>
    <s v="Regulación y supervisión"/>
    <x v="3"/>
    <x v="218"/>
    <x v="152"/>
    <x v="301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7890522"/>
    <n v="0"/>
    <n v="0"/>
    <n v="7890522"/>
    <n v="6952986"/>
    <m/>
    <x v="1"/>
    <n v="6952986"/>
  </r>
  <r>
    <x v="1"/>
    <x v="11"/>
    <x v="11"/>
    <x v="10"/>
    <s v="Regulación y supervisión"/>
    <x v="3"/>
    <x v="218"/>
    <x v="152"/>
    <x v="301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5793210"/>
    <n v="0"/>
    <n v="0"/>
    <n v="5793210"/>
    <n v="4674931"/>
    <m/>
    <x v="1"/>
    <n v="4674931"/>
  </r>
  <r>
    <x v="1"/>
    <x v="11"/>
    <x v="11"/>
    <x v="10"/>
    <s v="Regulación y supervisión"/>
    <x v="3"/>
    <x v="218"/>
    <x v="152"/>
    <x v="301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2021800"/>
    <n v="0"/>
    <n v="0"/>
    <n v="2021800"/>
    <n v="3035700"/>
    <m/>
    <x v="1"/>
    <n v="3035700"/>
  </r>
  <r>
    <x v="1"/>
    <x v="11"/>
    <x v="11"/>
    <x v="10"/>
    <s v="Regulación y supervisión"/>
    <x v="3"/>
    <x v="218"/>
    <x v="152"/>
    <x v="301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985333"/>
    <n v="0"/>
    <n v="0"/>
    <n v="985333"/>
    <n v="930253"/>
    <m/>
    <x v="1"/>
    <n v="930253"/>
  </r>
  <r>
    <x v="1"/>
    <x v="11"/>
    <x v="11"/>
    <x v="10"/>
    <s v="Regulación y supervisión"/>
    <x v="3"/>
    <x v="218"/>
    <x v="152"/>
    <x v="30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952557"/>
    <n v="0"/>
    <n v="-279283"/>
    <n v="5673274"/>
    <n v="6164542"/>
    <m/>
    <x v="1"/>
    <n v="6164542"/>
  </r>
  <r>
    <x v="1"/>
    <x v="11"/>
    <x v="11"/>
    <x v="10"/>
    <s v="Regulación y supervisión"/>
    <x v="3"/>
    <x v="218"/>
    <x v="152"/>
    <x v="301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"/>
    <n v="0"/>
    <n v="0"/>
    <n v="400000"/>
    <m/>
    <m/>
    <x v="1"/>
    <n v="0"/>
  </r>
  <r>
    <x v="1"/>
    <x v="11"/>
    <x v="11"/>
    <x v="10"/>
    <s v="Regulación y supervisión"/>
    <x v="3"/>
    <x v="218"/>
    <x v="169"/>
    <x v="318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081205"/>
    <n v="0"/>
    <n v="0"/>
    <n v="1081205"/>
    <n v="1031011"/>
    <m/>
    <x v="1"/>
    <n v="1031011"/>
  </r>
  <r>
    <x v="1"/>
    <x v="11"/>
    <x v="11"/>
    <x v="10"/>
    <s v="Regulación y supervisión"/>
    <x v="3"/>
    <x v="218"/>
    <x v="169"/>
    <x v="318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5444852"/>
    <n v="0"/>
    <n v="0"/>
    <n v="5444852"/>
    <n v="5814213"/>
    <m/>
    <x v="1"/>
    <n v="5814213"/>
  </r>
  <r>
    <x v="1"/>
    <x v="11"/>
    <x v="11"/>
    <x v="10"/>
    <s v="Regulación y supervisión"/>
    <x v="3"/>
    <x v="218"/>
    <x v="169"/>
    <x v="318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542100"/>
    <n v="0"/>
    <n v="0"/>
    <n v="542100"/>
    <n v="941140"/>
    <m/>
    <x v="1"/>
    <n v="941140"/>
  </r>
  <r>
    <x v="1"/>
    <x v="11"/>
    <x v="11"/>
    <x v="10"/>
    <s v="Regulación y supervisión"/>
    <x v="3"/>
    <x v="218"/>
    <x v="169"/>
    <x v="318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511033"/>
    <n v="0"/>
    <n v="0"/>
    <n v="511033"/>
    <n v="267241"/>
    <m/>
    <x v="1"/>
    <n v="267241"/>
  </r>
  <r>
    <x v="1"/>
    <x v="11"/>
    <x v="11"/>
    <x v="10"/>
    <s v="Regulación y supervisión"/>
    <x v="3"/>
    <x v="218"/>
    <x v="169"/>
    <x v="31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948780"/>
    <n v="0"/>
    <n v="-180636"/>
    <n v="5768144"/>
    <n v="6037593"/>
    <m/>
    <x v="1"/>
    <n v="6037593"/>
  </r>
  <r>
    <x v="1"/>
    <x v="11"/>
    <x v="11"/>
    <x v="10"/>
    <s v="Regulación y supervisión"/>
    <x v="3"/>
    <x v="218"/>
    <x v="170"/>
    <x v="319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9137525"/>
    <n v="0"/>
    <n v="0"/>
    <n v="9137525"/>
    <n v="8163649"/>
    <m/>
    <x v="1"/>
    <n v="8163649"/>
  </r>
  <r>
    <x v="1"/>
    <x v="11"/>
    <x v="11"/>
    <x v="10"/>
    <s v="Regulación y supervisión"/>
    <x v="3"/>
    <x v="218"/>
    <x v="170"/>
    <x v="319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4699258"/>
    <n v="0"/>
    <n v="0"/>
    <n v="4699258"/>
    <n v="3612741"/>
    <m/>
    <x v="1"/>
    <n v="3612741"/>
  </r>
  <r>
    <x v="1"/>
    <x v="11"/>
    <x v="11"/>
    <x v="10"/>
    <s v="Regulación y supervisión"/>
    <x v="3"/>
    <x v="218"/>
    <x v="170"/>
    <x v="319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794000"/>
    <n v="0"/>
    <n v="0"/>
    <n v="794000"/>
    <n v="345000"/>
    <m/>
    <x v="1"/>
    <n v="345000"/>
  </r>
  <r>
    <x v="1"/>
    <x v="11"/>
    <x v="11"/>
    <x v="10"/>
    <s v="Regulación y supervisión"/>
    <x v="3"/>
    <x v="218"/>
    <x v="170"/>
    <x v="319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805249"/>
    <n v="0"/>
    <n v="0"/>
    <n v="805249"/>
    <n v="813562"/>
    <m/>
    <x v="1"/>
    <n v="813562"/>
  </r>
  <r>
    <x v="1"/>
    <x v="11"/>
    <x v="11"/>
    <x v="10"/>
    <s v="Regulación y supervisión"/>
    <x v="3"/>
    <x v="218"/>
    <x v="170"/>
    <x v="31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9143166"/>
    <n v="0"/>
    <n v="-188964"/>
    <n v="8954202"/>
    <n v="8987386"/>
    <m/>
    <x v="1"/>
    <n v="8987386"/>
  </r>
  <r>
    <x v="1"/>
    <x v="11"/>
    <x v="11"/>
    <x v="10"/>
    <s v="Regulación y supervisión"/>
    <x v="3"/>
    <x v="218"/>
    <x v="170"/>
    <x v="319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n v="0"/>
    <n v="0"/>
    <m/>
    <n v="5028000"/>
    <m/>
    <x v="1"/>
    <n v="5028000"/>
  </r>
  <r>
    <x v="1"/>
    <x v="11"/>
    <x v="11"/>
    <x v="10"/>
    <s v="Regulación y supervisión"/>
    <x v="3"/>
    <x v="218"/>
    <x v="171"/>
    <x v="320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386200"/>
    <n v="0"/>
    <n v="0"/>
    <n v="1386200"/>
    <n v="1433038"/>
    <m/>
    <x v="1"/>
    <n v="1433038"/>
  </r>
  <r>
    <x v="1"/>
    <x v="11"/>
    <x v="11"/>
    <x v="10"/>
    <s v="Regulación y supervisión"/>
    <x v="3"/>
    <x v="218"/>
    <x v="171"/>
    <x v="320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628004"/>
    <n v="0"/>
    <n v="0"/>
    <n v="1628004"/>
    <n v="1223629"/>
    <m/>
    <x v="1"/>
    <n v="1223629"/>
  </r>
  <r>
    <x v="1"/>
    <x v="11"/>
    <x v="11"/>
    <x v="10"/>
    <s v="Regulación y supervisión"/>
    <x v="3"/>
    <x v="218"/>
    <x v="171"/>
    <x v="320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72100"/>
    <n v="0"/>
    <n v="0"/>
    <n v="172100"/>
    <n v="472700"/>
    <m/>
    <x v="1"/>
    <n v="472700"/>
  </r>
  <r>
    <x v="1"/>
    <x v="11"/>
    <x v="11"/>
    <x v="10"/>
    <s v="Regulación y supervisión"/>
    <x v="3"/>
    <x v="218"/>
    <x v="171"/>
    <x v="320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401786"/>
    <n v="0"/>
    <n v="0"/>
    <n v="401786"/>
    <n v="545567"/>
    <m/>
    <x v="1"/>
    <n v="545567"/>
  </r>
  <r>
    <x v="1"/>
    <x v="11"/>
    <x v="11"/>
    <x v="10"/>
    <s v="Regulación y supervisión"/>
    <x v="3"/>
    <x v="218"/>
    <x v="171"/>
    <x v="320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578171"/>
    <n v="0"/>
    <n v="0"/>
    <n v="3578171"/>
    <n v="3435341"/>
    <m/>
    <x v="1"/>
    <n v="3435341"/>
  </r>
  <r>
    <x v="1"/>
    <x v="11"/>
    <x v="11"/>
    <x v="10"/>
    <s v="Regulación y supervisión"/>
    <x v="3"/>
    <x v="218"/>
    <x v="171"/>
    <x v="320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3"/>
    <x v="218"/>
    <x v="153"/>
    <x v="302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4776317"/>
    <n v="0"/>
    <n v="0"/>
    <n v="4776317"/>
    <n v="4092640"/>
    <m/>
    <x v="1"/>
    <n v="4092640"/>
  </r>
  <r>
    <x v="1"/>
    <x v="11"/>
    <x v="11"/>
    <x v="10"/>
    <s v="Regulación y supervisión"/>
    <x v="3"/>
    <x v="218"/>
    <x v="153"/>
    <x v="302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603826"/>
    <n v="0"/>
    <n v="0"/>
    <n v="1603826"/>
    <n v="1576212"/>
    <m/>
    <x v="1"/>
    <n v="1576212"/>
  </r>
  <r>
    <x v="1"/>
    <x v="11"/>
    <x v="11"/>
    <x v="10"/>
    <s v="Regulación y supervisión"/>
    <x v="3"/>
    <x v="218"/>
    <x v="153"/>
    <x v="302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43300"/>
    <n v="0"/>
    <n v="0"/>
    <n v="43300"/>
    <n v="257000"/>
    <m/>
    <x v="1"/>
    <n v="257000"/>
  </r>
  <r>
    <x v="1"/>
    <x v="11"/>
    <x v="11"/>
    <x v="10"/>
    <s v="Regulación y supervisión"/>
    <x v="3"/>
    <x v="218"/>
    <x v="153"/>
    <x v="302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371066"/>
    <n v="0"/>
    <n v="0"/>
    <n v="371066"/>
    <n v="415398"/>
    <m/>
    <x v="1"/>
    <n v="415398"/>
  </r>
  <r>
    <x v="1"/>
    <x v="11"/>
    <x v="11"/>
    <x v="10"/>
    <s v="Regulación y supervisión"/>
    <x v="3"/>
    <x v="218"/>
    <x v="153"/>
    <x v="30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262502"/>
    <n v="0"/>
    <n v="-101670"/>
    <n v="3160832"/>
    <n v="3117541"/>
    <m/>
    <x v="1"/>
    <n v="3117541"/>
  </r>
  <r>
    <x v="1"/>
    <x v="11"/>
    <x v="11"/>
    <x v="10"/>
    <s v="Regulación y supervisión"/>
    <x v="3"/>
    <x v="218"/>
    <x v="172"/>
    <x v="321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078151"/>
    <n v="0"/>
    <n v="0"/>
    <n v="1078151"/>
    <n v="905847"/>
    <m/>
    <x v="1"/>
    <n v="905847"/>
  </r>
  <r>
    <x v="1"/>
    <x v="11"/>
    <x v="11"/>
    <x v="10"/>
    <s v="Regulación y supervisión"/>
    <x v="3"/>
    <x v="218"/>
    <x v="172"/>
    <x v="321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5020736"/>
    <n v="0"/>
    <n v="0"/>
    <n v="5020736"/>
    <n v="3024274"/>
    <m/>
    <x v="1"/>
    <n v="3024274"/>
  </r>
  <r>
    <x v="1"/>
    <x v="11"/>
    <x v="11"/>
    <x v="10"/>
    <s v="Regulación y supervisión"/>
    <x v="3"/>
    <x v="218"/>
    <x v="172"/>
    <x v="321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220000"/>
    <n v="0"/>
    <n v="0"/>
    <n v="220000"/>
    <n v="250000"/>
    <m/>
    <x v="1"/>
    <n v="250000"/>
  </r>
  <r>
    <x v="1"/>
    <x v="11"/>
    <x v="11"/>
    <x v="10"/>
    <s v="Regulación y supervisión"/>
    <x v="3"/>
    <x v="218"/>
    <x v="172"/>
    <x v="321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1284866"/>
    <n v="0"/>
    <n v="0"/>
    <n v="1284866"/>
    <n v="1400055"/>
    <m/>
    <x v="1"/>
    <n v="1400055"/>
  </r>
  <r>
    <x v="1"/>
    <x v="11"/>
    <x v="11"/>
    <x v="10"/>
    <s v="Regulación y supervisión"/>
    <x v="3"/>
    <x v="218"/>
    <x v="172"/>
    <x v="32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182141"/>
    <n v="0"/>
    <n v="-101670"/>
    <n v="5080471"/>
    <n v="6248110"/>
    <m/>
    <x v="1"/>
    <n v="6248110"/>
  </r>
  <r>
    <x v="1"/>
    <x v="11"/>
    <x v="11"/>
    <x v="10"/>
    <s v="Regulación y supervisión"/>
    <x v="3"/>
    <x v="218"/>
    <x v="154"/>
    <x v="303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3173841"/>
    <n v="0"/>
    <n v="-695251"/>
    <n v="12478590"/>
    <n v="10545426"/>
    <m/>
    <x v="1"/>
    <n v="10545426"/>
  </r>
  <r>
    <x v="1"/>
    <x v="11"/>
    <x v="11"/>
    <x v="10"/>
    <s v="Regulación y supervisión"/>
    <x v="3"/>
    <x v="218"/>
    <x v="154"/>
    <x v="303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4162436"/>
    <n v="0"/>
    <n v="0"/>
    <n v="4162436"/>
    <n v="3549851"/>
    <m/>
    <x v="1"/>
    <n v="3549851"/>
  </r>
  <r>
    <x v="1"/>
    <x v="11"/>
    <x v="11"/>
    <x v="10"/>
    <s v="Regulación y supervisión"/>
    <x v="3"/>
    <x v="218"/>
    <x v="154"/>
    <x v="303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046500"/>
    <n v="0"/>
    <n v="0"/>
    <n v="1046500"/>
    <n v="1492000"/>
    <m/>
    <x v="1"/>
    <n v="1492000"/>
  </r>
  <r>
    <x v="1"/>
    <x v="11"/>
    <x v="11"/>
    <x v="10"/>
    <s v="Regulación y supervisión"/>
    <x v="3"/>
    <x v="218"/>
    <x v="154"/>
    <x v="303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476879"/>
    <n v="0"/>
    <n v="0"/>
    <n v="476879"/>
    <n v="509343"/>
    <m/>
    <x v="1"/>
    <n v="509343"/>
  </r>
  <r>
    <x v="1"/>
    <x v="11"/>
    <x v="11"/>
    <x v="10"/>
    <s v="Regulación y supervisión"/>
    <x v="3"/>
    <x v="218"/>
    <x v="154"/>
    <x v="30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871336"/>
    <n v="0"/>
    <n v="0"/>
    <n v="4871336"/>
    <n v="4754301"/>
    <m/>
    <x v="1"/>
    <n v="4754301"/>
  </r>
  <r>
    <x v="1"/>
    <x v="11"/>
    <x v="11"/>
    <x v="10"/>
    <s v="Regulación y supervisión"/>
    <x v="3"/>
    <x v="218"/>
    <x v="173"/>
    <x v="322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366803"/>
    <n v="0"/>
    <n v="0"/>
    <n v="366803"/>
    <n v="367333"/>
    <m/>
    <x v="1"/>
    <n v="367333"/>
  </r>
  <r>
    <x v="1"/>
    <x v="11"/>
    <x v="11"/>
    <x v="10"/>
    <s v="Regulación y supervisión"/>
    <x v="3"/>
    <x v="218"/>
    <x v="173"/>
    <x v="322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2625034"/>
    <n v="0"/>
    <n v="0"/>
    <n v="2625034"/>
    <n v="2261831"/>
    <m/>
    <x v="1"/>
    <n v="2261831"/>
  </r>
  <r>
    <x v="1"/>
    <x v="11"/>
    <x v="11"/>
    <x v="10"/>
    <s v="Regulación y supervisión"/>
    <x v="3"/>
    <x v="218"/>
    <x v="173"/>
    <x v="322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4228000"/>
    <n v="0"/>
    <n v="0"/>
    <n v="4228000"/>
    <n v="100000"/>
    <m/>
    <x v="1"/>
    <n v="100000"/>
  </r>
  <r>
    <x v="1"/>
    <x v="11"/>
    <x v="11"/>
    <x v="10"/>
    <s v="Regulación y supervisión"/>
    <x v="3"/>
    <x v="218"/>
    <x v="173"/>
    <x v="322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423283"/>
    <n v="0"/>
    <n v="0"/>
    <n v="423283"/>
    <n v="518489"/>
    <m/>
    <x v="1"/>
    <n v="518489"/>
  </r>
  <r>
    <x v="1"/>
    <x v="11"/>
    <x v="11"/>
    <x v="10"/>
    <s v="Regulación y supervisión"/>
    <x v="3"/>
    <x v="218"/>
    <x v="173"/>
    <x v="32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793246"/>
    <n v="0"/>
    <n v="0"/>
    <n v="5793246"/>
    <n v="5829561"/>
    <m/>
    <x v="1"/>
    <n v="5829561"/>
  </r>
  <r>
    <x v="1"/>
    <x v="11"/>
    <x v="11"/>
    <x v="10"/>
    <s v="Regulación y supervisión"/>
    <x v="3"/>
    <x v="218"/>
    <x v="174"/>
    <x v="323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2265840"/>
    <n v="0"/>
    <n v="0"/>
    <n v="2265840"/>
    <n v="1744737"/>
    <m/>
    <x v="1"/>
    <n v="1744737"/>
  </r>
  <r>
    <x v="1"/>
    <x v="11"/>
    <x v="11"/>
    <x v="10"/>
    <s v="Regulación y supervisión"/>
    <x v="3"/>
    <x v="218"/>
    <x v="174"/>
    <x v="323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45500"/>
    <n v="0"/>
    <n v="0"/>
    <n v="145500"/>
    <n v="516000"/>
    <m/>
    <x v="1"/>
    <n v="516000"/>
  </r>
  <r>
    <x v="1"/>
    <x v="11"/>
    <x v="11"/>
    <x v="10"/>
    <s v="Regulación y supervisión"/>
    <x v="3"/>
    <x v="218"/>
    <x v="174"/>
    <x v="323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666800"/>
    <n v="0"/>
    <n v="0"/>
    <n v="666800"/>
    <n v="699407"/>
    <m/>
    <x v="1"/>
    <n v="699407"/>
  </r>
  <r>
    <x v="1"/>
    <x v="11"/>
    <x v="11"/>
    <x v="10"/>
    <s v="Regulación y supervisión"/>
    <x v="3"/>
    <x v="218"/>
    <x v="174"/>
    <x v="32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9455301"/>
    <n v="0"/>
    <n v="-305010"/>
    <n v="9150291"/>
    <n v="8917708"/>
    <m/>
    <x v="1"/>
    <n v="8917708"/>
  </r>
  <r>
    <x v="1"/>
    <x v="11"/>
    <x v="11"/>
    <x v="10"/>
    <s v="Regulación y supervisión"/>
    <x v="3"/>
    <x v="218"/>
    <x v="155"/>
    <x v="304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4554361"/>
    <n v="0"/>
    <n v="-108764"/>
    <n v="14445597"/>
    <n v="13041969"/>
    <m/>
    <x v="1"/>
    <n v="13041969"/>
  </r>
  <r>
    <x v="1"/>
    <x v="11"/>
    <x v="11"/>
    <x v="10"/>
    <s v="Regulación y supervisión"/>
    <x v="3"/>
    <x v="218"/>
    <x v="155"/>
    <x v="304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4972978"/>
    <n v="0"/>
    <n v="0"/>
    <n v="4972978"/>
    <n v="3674158"/>
    <m/>
    <x v="1"/>
    <n v="3674158"/>
  </r>
  <r>
    <x v="1"/>
    <x v="11"/>
    <x v="11"/>
    <x v="10"/>
    <s v="Regulación y supervisión"/>
    <x v="3"/>
    <x v="218"/>
    <x v="155"/>
    <x v="304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414800"/>
    <n v="0"/>
    <n v="0"/>
    <n v="414800"/>
    <n v="1793500"/>
    <m/>
    <x v="1"/>
    <n v="1793500"/>
  </r>
  <r>
    <x v="1"/>
    <x v="11"/>
    <x v="11"/>
    <x v="10"/>
    <s v="Regulación y supervisión"/>
    <x v="3"/>
    <x v="218"/>
    <x v="155"/>
    <x v="30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304713"/>
    <n v="0"/>
    <n v="-100928"/>
    <n v="4203785"/>
    <n v="8120043"/>
    <m/>
    <x v="1"/>
    <n v="8120043"/>
  </r>
  <r>
    <x v="1"/>
    <x v="11"/>
    <x v="11"/>
    <x v="10"/>
    <s v="Regulación y supervisión"/>
    <x v="3"/>
    <x v="218"/>
    <x v="155"/>
    <x v="30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600000"/>
    <n v="0"/>
    <n v="0"/>
    <n v="3600000"/>
    <n v="9250000"/>
    <m/>
    <x v="1"/>
    <n v="9250000"/>
  </r>
  <r>
    <x v="1"/>
    <x v="11"/>
    <x v="11"/>
    <x v="10"/>
    <s v="Regulación y supervisión"/>
    <x v="3"/>
    <x v="218"/>
    <x v="175"/>
    <x v="324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672776"/>
    <n v="0"/>
    <n v="0"/>
    <n v="1672776"/>
    <n v="1458378"/>
    <m/>
    <x v="1"/>
    <n v="1458378"/>
  </r>
  <r>
    <x v="1"/>
    <x v="11"/>
    <x v="11"/>
    <x v="10"/>
    <s v="Regulación y supervisión"/>
    <x v="3"/>
    <x v="218"/>
    <x v="175"/>
    <x v="324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250000"/>
    <n v="0"/>
    <n v="0"/>
    <n v="250000"/>
    <n v="3420000"/>
    <m/>
    <x v="1"/>
    <n v="3420000"/>
  </r>
  <r>
    <x v="1"/>
    <x v="11"/>
    <x v="11"/>
    <x v="10"/>
    <s v="Regulación y supervisión"/>
    <x v="3"/>
    <x v="218"/>
    <x v="175"/>
    <x v="324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890085"/>
    <n v="0"/>
    <n v="0"/>
    <n v="890085"/>
    <n v="907944"/>
    <m/>
    <x v="1"/>
    <n v="907944"/>
  </r>
  <r>
    <x v="1"/>
    <x v="11"/>
    <x v="11"/>
    <x v="10"/>
    <s v="Regulación y supervisión"/>
    <x v="3"/>
    <x v="218"/>
    <x v="175"/>
    <x v="32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958478"/>
    <n v="0"/>
    <n v="-196152"/>
    <n v="5762326"/>
    <n v="6113175"/>
    <m/>
    <x v="1"/>
    <n v="6113175"/>
  </r>
  <r>
    <x v="1"/>
    <x v="11"/>
    <x v="11"/>
    <x v="10"/>
    <s v="Regulación y supervisión"/>
    <x v="3"/>
    <x v="218"/>
    <x v="176"/>
    <x v="325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3061332"/>
    <n v="0"/>
    <n v="-108764"/>
    <n v="12952568"/>
    <n v="12718186"/>
    <m/>
    <x v="1"/>
    <n v="12718186"/>
  </r>
  <r>
    <x v="1"/>
    <x v="11"/>
    <x v="11"/>
    <x v="10"/>
    <s v="Regulación y supervisión"/>
    <x v="3"/>
    <x v="218"/>
    <x v="176"/>
    <x v="325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6946740"/>
    <n v="0"/>
    <n v="0"/>
    <n v="6946740"/>
    <n v="5208014"/>
    <m/>
    <x v="1"/>
    <n v="5208014"/>
  </r>
  <r>
    <x v="1"/>
    <x v="11"/>
    <x v="11"/>
    <x v="10"/>
    <s v="Regulación y supervisión"/>
    <x v="3"/>
    <x v="218"/>
    <x v="176"/>
    <x v="325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416000"/>
    <n v="0"/>
    <n v="0"/>
    <n v="416000"/>
    <n v="1700500"/>
    <m/>
    <x v="1"/>
    <n v="1700500"/>
  </r>
  <r>
    <x v="1"/>
    <x v="11"/>
    <x v="11"/>
    <x v="10"/>
    <s v="Regulación y supervisión"/>
    <x v="3"/>
    <x v="218"/>
    <x v="176"/>
    <x v="325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756668"/>
    <n v="0"/>
    <n v="0"/>
    <n v="756668"/>
    <n v="802580"/>
    <m/>
    <x v="1"/>
    <n v="802580"/>
  </r>
  <r>
    <x v="1"/>
    <x v="11"/>
    <x v="11"/>
    <x v="10"/>
    <s v="Regulación y supervisión"/>
    <x v="3"/>
    <x v="218"/>
    <x v="176"/>
    <x v="32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7108110"/>
    <n v="0"/>
    <n v="-471271"/>
    <n v="6636839"/>
    <n v="6994115"/>
    <m/>
    <x v="1"/>
    <n v="6994115"/>
  </r>
  <r>
    <x v="1"/>
    <x v="11"/>
    <x v="11"/>
    <x v="10"/>
    <s v="Regulación y supervisión"/>
    <x v="3"/>
    <x v="218"/>
    <x v="176"/>
    <x v="32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n v="0"/>
    <n v="0"/>
    <m/>
    <n v="200000"/>
    <m/>
    <x v="1"/>
    <n v="200000"/>
  </r>
  <r>
    <x v="1"/>
    <x v="11"/>
    <x v="11"/>
    <x v="10"/>
    <s v="Regulación y supervisión"/>
    <x v="3"/>
    <x v="218"/>
    <x v="156"/>
    <x v="305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0473338"/>
    <n v="0"/>
    <n v="-108764"/>
    <n v="10364574"/>
    <n v="9701631"/>
    <m/>
    <x v="1"/>
    <n v="9701631"/>
  </r>
  <r>
    <x v="1"/>
    <x v="11"/>
    <x v="11"/>
    <x v="10"/>
    <s v="Regulación y supervisión"/>
    <x v="3"/>
    <x v="218"/>
    <x v="156"/>
    <x v="305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6152895"/>
    <n v="0"/>
    <n v="0"/>
    <n v="6152895"/>
    <n v="5850808"/>
    <m/>
    <x v="1"/>
    <n v="5850808"/>
  </r>
  <r>
    <x v="1"/>
    <x v="11"/>
    <x v="11"/>
    <x v="10"/>
    <s v="Regulación y supervisión"/>
    <x v="3"/>
    <x v="218"/>
    <x v="156"/>
    <x v="305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675000"/>
    <n v="0"/>
    <n v="0"/>
    <n v="675000"/>
    <n v="554650"/>
    <m/>
    <x v="1"/>
    <n v="554650"/>
  </r>
  <r>
    <x v="1"/>
    <x v="11"/>
    <x v="11"/>
    <x v="10"/>
    <s v="Regulación y supervisión"/>
    <x v="3"/>
    <x v="218"/>
    <x v="156"/>
    <x v="305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785268"/>
    <n v="0"/>
    <n v="0"/>
    <n v="785268"/>
    <n v="838958"/>
    <m/>
    <x v="1"/>
    <n v="838958"/>
  </r>
  <r>
    <x v="1"/>
    <x v="11"/>
    <x v="11"/>
    <x v="10"/>
    <s v="Regulación y supervisión"/>
    <x v="3"/>
    <x v="218"/>
    <x v="156"/>
    <x v="30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2129082"/>
    <n v="0"/>
    <n v="-581234"/>
    <n v="11547848"/>
    <n v="11798528"/>
    <m/>
    <x v="1"/>
    <n v="11798528"/>
  </r>
  <r>
    <x v="1"/>
    <x v="11"/>
    <x v="11"/>
    <x v="10"/>
    <s v="Regulación y supervisión"/>
    <x v="3"/>
    <x v="218"/>
    <x v="156"/>
    <x v="30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10000"/>
    <n v="0"/>
    <n v="0"/>
    <n v="410000"/>
    <m/>
    <m/>
    <x v="1"/>
    <n v="0"/>
  </r>
  <r>
    <x v="1"/>
    <x v="11"/>
    <x v="11"/>
    <x v="10"/>
    <s v="Regulación y supervisión"/>
    <x v="3"/>
    <x v="218"/>
    <x v="177"/>
    <x v="326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6857885"/>
    <n v="0"/>
    <n v="-108764"/>
    <n v="6749121"/>
    <n v="6138479"/>
    <m/>
    <x v="1"/>
    <n v="6138479"/>
  </r>
  <r>
    <x v="1"/>
    <x v="11"/>
    <x v="11"/>
    <x v="10"/>
    <s v="Regulación y supervisión"/>
    <x v="3"/>
    <x v="218"/>
    <x v="177"/>
    <x v="326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754718"/>
    <n v="0"/>
    <n v="-94145"/>
    <n v="1660573"/>
    <n v="1712204"/>
    <m/>
    <x v="1"/>
    <n v="1712204"/>
  </r>
  <r>
    <x v="1"/>
    <x v="11"/>
    <x v="11"/>
    <x v="10"/>
    <s v="Regulación y supervisión"/>
    <x v="3"/>
    <x v="218"/>
    <x v="177"/>
    <x v="326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25000"/>
    <n v="0"/>
    <n v="0"/>
    <n v="125000"/>
    <n v="143000"/>
    <m/>
    <x v="1"/>
    <n v="143000"/>
  </r>
  <r>
    <x v="1"/>
    <x v="11"/>
    <x v="11"/>
    <x v="10"/>
    <s v="Regulación y supervisión"/>
    <x v="3"/>
    <x v="218"/>
    <x v="177"/>
    <x v="326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906522"/>
    <n v="0"/>
    <n v="0"/>
    <n v="906522"/>
    <n v="877494"/>
    <m/>
    <x v="1"/>
    <n v="877494"/>
  </r>
  <r>
    <x v="1"/>
    <x v="11"/>
    <x v="11"/>
    <x v="10"/>
    <s v="Regulación y supervisión"/>
    <x v="3"/>
    <x v="218"/>
    <x v="177"/>
    <x v="32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280224"/>
    <n v="0"/>
    <n v="0"/>
    <n v="5280224"/>
    <n v="4665999"/>
    <m/>
    <x v="1"/>
    <n v="4665999"/>
  </r>
  <r>
    <x v="1"/>
    <x v="11"/>
    <x v="11"/>
    <x v="10"/>
    <s v="Regulación y supervisión"/>
    <x v="3"/>
    <x v="218"/>
    <x v="177"/>
    <x v="32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500000"/>
    <n v="0"/>
    <n v="0"/>
    <n v="1500000"/>
    <n v="1251624"/>
    <m/>
    <x v="1"/>
    <n v="1251624"/>
  </r>
  <r>
    <x v="1"/>
    <x v="11"/>
    <x v="11"/>
    <x v="10"/>
    <s v="Regulación y supervisión"/>
    <x v="3"/>
    <x v="218"/>
    <x v="157"/>
    <x v="306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4003062"/>
    <n v="0"/>
    <n v="0"/>
    <n v="14003062"/>
    <n v="12234888"/>
    <m/>
    <x v="1"/>
    <n v="12234888"/>
  </r>
  <r>
    <x v="1"/>
    <x v="11"/>
    <x v="11"/>
    <x v="10"/>
    <s v="Regulación y supervisión"/>
    <x v="3"/>
    <x v="218"/>
    <x v="157"/>
    <x v="306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6927801"/>
    <n v="0"/>
    <n v="0"/>
    <n v="6927801"/>
    <n v="5697211"/>
    <m/>
    <x v="1"/>
    <n v="5697211"/>
  </r>
  <r>
    <x v="1"/>
    <x v="11"/>
    <x v="11"/>
    <x v="10"/>
    <s v="Regulación y supervisión"/>
    <x v="3"/>
    <x v="218"/>
    <x v="157"/>
    <x v="306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742900"/>
    <n v="0"/>
    <n v="0"/>
    <n v="1742900"/>
    <n v="1277700"/>
    <m/>
    <x v="1"/>
    <n v="1277700"/>
  </r>
  <r>
    <x v="1"/>
    <x v="11"/>
    <x v="11"/>
    <x v="10"/>
    <s v="Regulación y supervisión"/>
    <x v="3"/>
    <x v="218"/>
    <x v="157"/>
    <x v="306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474875"/>
    <n v="0"/>
    <n v="0"/>
    <n v="474875"/>
    <n v="521603"/>
    <m/>
    <x v="1"/>
    <n v="521603"/>
  </r>
  <r>
    <x v="1"/>
    <x v="11"/>
    <x v="11"/>
    <x v="10"/>
    <s v="Regulación y supervisión"/>
    <x v="3"/>
    <x v="218"/>
    <x v="157"/>
    <x v="30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6429458"/>
    <n v="0"/>
    <n v="-297391"/>
    <n v="16132067"/>
    <n v="16909726"/>
    <m/>
    <x v="1"/>
    <n v="16909726"/>
  </r>
  <r>
    <x v="1"/>
    <x v="11"/>
    <x v="11"/>
    <x v="10"/>
    <s v="Regulación y supervisión"/>
    <x v="3"/>
    <x v="218"/>
    <x v="157"/>
    <x v="30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2900000"/>
    <n v="0"/>
    <n v="0"/>
    <n v="2900000"/>
    <m/>
    <m/>
    <x v="1"/>
    <n v="0"/>
  </r>
  <r>
    <x v="1"/>
    <x v="11"/>
    <x v="11"/>
    <x v="10"/>
    <s v="Regulación y supervisión"/>
    <x v="3"/>
    <x v="218"/>
    <x v="178"/>
    <x v="327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539203"/>
    <n v="0"/>
    <n v="0"/>
    <n v="539203"/>
    <n v="616137"/>
    <m/>
    <x v="1"/>
    <n v="616137"/>
  </r>
  <r>
    <x v="1"/>
    <x v="11"/>
    <x v="11"/>
    <x v="10"/>
    <s v="Regulación y supervisión"/>
    <x v="3"/>
    <x v="218"/>
    <x v="178"/>
    <x v="32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915005"/>
    <n v="0"/>
    <n v="0"/>
    <n v="3915005"/>
    <n v="5095408"/>
    <m/>
    <x v="1"/>
    <n v="5095408"/>
  </r>
  <r>
    <x v="1"/>
    <x v="11"/>
    <x v="11"/>
    <x v="10"/>
    <s v="Regulación y supervisión"/>
    <x v="3"/>
    <x v="218"/>
    <x v="178"/>
    <x v="32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0600000"/>
    <n v="0"/>
    <n v="0"/>
    <n v="10600000"/>
    <n v="11300000"/>
    <m/>
    <x v="1"/>
    <n v="11300000"/>
  </r>
  <r>
    <x v="1"/>
    <x v="11"/>
    <x v="11"/>
    <x v="10"/>
    <s v="Regulación y supervisión"/>
    <x v="3"/>
    <x v="218"/>
    <x v="158"/>
    <x v="307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34856247"/>
    <n v="0"/>
    <n v="-1515585"/>
    <n v="33340662"/>
    <n v="32495889"/>
    <m/>
    <x v="1"/>
    <n v="32495889"/>
  </r>
  <r>
    <x v="1"/>
    <x v="11"/>
    <x v="11"/>
    <x v="10"/>
    <s v="Regulación y supervisión"/>
    <x v="3"/>
    <x v="218"/>
    <x v="158"/>
    <x v="307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5917100"/>
    <n v="0"/>
    <n v="0"/>
    <n v="5917100"/>
    <n v="4975575"/>
    <m/>
    <x v="1"/>
    <n v="4975575"/>
  </r>
  <r>
    <x v="1"/>
    <x v="11"/>
    <x v="11"/>
    <x v="10"/>
    <s v="Regulación y supervisión"/>
    <x v="3"/>
    <x v="218"/>
    <x v="158"/>
    <x v="307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723500"/>
    <n v="0"/>
    <n v="0"/>
    <n v="1723500"/>
    <n v="701900"/>
    <m/>
    <x v="1"/>
    <n v="701900"/>
  </r>
  <r>
    <x v="1"/>
    <x v="11"/>
    <x v="11"/>
    <x v="10"/>
    <s v="Regulación y supervisión"/>
    <x v="3"/>
    <x v="218"/>
    <x v="158"/>
    <x v="307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1465560"/>
    <n v="0"/>
    <n v="0"/>
    <n v="1465560"/>
    <n v="1708720"/>
    <m/>
    <x v="1"/>
    <n v="1708720"/>
  </r>
  <r>
    <x v="1"/>
    <x v="11"/>
    <x v="11"/>
    <x v="10"/>
    <s v="Regulación y supervisión"/>
    <x v="3"/>
    <x v="218"/>
    <x v="158"/>
    <x v="30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5969657"/>
    <n v="0"/>
    <n v="-418981"/>
    <n v="15550676"/>
    <n v="15171911"/>
    <m/>
    <x v="1"/>
    <n v="15171911"/>
  </r>
  <r>
    <x v="1"/>
    <x v="11"/>
    <x v="11"/>
    <x v="10"/>
    <s v="Regulación y supervisión"/>
    <x v="3"/>
    <x v="218"/>
    <x v="158"/>
    <x v="30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5450000"/>
    <n v="0"/>
    <n v="0"/>
    <n v="5450000"/>
    <m/>
    <m/>
    <x v="1"/>
    <n v="0"/>
  </r>
  <r>
    <x v="1"/>
    <x v="11"/>
    <x v="11"/>
    <x v="10"/>
    <s v="Regulación y supervisión"/>
    <x v="3"/>
    <x v="218"/>
    <x v="159"/>
    <x v="308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9985862"/>
    <n v="0"/>
    <n v="-419381"/>
    <n v="19566481"/>
    <n v="16987897"/>
    <m/>
    <x v="1"/>
    <n v="16987897"/>
  </r>
  <r>
    <x v="1"/>
    <x v="11"/>
    <x v="11"/>
    <x v="10"/>
    <s v="Regulación y supervisión"/>
    <x v="3"/>
    <x v="218"/>
    <x v="159"/>
    <x v="308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2514522"/>
    <n v="0"/>
    <n v="0"/>
    <n v="2514522"/>
    <n v="1845403"/>
    <m/>
    <x v="1"/>
    <n v="1845403"/>
  </r>
  <r>
    <x v="1"/>
    <x v="11"/>
    <x v="11"/>
    <x v="10"/>
    <s v="Regulación y supervisión"/>
    <x v="3"/>
    <x v="218"/>
    <x v="159"/>
    <x v="308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4340000"/>
    <n v="0"/>
    <n v="0"/>
    <n v="4340000"/>
    <n v="864400"/>
    <m/>
    <x v="1"/>
    <n v="864400"/>
  </r>
  <r>
    <x v="1"/>
    <x v="11"/>
    <x v="11"/>
    <x v="10"/>
    <s v="Regulación y supervisión"/>
    <x v="3"/>
    <x v="218"/>
    <x v="159"/>
    <x v="308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567280"/>
    <n v="0"/>
    <n v="0"/>
    <n v="567280"/>
    <n v="718107"/>
    <m/>
    <x v="1"/>
    <n v="718107"/>
  </r>
  <r>
    <x v="1"/>
    <x v="11"/>
    <x v="11"/>
    <x v="10"/>
    <s v="Regulación y supervisión"/>
    <x v="3"/>
    <x v="218"/>
    <x v="159"/>
    <x v="30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229061"/>
    <n v="0"/>
    <n v="-419381"/>
    <n v="3809680"/>
    <n v="3716838"/>
    <m/>
    <x v="1"/>
    <n v="3716838"/>
  </r>
  <r>
    <x v="1"/>
    <x v="11"/>
    <x v="11"/>
    <x v="10"/>
    <s v="Regulación y supervisión"/>
    <x v="3"/>
    <x v="218"/>
    <x v="159"/>
    <x v="30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700000"/>
    <n v="0"/>
    <n v="0"/>
    <n v="700000"/>
    <m/>
    <m/>
    <x v="1"/>
    <n v="0"/>
  </r>
  <r>
    <x v="1"/>
    <x v="11"/>
    <x v="11"/>
    <x v="10"/>
    <s v="Regulación y supervisión"/>
    <x v="3"/>
    <x v="218"/>
    <x v="179"/>
    <x v="328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2237723"/>
    <n v="0"/>
    <n v="0"/>
    <n v="2237723"/>
    <n v="1718397"/>
    <m/>
    <x v="1"/>
    <n v="1718397"/>
  </r>
  <r>
    <x v="1"/>
    <x v="11"/>
    <x v="11"/>
    <x v="10"/>
    <s v="Regulación y supervisión"/>
    <x v="3"/>
    <x v="218"/>
    <x v="179"/>
    <x v="328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185000"/>
    <n v="0"/>
    <n v="0"/>
    <n v="185000"/>
    <n v="500000"/>
    <m/>
    <x v="1"/>
    <n v="500000"/>
  </r>
  <r>
    <x v="1"/>
    <x v="11"/>
    <x v="11"/>
    <x v="10"/>
    <s v="Regulación y supervisión"/>
    <x v="3"/>
    <x v="218"/>
    <x v="179"/>
    <x v="328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580004"/>
    <n v="0"/>
    <n v="0"/>
    <n v="580004"/>
    <n v="636302"/>
    <m/>
    <x v="1"/>
    <n v="636302"/>
  </r>
  <r>
    <x v="1"/>
    <x v="11"/>
    <x v="11"/>
    <x v="10"/>
    <s v="Regulación y supervisión"/>
    <x v="3"/>
    <x v="218"/>
    <x v="179"/>
    <x v="32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362868"/>
    <n v="0"/>
    <n v="0"/>
    <n v="3362868"/>
    <n v="3086205"/>
    <m/>
    <x v="1"/>
    <n v="3086205"/>
  </r>
  <r>
    <x v="1"/>
    <x v="11"/>
    <x v="11"/>
    <x v="10"/>
    <s v="Regulación y supervisión"/>
    <x v="3"/>
    <x v="218"/>
    <x v="179"/>
    <x v="32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23500"/>
    <m/>
    <x v="1"/>
    <n v="23500"/>
  </r>
  <r>
    <x v="1"/>
    <x v="11"/>
    <x v="11"/>
    <x v="10"/>
    <s v="Regulación y supervisión"/>
    <x v="4"/>
    <x v="219"/>
    <x v="4"/>
    <x v="33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5004433"/>
    <n v="0"/>
    <n v="0"/>
    <n v="25004433"/>
    <n v="24480000"/>
    <m/>
    <x v="1"/>
    <n v="24480000"/>
  </r>
  <r>
    <x v="1"/>
    <x v="11"/>
    <x v="11"/>
    <x v="10"/>
    <s v="Regulación y supervisión"/>
    <x v="4"/>
    <x v="219"/>
    <x v="4"/>
    <x v="33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600000"/>
    <n v="0"/>
    <n v="0"/>
    <n v="2600000"/>
    <m/>
    <m/>
    <x v="1"/>
    <n v="0"/>
  </r>
  <r>
    <x v="1"/>
    <x v="11"/>
    <x v="11"/>
    <x v="10"/>
    <s v="Regulación y supervisión"/>
    <x v="4"/>
    <x v="219"/>
    <x v="52"/>
    <x v="28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4792087"/>
    <n v="0"/>
    <n v="0"/>
    <n v="14792087"/>
    <n v="11565000"/>
    <m/>
    <x v="1"/>
    <n v="11565000"/>
  </r>
  <r>
    <x v="1"/>
    <x v="11"/>
    <x v="11"/>
    <x v="10"/>
    <s v="Regulación y supervisión"/>
    <x v="4"/>
    <x v="219"/>
    <x v="162"/>
    <x v="31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807759"/>
    <n v="0"/>
    <n v="-389185"/>
    <n v="3418574"/>
    <n v="3090046"/>
    <m/>
    <x v="1"/>
    <n v="3090046"/>
  </r>
  <r>
    <x v="1"/>
    <x v="11"/>
    <x v="11"/>
    <x v="10"/>
    <s v="Regulación y supervisión"/>
    <x v="4"/>
    <x v="219"/>
    <x v="147"/>
    <x v="29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5921110"/>
    <n v="0"/>
    <n v="-94145"/>
    <n v="5826965"/>
    <n v="4584541"/>
    <m/>
    <x v="1"/>
    <n v="4584541"/>
  </r>
  <r>
    <x v="1"/>
    <x v="11"/>
    <x v="11"/>
    <x v="10"/>
    <s v="Regulación y supervisión"/>
    <x v="4"/>
    <x v="219"/>
    <x v="148"/>
    <x v="29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944037"/>
    <n v="0"/>
    <n v="0"/>
    <n v="3944037"/>
    <n v="3802447"/>
    <m/>
    <x v="1"/>
    <n v="3802447"/>
  </r>
  <r>
    <x v="1"/>
    <x v="11"/>
    <x v="11"/>
    <x v="10"/>
    <s v="Regulación y supervisión"/>
    <x v="4"/>
    <x v="219"/>
    <x v="149"/>
    <x v="29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515162"/>
    <n v="0"/>
    <n v="-94145"/>
    <n v="7421017"/>
    <n v="6982580"/>
    <m/>
    <x v="1"/>
    <n v="6982580"/>
  </r>
  <r>
    <x v="1"/>
    <x v="11"/>
    <x v="11"/>
    <x v="10"/>
    <s v="Regulación y supervisión"/>
    <x v="4"/>
    <x v="219"/>
    <x v="163"/>
    <x v="31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448142"/>
    <n v="0"/>
    <n v="-389185"/>
    <n v="7058957"/>
    <n v="7145483"/>
    <m/>
    <x v="1"/>
    <n v="7145483"/>
  </r>
  <r>
    <x v="1"/>
    <x v="11"/>
    <x v="11"/>
    <x v="10"/>
    <s v="Regulación y supervisión"/>
    <x v="4"/>
    <x v="219"/>
    <x v="164"/>
    <x v="31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479548"/>
    <n v="0"/>
    <n v="-90319"/>
    <n v="4389229"/>
    <n v="4060232"/>
    <m/>
    <x v="1"/>
    <n v="4060232"/>
  </r>
  <r>
    <x v="1"/>
    <x v="11"/>
    <x v="11"/>
    <x v="10"/>
    <s v="Regulación y supervisión"/>
    <x v="4"/>
    <x v="219"/>
    <x v="150"/>
    <x v="299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3097241"/>
    <n v="0"/>
    <n v="-511221"/>
    <n v="12586020"/>
    <n v="11950041"/>
    <m/>
    <x v="1"/>
    <n v="11950041"/>
  </r>
  <r>
    <x v="1"/>
    <x v="11"/>
    <x v="11"/>
    <x v="10"/>
    <s v="Regulación y supervisión"/>
    <x v="4"/>
    <x v="219"/>
    <x v="150"/>
    <x v="29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81360000"/>
    <n v="0"/>
    <n v="0"/>
    <n v="81360000"/>
    <n v="81400000"/>
    <m/>
    <x v="1"/>
    <n v="81400000"/>
  </r>
  <r>
    <x v="1"/>
    <x v="11"/>
    <x v="11"/>
    <x v="10"/>
    <s v="Regulación y supervisión"/>
    <x v="4"/>
    <x v="219"/>
    <x v="165"/>
    <x v="31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607356"/>
    <n v="0"/>
    <n v="-472315"/>
    <n v="7135041"/>
    <n v="6518508"/>
    <m/>
    <x v="1"/>
    <n v="6518508"/>
  </r>
  <r>
    <x v="1"/>
    <x v="11"/>
    <x v="11"/>
    <x v="10"/>
    <s v="Regulación y supervisión"/>
    <x v="4"/>
    <x v="219"/>
    <x v="166"/>
    <x v="31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152251"/>
    <n v="0"/>
    <n v="-208548"/>
    <n v="6943703"/>
    <n v="6516073"/>
    <m/>
    <x v="1"/>
    <n v="6516073"/>
  </r>
  <r>
    <x v="1"/>
    <x v="11"/>
    <x v="11"/>
    <x v="10"/>
    <s v="Regulación y supervisión"/>
    <x v="4"/>
    <x v="219"/>
    <x v="167"/>
    <x v="31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5564820"/>
    <n v="0"/>
    <n v="-90319"/>
    <n v="5474501"/>
    <n v="5212363"/>
    <m/>
    <x v="1"/>
    <n v="5212363"/>
  </r>
  <r>
    <x v="1"/>
    <x v="11"/>
    <x v="11"/>
    <x v="10"/>
    <s v="Regulación y supervisión"/>
    <x v="4"/>
    <x v="219"/>
    <x v="167"/>
    <x v="31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94118000"/>
    <n v="0"/>
    <n v="0"/>
    <n v="494118000"/>
    <n v="444100000"/>
    <m/>
    <x v="1"/>
    <n v="444100000"/>
  </r>
  <r>
    <x v="1"/>
    <x v="11"/>
    <x v="11"/>
    <x v="10"/>
    <s v="Regulación y supervisión"/>
    <x v="4"/>
    <x v="219"/>
    <x v="151"/>
    <x v="300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2371242"/>
    <n v="0"/>
    <n v="-180636"/>
    <n v="12190606"/>
    <n v="11399377"/>
    <m/>
    <x v="1"/>
    <n v="11399377"/>
  </r>
  <r>
    <x v="1"/>
    <x v="11"/>
    <x v="11"/>
    <x v="10"/>
    <s v="Regulación y supervisión"/>
    <x v="4"/>
    <x v="219"/>
    <x v="168"/>
    <x v="31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798004"/>
    <n v="0"/>
    <n v="-106878"/>
    <n v="7691126"/>
    <n v="7775120"/>
    <m/>
    <x v="1"/>
    <n v="7775120"/>
  </r>
  <r>
    <x v="1"/>
    <x v="11"/>
    <x v="11"/>
    <x v="10"/>
    <s v="Regulación y supervisión"/>
    <x v="4"/>
    <x v="219"/>
    <x v="152"/>
    <x v="30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5859868"/>
    <n v="0"/>
    <n v="-191989"/>
    <n v="5667879"/>
    <n v="4785363"/>
    <m/>
    <x v="1"/>
    <n v="4785363"/>
  </r>
  <r>
    <x v="1"/>
    <x v="11"/>
    <x v="11"/>
    <x v="10"/>
    <s v="Regulación y supervisión"/>
    <x v="4"/>
    <x v="219"/>
    <x v="169"/>
    <x v="31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8780865"/>
    <n v="0"/>
    <n v="-90319"/>
    <n v="8690546"/>
    <n v="8333738"/>
    <m/>
    <x v="1"/>
    <n v="8333738"/>
  </r>
  <r>
    <x v="1"/>
    <x v="11"/>
    <x v="11"/>
    <x v="10"/>
    <s v="Regulación y supervisión"/>
    <x v="4"/>
    <x v="219"/>
    <x v="170"/>
    <x v="319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673"/>
    <n v="0"/>
    <n v="0"/>
    <n v="9000673"/>
    <n v="8810863"/>
    <m/>
    <x v="1"/>
    <n v="8810863"/>
  </r>
  <r>
    <x v="1"/>
    <x v="11"/>
    <x v="11"/>
    <x v="10"/>
    <s v="Regulación y supervisión"/>
    <x v="4"/>
    <x v="219"/>
    <x v="170"/>
    <x v="31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2756000"/>
    <n v="0"/>
    <n v="0"/>
    <n v="72756000"/>
    <n v="72800000"/>
    <m/>
    <x v="1"/>
    <n v="72800000"/>
  </r>
  <r>
    <x v="1"/>
    <x v="11"/>
    <x v="11"/>
    <x v="10"/>
    <s v="Regulación y supervisión"/>
    <x v="4"/>
    <x v="219"/>
    <x v="171"/>
    <x v="320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133901"/>
    <n v="0"/>
    <n v="-94482"/>
    <n v="2039419"/>
    <n v="1838274"/>
    <m/>
    <x v="1"/>
    <n v="1838274"/>
  </r>
  <r>
    <x v="1"/>
    <x v="11"/>
    <x v="11"/>
    <x v="10"/>
    <s v="Regulación y supervisión"/>
    <x v="4"/>
    <x v="219"/>
    <x v="153"/>
    <x v="30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747523"/>
    <n v="0"/>
    <n v="0"/>
    <n v="4747523"/>
    <n v="4809672"/>
    <m/>
    <x v="1"/>
    <n v="4809672"/>
  </r>
  <r>
    <x v="1"/>
    <x v="11"/>
    <x v="11"/>
    <x v="10"/>
    <s v="Regulación y supervisión"/>
    <x v="4"/>
    <x v="219"/>
    <x v="172"/>
    <x v="32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6044442"/>
    <n v="0"/>
    <n v="0"/>
    <n v="6044442"/>
    <n v="5846625"/>
    <m/>
    <x v="1"/>
    <n v="5846625"/>
  </r>
  <r>
    <x v="1"/>
    <x v="11"/>
    <x v="11"/>
    <x v="10"/>
    <s v="Regulación y supervisión"/>
    <x v="4"/>
    <x v="219"/>
    <x v="154"/>
    <x v="30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2301103"/>
    <n v="0"/>
    <n v="-91014"/>
    <n v="12210089"/>
    <n v="12061688"/>
    <m/>
    <x v="1"/>
    <n v="12061688"/>
  </r>
  <r>
    <x v="1"/>
    <x v="11"/>
    <x v="11"/>
    <x v="10"/>
    <s v="Regulación y supervisión"/>
    <x v="4"/>
    <x v="219"/>
    <x v="154"/>
    <x v="30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1831000"/>
    <n v="0"/>
    <n v="0"/>
    <n v="51831000"/>
    <n v="51800000"/>
    <m/>
    <x v="1"/>
    <n v="51800000"/>
  </r>
  <r>
    <x v="1"/>
    <x v="11"/>
    <x v="11"/>
    <x v="10"/>
    <s v="Regulación y supervisión"/>
    <x v="4"/>
    <x v="219"/>
    <x v="173"/>
    <x v="32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8494528"/>
    <n v="0"/>
    <n v="-197196"/>
    <n v="8297332"/>
    <n v="8326329"/>
    <m/>
    <x v="1"/>
    <n v="8326329"/>
  </r>
  <r>
    <x v="1"/>
    <x v="11"/>
    <x v="11"/>
    <x v="10"/>
    <s v="Regulación y supervisión"/>
    <x v="4"/>
    <x v="219"/>
    <x v="173"/>
    <x v="32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1110000"/>
    <n v="0"/>
    <n v="0"/>
    <n v="61110000"/>
    <n v="61100000"/>
    <m/>
    <x v="1"/>
    <n v="61100000"/>
  </r>
  <r>
    <x v="1"/>
    <x v="11"/>
    <x v="11"/>
    <x v="10"/>
    <s v="Regulación y supervisión"/>
    <x v="4"/>
    <x v="219"/>
    <x v="174"/>
    <x v="32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482943"/>
    <n v="0"/>
    <n v="0"/>
    <n v="4482943"/>
    <n v="4131518"/>
    <m/>
    <x v="1"/>
    <n v="4131518"/>
  </r>
  <r>
    <x v="1"/>
    <x v="11"/>
    <x v="11"/>
    <x v="10"/>
    <s v="Regulación y supervisión"/>
    <x v="4"/>
    <x v="219"/>
    <x v="155"/>
    <x v="30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970720"/>
    <n v="0"/>
    <n v="0"/>
    <n v="3970720"/>
    <n v="3894811"/>
    <m/>
    <x v="1"/>
    <n v="3894811"/>
  </r>
  <r>
    <x v="1"/>
    <x v="11"/>
    <x v="11"/>
    <x v="10"/>
    <s v="Regulación y supervisión"/>
    <x v="4"/>
    <x v="219"/>
    <x v="175"/>
    <x v="32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958120"/>
    <n v="0"/>
    <n v="-101670"/>
    <n v="7856450"/>
    <n v="7883376"/>
    <m/>
    <x v="1"/>
    <n v="7883376"/>
  </r>
  <r>
    <x v="1"/>
    <x v="11"/>
    <x v="11"/>
    <x v="10"/>
    <s v="Regulación y supervisión"/>
    <x v="4"/>
    <x v="219"/>
    <x v="175"/>
    <x v="32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38825000"/>
    <n v="0"/>
    <n v="0"/>
    <n v="138825000"/>
    <n v="138800000"/>
    <m/>
    <x v="1"/>
    <n v="138800000"/>
  </r>
  <r>
    <x v="1"/>
    <x v="11"/>
    <x v="11"/>
    <x v="10"/>
    <s v="Regulación y supervisión"/>
    <x v="4"/>
    <x v="219"/>
    <x v="176"/>
    <x v="32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228826"/>
    <n v="0"/>
    <n v="0"/>
    <n v="9228826"/>
    <n v="9802969"/>
    <m/>
    <x v="1"/>
    <n v="9802969"/>
  </r>
  <r>
    <x v="1"/>
    <x v="11"/>
    <x v="11"/>
    <x v="10"/>
    <s v="Regulación y supervisión"/>
    <x v="4"/>
    <x v="219"/>
    <x v="156"/>
    <x v="30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6880971"/>
    <n v="0"/>
    <n v="0"/>
    <n v="6880971"/>
    <n v="7055265"/>
    <m/>
    <x v="1"/>
    <n v="7055265"/>
  </r>
  <r>
    <x v="1"/>
    <x v="11"/>
    <x v="11"/>
    <x v="10"/>
    <s v="Regulación y supervisión"/>
    <x v="4"/>
    <x v="219"/>
    <x v="177"/>
    <x v="32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284883"/>
    <n v="0"/>
    <n v="-94145"/>
    <n v="3190738"/>
    <n v="3312978"/>
    <m/>
    <x v="1"/>
    <n v="3312978"/>
  </r>
  <r>
    <x v="1"/>
    <x v="11"/>
    <x v="11"/>
    <x v="10"/>
    <s v="Regulación y supervisión"/>
    <x v="4"/>
    <x v="219"/>
    <x v="157"/>
    <x v="30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0199775"/>
    <n v="0"/>
    <n v="0"/>
    <n v="10199775"/>
    <n v="9803495"/>
    <m/>
    <x v="1"/>
    <n v="9803495"/>
  </r>
  <r>
    <x v="1"/>
    <x v="11"/>
    <x v="11"/>
    <x v="10"/>
    <s v="Regulación y supervisión"/>
    <x v="4"/>
    <x v="219"/>
    <x v="178"/>
    <x v="32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486225"/>
    <n v="0"/>
    <n v="-90319"/>
    <n v="3395906"/>
    <n v="3569225"/>
    <m/>
    <x v="1"/>
    <n v="3569225"/>
  </r>
  <r>
    <x v="1"/>
    <x v="11"/>
    <x v="11"/>
    <x v="10"/>
    <s v="Regulación y supervisión"/>
    <x v="4"/>
    <x v="219"/>
    <x v="158"/>
    <x v="30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0992635"/>
    <n v="0"/>
    <n v="0"/>
    <n v="10992635"/>
    <n v="10882670"/>
    <m/>
    <x v="1"/>
    <n v="10882670"/>
  </r>
  <r>
    <x v="1"/>
    <x v="11"/>
    <x v="11"/>
    <x v="10"/>
    <s v="Regulación y supervisión"/>
    <x v="4"/>
    <x v="219"/>
    <x v="159"/>
    <x v="30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6758439"/>
    <n v="0"/>
    <n v="-308733"/>
    <n v="6449706"/>
    <n v="6063642"/>
    <m/>
    <x v="1"/>
    <n v="6063642"/>
  </r>
  <r>
    <x v="1"/>
    <x v="11"/>
    <x v="11"/>
    <x v="10"/>
    <s v="Regulación y supervisión"/>
    <x v="4"/>
    <x v="219"/>
    <x v="179"/>
    <x v="32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5816778"/>
    <n v="0"/>
    <n v="-101670"/>
    <n v="5715108"/>
    <n v="5603166"/>
    <m/>
    <x v="1"/>
    <n v="5603166"/>
  </r>
  <r>
    <x v="1"/>
    <x v="11"/>
    <x v="11"/>
    <x v="10"/>
    <s v="Regulación y supervisión"/>
    <x v="5"/>
    <x v="220"/>
    <x v="40"/>
    <x v="333"/>
    <n v="3"/>
    <s v="Desarrollo Económico"/>
    <n v="1"/>
    <s v="Comunicaciones y Transportes"/>
    <n v="6"/>
    <x v="14"/>
    <x v="9"/>
    <x v="74"/>
    <n v="1"/>
    <s v="Gasto corriente"/>
    <x v="0"/>
    <x v="1"/>
    <x v="0"/>
    <x v="0"/>
    <x v="0"/>
    <x v="0"/>
    <x v="0"/>
    <m/>
    <x v="0"/>
    <x v="0"/>
    <m/>
    <n v="10277296"/>
    <n v="0"/>
    <n v="0"/>
    <n v="10277296"/>
    <n v="11993570"/>
    <m/>
    <x v="1"/>
    <n v="11993570"/>
  </r>
  <r>
    <x v="1"/>
    <x v="11"/>
    <x v="11"/>
    <x v="10"/>
    <s v="Regulación y supervisión"/>
    <x v="5"/>
    <x v="220"/>
    <x v="40"/>
    <x v="33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99088539"/>
    <n v="0"/>
    <n v="-32200000"/>
    <n v="566888539"/>
    <n v="544265193"/>
    <m/>
    <x v="1"/>
    <n v="544265193"/>
  </r>
  <r>
    <x v="1"/>
    <x v="11"/>
    <x v="11"/>
    <x v="10"/>
    <s v="Regulación y supervisión"/>
    <x v="6"/>
    <x v="221"/>
    <x v="56"/>
    <x v="33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231336"/>
    <n v="0"/>
    <n v="0"/>
    <n v="1231336"/>
    <n v="299278"/>
    <m/>
    <x v="1"/>
    <n v="299278"/>
  </r>
  <r>
    <x v="1"/>
    <x v="11"/>
    <x v="11"/>
    <x v="10"/>
    <s v="Regulación y supervisión"/>
    <x v="6"/>
    <x v="221"/>
    <x v="162"/>
    <x v="31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99240"/>
    <n v="0"/>
    <n v="0"/>
    <n v="99240"/>
    <n v="47074"/>
    <m/>
    <x v="1"/>
    <n v="47074"/>
  </r>
  <r>
    <x v="1"/>
    <x v="11"/>
    <x v="11"/>
    <x v="10"/>
    <s v="Regulación y supervisión"/>
    <x v="6"/>
    <x v="221"/>
    <x v="147"/>
    <x v="29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41842"/>
    <n v="0"/>
    <n v="0"/>
    <n v="241842"/>
    <n v="92589"/>
    <m/>
    <x v="1"/>
    <n v="92589"/>
  </r>
  <r>
    <x v="1"/>
    <x v="11"/>
    <x v="11"/>
    <x v="10"/>
    <s v="Regulación y supervisión"/>
    <x v="6"/>
    <x v="221"/>
    <x v="148"/>
    <x v="29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31908"/>
    <n v="0"/>
    <n v="0"/>
    <n v="131908"/>
    <n v="26563"/>
    <m/>
    <x v="1"/>
    <n v="26563"/>
  </r>
  <r>
    <x v="1"/>
    <x v="11"/>
    <x v="11"/>
    <x v="10"/>
    <s v="Regulación y supervisión"/>
    <x v="6"/>
    <x v="221"/>
    <x v="149"/>
    <x v="29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85046"/>
    <n v="0"/>
    <n v="0"/>
    <n v="185046"/>
    <n v="32140"/>
    <m/>
    <x v="1"/>
    <n v="32140"/>
  </r>
  <r>
    <x v="1"/>
    <x v="11"/>
    <x v="11"/>
    <x v="10"/>
    <s v="Regulación y supervisión"/>
    <x v="6"/>
    <x v="221"/>
    <x v="163"/>
    <x v="31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577277"/>
    <n v="0"/>
    <n v="0"/>
    <n v="1577277"/>
    <n v="70929"/>
    <m/>
    <x v="1"/>
    <n v="70929"/>
  </r>
  <r>
    <x v="1"/>
    <x v="11"/>
    <x v="11"/>
    <x v="10"/>
    <s v="Regulación y supervisión"/>
    <x v="6"/>
    <x v="221"/>
    <x v="164"/>
    <x v="31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565320"/>
    <n v="0"/>
    <n v="0"/>
    <n v="565320"/>
    <n v="11751"/>
    <m/>
    <x v="1"/>
    <n v="11751"/>
  </r>
  <r>
    <x v="1"/>
    <x v="11"/>
    <x v="11"/>
    <x v="10"/>
    <s v="Regulación y supervisión"/>
    <x v="6"/>
    <x v="221"/>
    <x v="150"/>
    <x v="299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792282"/>
    <n v="0"/>
    <n v="0"/>
    <n v="1792282"/>
    <n v="665803"/>
    <m/>
    <x v="1"/>
    <n v="665803"/>
  </r>
  <r>
    <x v="1"/>
    <x v="11"/>
    <x v="11"/>
    <x v="10"/>
    <s v="Regulación y supervisión"/>
    <x v="6"/>
    <x v="221"/>
    <x v="165"/>
    <x v="31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774832"/>
    <n v="0"/>
    <n v="0"/>
    <n v="774832"/>
    <n v="157169"/>
    <m/>
    <x v="1"/>
    <n v="157169"/>
  </r>
  <r>
    <x v="1"/>
    <x v="11"/>
    <x v="11"/>
    <x v="10"/>
    <s v="Regulación y supervisión"/>
    <x v="6"/>
    <x v="221"/>
    <x v="166"/>
    <x v="31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674972"/>
    <n v="0"/>
    <n v="0"/>
    <n v="674972"/>
    <n v="156283"/>
    <m/>
    <x v="1"/>
    <n v="156283"/>
  </r>
  <r>
    <x v="1"/>
    <x v="11"/>
    <x v="11"/>
    <x v="10"/>
    <s v="Regulación y supervisión"/>
    <x v="6"/>
    <x v="221"/>
    <x v="167"/>
    <x v="31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092861"/>
    <n v="0"/>
    <n v="0"/>
    <n v="1092861"/>
    <n v="387549"/>
    <m/>
    <x v="1"/>
    <n v="387549"/>
  </r>
  <r>
    <x v="1"/>
    <x v="11"/>
    <x v="11"/>
    <x v="10"/>
    <s v="Regulación y supervisión"/>
    <x v="6"/>
    <x v="221"/>
    <x v="151"/>
    <x v="300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750832"/>
    <n v="0"/>
    <n v="0"/>
    <n v="1750832"/>
    <n v="337826"/>
    <m/>
    <x v="1"/>
    <n v="337826"/>
  </r>
  <r>
    <x v="1"/>
    <x v="11"/>
    <x v="11"/>
    <x v="10"/>
    <s v="Regulación y supervisión"/>
    <x v="6"/>
    <x v="221"/>
    <x v="168"/>
    <x v="31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993352"/>
    <n v="0"/>
    <n v="0"/>
    <n v="993352"/>
    <n v="447683"/>
    <m/>
    <x v="1"/>
    <n v="447683"/>
  </r>
  <r>
    <x v="1"/>
    <x v="11"/>
    <x v="11"/>
    <x v="10"/>
    <s v="Regulación y supervisión"/>
    <x v="6"/>
    <x v="221"/>
    <x v="152"/>
    <x v="30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430432"/>
    <n v="0"/>
    <n v="0"/>
    <n v="1430432"/>
    <n v="362386"/>
    <m/>
    <x v="1"/>
    <n v="362386"/>
  </r>
  <r>
    <x v="1"/>
    <x v="11"/>
    <x v="11"/>
    <x v="10"/>
    <s v="Regulación y supervisión"/>
    <x v="6"/>
    <x v="221"/>
    <x v="169"/>
    <x v="31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032525"/>
    <n v="0"/>
    <n v="0"/>
    <n v="1032525"/>
    <n v="762518"/>
    <m/>
    <x v="1"/>
    <n v="762518"/>
  </r>
  <r>
    <x v="1"/>
    <x v="11"/>
    <x v="11"/>
    <x v="10"/>
    <s v="Regulación y supervisión"/>
    <x v="6"/>
    <x v="221"/>
    <x v="170"/>
    <x v="319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895824"/>
    <n v="0"/>
    <n v="0"/>
    <n v="895824"/>
    <n v="461382"/>
    <m/>
    <x v="1"/>
    <n v="461382"/>
  </r>
  <r>
    <x v="1"/>
    <x v="11"/>
    <x v="11"/>
    <x v="10"/>
    <s v="Regulación y supervisión"/>
    <x v="6"/>
    <x v="221"/>
    <x v="171"/>
    <x v="320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5569"/>
    <n v="0"/>
    <n v="0"/>
    <n v="25569"/>
    <n v="139594"/>
    <m/>
    <x v="1"/>
    <n v="139594"/>
  </r>
  <r>
    <x v="1"/>
    <x v="11"/>
    <x v="11"/>
    <x v="10"/>
    <s v="Regulación y supervisión"/>
    <x v="6"/>
    <x v="221"/>
    <x v="153"/>
    <x v="30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48513"/>
    <n v="0"/>
    <n v="0"/>
    <n v="148513"/>
    <n v="78334"/>
    <m/>
    <x v="1"/>
    <n v="78334"/>
  </r>
  <r>
    <x v="1"/>
    <x v="11"/>
    <x v="11"/>
    <x v="10"/>
    <s v="Regulación y supervisión"/>
    <x v="6"/>
    <x v="221"/>
    <x v="172"/>
    <x v="32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10335"/>
    <n v="0"/>
    <n v="0"/>
    <n v="210335"/>
    <n v="91845"/>
    <m/>
    <x v="1"/>
    <n v="91845"/>
  </r>
  <r>
    <x v="1"/>
    <x v="11"/>
    <x v="11"/>
    <x v="10"/>
    <s v="Regulación y supervisión"/>
    <x v="6"/>
    <x v="221"/>
    <x v="154"/>
    <x v="30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620432"/>
    <n v="0"/>
    <n v="0"/>
    <n v="620432"/>
    <n v="677106"/>
    <m/>
    <x v="1"/>
    <n v="677106"/>
  </r>
  <r>
    <x v="1"/>
    <x v="11"/>
    <x v="11"/>
    <x v="10"/>
    <s v="Regulación y supervisión"/>
    <x v="6"/>
    <x v="221"/>
    <x v="173"/>
    <x v="32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618210"/>
    <n v="0"/>
    <n v="0"/>
    <n v="618210"/>
    <n v="502480"/>
    <m/>
    <x v="1"/>
    <n v="502480"/>
  </r>
  <r>
    <x v="1"/>
    <x v="11"/>
    <x v="11"/>
    <x v="10"/>
    <s v="Regulación y supervisión"/>
    <x v="6"/>
    <x v="221"/>
    <x v="174"/>
    <x v="32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43737"/>
    <n v="0"/>
    <n v="0"/>
    <n v="243737"/>
    <n v="251220"/>
    <m/>
    <x v="1"/>
    <n v="251220"/>
  </r>
  <r>
    <x v="1"/>
    <x v="11"/>
    <x v="11"/>
    <x v="10"/>
    <s v="Regulación y supervisión"/>
    <x v="6"/>
    <x v="221"/>
    <x v="155"/>
    <x v="30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58707"/>
    <n v="0"/>
    <n v="0"/>
    <n v="58707"/>
    <n v="51571"/>
    <m/>
    <x v="1"/>
    <n v="51571"/>
  </r>
  <r>
    <x v="1"/>
    <x v="11"/>
    <x v="11"/>
    <x v="10"/>
    <s v="Regulación y supervisión"/>
    <x v="6"/>
    <x v="221"/>
    <x v="175"/>
    <x v="32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91184"/>
    <n v="0"/>
    <n v="0"/>
    <n v="391184"/>
    <n v="278394"/>
    <m/>
    <x v="1"/>
    <n v="278394"/>
  </r>
  <r>
    <x v="1"/>
    <x v="11"/>
    <x v="11"/>
    <x v="10"/>
    <s v="Regulación y supervisión"/>
    <x v="6"/>
    <x v="221"/>
    <x v="176"/>
    <x v="32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14136"/>
    <n v="0"/>
    <n v="0"/>
    <n v="214136"/>
    <n v="190949"/>
    <m/>
    <x v="1"/>
    <n v="190949"/>
  </r>
  <r>
    <x v="1"/>
    <x v="11"/>
    <x v="11"/>
    <x v="10"/>
    <s v="Regulación y supervisión"/>
    <x v="6"/>
    <x v="221"/>
    <x v="156"/>
    <x v="30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55177"/>
    <n v="0"/>
    <n v="0"/>
    <n v="355177"/>
    <n v="131849"/>
    <m/>
    <x v="1"/>
    <n v="131849"/>
  </r>
  <r>
    <x v="1"/>
    <x v="11"/>
    <x v="11"/>
    <x v="10"/>
    <s v="Regulación y supervisión"/>
    <x v="6"/>
    <x v="221"/>
    <x v="177"/>
    <x v="32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23937"/>
    <n v="0"/>
    <n v="0"/>
    <n v="323937"/>
    <n v="191666"/>
    <m/>
    <x v="1"/>
    <n v="191666"/>
  </r>
  <r>
    <x v="1"/>
    <x v="11"/>
    <x v="11"/>
    <x v="10"/>
    <s v="Regulación y supervisión"/>
    <x v="6"/>
    <x v="221"/>
    <x v="157"/>
    <x v="30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68953"/>
    <n v="0"/>
    <n v="0"/>
    <n v="268953"/>
    <n v="150274"/>
    <m/>
    <x v="1"/>
    <n v="150274"/>
  </r>
  <r>
    <x v="1"/>
    <x v="11"/>
    <x v="11"/>
    <x v="10"/>
    <s v="Regulación y supervisión"/>
    <x v="6"/>
    <x v="221"/>
    <x v="178"/>
    <x v="32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54415"/>
    <n v="0"/>
    <n v="0"/>
    <n v="54415"/>
    <n v="62608"/>
    <m/>
    <x v="1"/>
    <n v="62608"/>
  </r>
  <r>
    <x v="1"/>
    <x v="11"/>
    <x v="11"/>
    <x v="10"/>
    <s v="Regulación y supervisión"/>
    <x v="6"/>
    <x v="221"/>
    <x v="158"/>
    <x v="30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915632"/>
    <n v="0"/>
    <n v="0"/>
    <n v="915632"/>
    <n v="714437"/>
    <m/>
    <x v="1"/>
    <n v="714437"/>
  </r>
  <r>
    <x v="1"/>
    <x v="11"/>
    <x v="11"/>
    <x v="10"/>
    <s v="Regulación y supervisión"/>
    <x v="6"/>
    <x v="221"/>
    <x v="159"/>
    <x v="30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90270"/>
    <n v="0"/>
    <n v="0"/>
    <n v="90270"/>
    <n v="95144"/>
    <m/>
    <x v="1"/>
    <n v="95144"/>
  </r>
  <r>
    <x v="1"/>
    <x v="11"/>
    <x v="11"/>
    <x v="10"/>
    <s v="Regulación y supervisión"/>
    <x v="6"/>
    <x v="221"/>
    <x v="179"/>
    <x v="32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83410"/>
    <n v="0"/>
    <n v="0"/>
    <n v="283410"/>
    <n v="150771"/>
    <m/>
    <x v="1"/>
    <n v="150771"/>
  </r>
  <r>
    <x v="1"/>
    <x v="11"/>
    <x v="11"/>
    <x v="10"/>
    <s v="Regulación y supervisión"/>
    <x v="7"/>
    <x v="222"/>
    <x v="55"/>
    <x v="29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429588"/>
    <n v="0"/>
    <n v="0"/>
    <n v="5429588"/>
    <n v="4558000"/>
    <m/>
    <x v="1"/>
    <n v="4558000"/>
  </r>
  <r>
    <x v="1"/>
    <x v="11"/>
    <x v="11"/>
    <x v="10"/>
    <s v="Regulación y supervisión"/>
    <x v="7"/>
    <x v="222"/>
    <x v="55"/>
    <x v="29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97250000"/>
    <n v="0"/>
    <n v="0"/>
    <n v="197250000"/>
    <n v="223250000"/>
    <m/>
    <x v="1"/>
    <n v="223250000"/>
  </r>
  <r>
    <x v="1"/>
    <x v="11"/>
    <x v="11"/>
    <x v="10"/>
    <s v="Regulación y supervisión"/>
    <x v="7"/>
    <x v="222"/>
    <x v="162"/>
    <x v="311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7"/>
    <x v="222"/>
    <x v="147"/>
    <x v="29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656196"/>
    <n v="0"/>
    <n v="0"/>
    <n v="3656196"/>
    <n v="3493026"/>
    <m/>
    <x v="1"/>
    <n v="3493026"/>
  </r>
  <r>
    <x v="1"/>
    <x v="11"/>
    <x v="11"/>
    <x v="10"/>
    <s v="Regulación y supervisión"/>
    <x v="7"/>
    <x v="222"/>
    <x v="147"/>
    <x v="29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543804"/>
    <n v="0"/>
    <n v="0"/>
    <n v="4543804"/>
    <n v="3000000"/>
    <m/>
    <x v="1"/>
    <n v="3000000"/>
  </r>
  <r>
    <x v="1"/>
    <x v="11"/>
    <x v="11"/>
    <x v="10"/>
    <s v="Regulación y supervisión"/>
    <x v="7"/>
    <x v="222"/>
    <x v="148"/>
    <x v="29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05570"/>
    <n v="0"/>
    <n v="0"/>
    <n v="105570"/>
    <n v="307202"/>
    <m/>
    <x v="1"/>
    <n v="307202"/>
  </r>
  <r>
    <x v="1"/>
    <x v="11"/>
    <x v="11"/>
    <x v="10"/>
    <s v="Regulación y supervisión"/>
    <x v="7"/>
    <x v="222"/>
    <x v="148"/>
    <x v="29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8000000"/>
    <n v="0"/>
    <n v="0"/>
    <n v="8000000"/>
    <n v="3000000"/>
    <m/>
    <x v="1"/>
    <n v="3000000"/>
  </r>
  <r>
    <x v="1"/>
    <x v="11"/>
    <x v="11"/>
    <x v="10"/>
    <s v="Regulación y supervisión"/>
    <x v="7"/>
    <x v="222"/>
    <x v="149"/>
    <x v="29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7"/>
    <x v="222"/>
    <x v="163"/>
    <x v="31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685600"/>
    <n v="0"/>
    <n v="0"/>
    <n v="2685600"/>
    <n v="2511365"/>
    <m/>
    <x v="1"/>
    <n v="2511365"/>
  </r>
  <r>
    <x v="1"/>
    <x v="11"/>
    <x v="11"/>
    <x v="10"/>
    <s v="Regulación y supervisión"/>
    <x v="7"/>
    <x v="222"/>
    <x v="163"/>
    <x v="312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n v="6000000"/>
    <m/>
    <x v="1"/>
    <n v="6000000"/>
  </r>
  <r>
    <x v="1"/>
    <x v="11"/>
    <x v="11"/>
    <x v="10"/>
    <s v="Regulación y supervisión"/>
    <x v="7"/>
    <x v="222"/>
    <x v="164"/>
    <x v="31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30000"/>
    <n v="0"/>
    <n v="0"/>
    <n v="630000"/>
    <n v="611120"/>
    <m/>
    <x v="1"/>
    <n v="611120"/>
  </r>
  <r>
    <x v="1"/>
    <x v="11"/>
    <x v="11"/>
    <x v="10"/>
    <s v="Regulación y supervisión"/>
    <x v="7"/>
    <x v="222"/>
    <x v="164"/>
    <x v="313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8000000"/>
    <n v="0"/>
    <n v="0"/>
    <n v="8000000"/>
    <m/>
    <m/>
    <x v="1"/>
    <n v="0"/>
  </r>
  <r>
    <x v="1"/>
    <x v="11"/>
    <x v="11"/>
    <x v="10"/>
    <s v="Regulación y supervisión"/>
    <x v="7"/>
    <x v="222"/>
    <x v="150"/>
    <x v="29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39653"/>
    <n v="0"/>
    <n v="0"/>
    <n v="439653"/>
    <n v="277388"/>
    <m/>
    <x v="1"/>
    <n v="277388"/>
  </r>
  <r>
    <x v="1"/>
    <x v="11"/>
    <x v="11"/>
    <x v="10"/>
    <s v="Regulación y supervisión"/>
    <x v="7"/>
    <x v="222"/>
    <x v="150"/>
    <x v="299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7"/>
    <x v="222"/>
    <x v="165"/>
    <x v="31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718955"/>
    <n v="0"/>
    <n v="0"/>
    <n v="1718955"/>
    <n v="1781771"/>
    <m/>
    <x v="1"/>
    <n v="1781771"/>
  </r>
  <r>
    <x v="1"/>
    <x v="11"/>
    <x v="11"/>
    <x v="10"/>
    <s v="Regulación y supervisión"/>
    <x v="7"/>
    <x v="222"/>
    <x v="165"/>
    <x v="31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6000000"/>
    <n v="0"/>
    <n v="0"/>
    <n v="6000000"/>
    <m/>
    <m/>
    <x v="1"/>
    <n v="0"/>
  </r>
  <r>
    <x v="1"/>
    <x v="11"/>
    <x v="11"/>
    <x v="10"/>
    <s v="Regulación y supervisión"/>
    <x v="7"/>
    <x v="222"/>
    <x v="166"/>
    <x v="31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66420"/>
    <n v="0"/>
    <n v="0"/>
    <n v="66420"/>
    <n v="95056"/>
    <m/>
    <x v="1"/>
    <n v="95056"/>
  </r>
  <r>
    <x v="1"/>
    <x v="11"/>
    <x v="11"/>
    <x v="10"/>
    <s v="Regulación y supervisión"/>
    <x v="7"/>
    <x v="222"/>
    <x v="166"/>
    <x v="31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220000"/>
    <n v="0"/>
    <n v="0"/>
    <n v="4220000"/>
    <n v="4600000"/>
    <m/>
    <x v="1"/>
    <n v="4600000"/>
  </r>
  <r>
    <x v="1"/>
    <x v="11"/>
    <x v="11"/>
    <x v="10"/>
    <s v="Regulación y supervisión"/>
    <x v="7"/>
    <x v="222"/>
    <x v="167"/>
    <x v="31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92570"/>
    <n v="0"/>
    <n v="0"/>
    <n v="492570"/>
    <n v="466636"/>
    <m/>
    <x v="1"/>
    <n v="466636"/>
  </r>
  <r>
    <x v="1"/>
    <x v="11"/>
    <x v="11"/>
    <x v="10"/>
    <s v="Regulación y supervisión"/>
    <x v="7"/>
    <x v="222"/>
    <x v="167"/>
    <x v="31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6000000"/>
    <m/>
    <x v="1"/>
    <n v="6000000"/>
  </r>
  <r>
    <x v="1"/>
    <x v="11"/>
    <x v="11"/>
    <x v="10"/>
    <s v="Regulación y supervisión"/>
    <x v="7"/>
    <x v="222"/>
    <x v="151"/>
    <x v="300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623943"/>
    <n v="0"/>
    <n v="0"/>
    <n v="1623943"/>
    <n v="2470576"/>
    <m/>
    <x v="1"/>
    <n v="2470576"/>
  </r>
  <r>
    <x v="1"/>
    <x v="11"/>
    <x v="11"/>
    <x v="10"/>
    <s v="Regulación y supervisión"/>
    <x v="7"/>
    <x v="222"/>
    <x v="151"/>
    <x v="300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7095600"/>
    <n v="0"/>
    <n v="0"/>
    <n v="7095600"/>
    <m/>
    <m/>
    <x v="1"/>
    <n v="0"/>
  </r>
  <r>
    <x v="1"/>
    <x v="11"/>
    <x v="11"/>
    <x v="10"/>
    <s v="Regulación y supervisión"/>
    <x v="7"/>
    <x v="222"/>
    <x v="168"/>
    <x v="31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783000"/>
    <n v="0"/>
    <n v="0"/>
    <n v="783000"/>
    <n v="509842"/>
    <m/>
    <x v="1"/>
    <n v="509842"/>
  </r>
  <r>
    <x v="1"/>
    <x v="11"/>
    <x v="11"/>
    <x v="10"/>
    <s v="Regulación y supervisión"/>
    <x v="7"/>
    <x v="222"/>
    <x v="168"/>
    <x v="31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n v="3000000"/>
    <m/>
    <x v="1"/>
    <n v="3000000"/>
  </r>
  <r>
    <x v="1"/>
    <x v="11"/>
    <x v="11"/>
    <x v="10"/>
    <s v="Regulación y supervisión"/>
    <x v="7"/>
    <x v="222"/>
    <x v="152"/>
    <x v="30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353150"/>
    <n v="0"/>
    <n v="0"/>
    <n v="1353150"/>
    <n v="2170287"/>
    <m/>
    <x v="1"/>
    <n v="2170287"/>
  </r>
  <r>
    <x v="1"/>
    <x v="11"/>
    <x v="11"/>
    <x v="10"/>
    <s v="Regulación y supervisión"/>
    <x v="7"/>
    <x v="222"/>
    <x v="152"/>
    <x v="301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145300"/>
    <n v="0"/>
    <n v="0"/>
    <n v="4145300"/>
    <m/>
    <m/>
    <x v="1"/>
    <n v="0"/>
  </r>
  <r>
    <x v="1"/>
    <x v="11"/>
    <x v="11"/>
    <x v="10"/>
    <s v="Regulación y supervisión"/>
    <x v="7"/>
    <x v="222"/>
    <x v="169"/>
    <x v="31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14000"/>
    <n v="0"/>
    <n v="0"/>
    <n v="414000"/>
    <m/>
    <m/>
    <x v="1"/>
    <n v="0"/>
  </r>
  <r>
    <x v="1"/>
    <x v="11"/>
    <x v="11"/>
    <x v="10"/>
    <s v="Regulación y supervisión"/>
    <x v="7"/>
    <x v="222"/>
    <x v="169"/>
    <x v="31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7"/>
    <x v="222"/>
    <x v="170"/>
    <x v="31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814500"/>
    <n v="0"/>
    <n v="0"/>
    <n v="814500"/>
    <n v="673251"/>
    <m/>
    <x v="1"/>
    <n v="673251"/>
  </r>
  <r>
    <x v="1"/>
    <x v="11"/>
    <x v="11"/>
    <x v="10"/>
    <s v="Regulación y supervisión"/>
    <x v="7"/>
    <x v="222"/>
    <x v="170"/>
    <x v="319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8900000"/>
    <n v="0"/>
    <n v="0"/>
    <n v="8900000"/>
    <m/>
    <m/>
    <x v="1"/>
    <n v="0"/>
  </r>
  <r>
    <x v="1"/>
    <x v="11"/>
    <x v="11"/>
    <x v="10"/>
    <s v="Regulación y supervisión"/>
    <x v="7"/>
    <x v="222"/>
    <x v="171"/>
    <x v="320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m/>
    <m/>
    <m/>
    <m/>
    <n v="3000000"/>
    <m/>
    <x v="1"/>
    <n v="3000000"/>
  </r>
  <r>
    <x v="1"/>
    <x v="11"/>
    <x v="11"/>
    <x v="10"/>
    <s v="Regulación y supervisión"/>
    <x v="7"/>
    <x v="222"/>
    <x v="153"/>
    <x v="30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m/>
    <m/>
    <m/>
    <m/>
    <n v="51849"/>
    <m/>
    <x v="1"/>
    <n v="51849"/>
  </r>
  <r>
    <x v="1"/>
    <x v="11"/>
    <x v="11"/>
    <x v="10"/>
    <s v="Regulación y supervisión"/>
    <x v="7"/>
    <x v="222"/>
    <x v="153"/>
    <x v="302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7"/>
    <x v="222"/>
    <x v="172"/>
    <x v="32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786368"/>
    <m/>
    <x v="1"/>
    <n v="786368"/>
  </r>
  <r>
    <x v="1"/>
    <x v="11"/>
    <x v="11"/>
    <x v="10"/>
    <s v="Regulación y supervisión"/>
    <x v="7"/>
    <x v="222"/>
    <x v="172"/>
    <x v="321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7"/>
    <x v="222"/>
    <x v="154"/>
    <x v="30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72500"/>
    <n v="0"/>
    <n v="0"/>
    <n v="472500"/>
    <n v="344361"/>
    <m/>
    <x v="1"/>
    <n v="344361"/>
  </r>
  <r>
    <x v="1"/>
    <x v="11"/>
    <x v="11"/>
    <x v="10"/>
    <s v="Regulación y supervisión"/>
    <x v="7"/>
    <x v="222"/>
    <x v="154"/>
    <x v="303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n v="3000000"/>
    <m/>
    <x v="1"/>
    <n v="3000000"/>
  </r>
  <r>
    <x v="1"/>
    <x v="11"/>
    <x v="11"/>
    <x v="10"/>
    <s v="Regulación y supervisión"/>
    <x v="7"/>
    <x v="222"/>
    <x v="173"/>
    <x v="322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90000"/>
    <n v="0"/>
    <n v="0"/>
    <n v="90000"/>
    <n v="69131"/>
    <m/>
    <x v="1"/>
    <n v="69131"/>
  </r>
  <r>
    <x v="1"/>
    <x v="11"/>
    <x v="11"/>
    <x v="10"/>
    <s v="Regulación y supervisión"/>
    <x v="7"/>
    <x v="222"/>
    <x v="173"/>
    <x v="322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8000000"/>
    <n v="0"/>
    <n v="0"/>
    <n v="8000000"/>
    <n v="3000000"/>
    <m/>
    <x v="1"/>
    <n v="3000000"/>
  </r>
  <r>
    <x v="1"/>
    <x v="11"/>
    <x v="11"/>
    <x v="10"/>
    <s v="Regulación y supervisión"/>
    <x v="7"/>
    <x v="222"/>
    <x v="174"/>
    <x v="32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493900"/>
    <n v="0"/>
    <n v="0"/>
    <n v="2493900"/>
    <n v="2611435"/>
    <m/>
    <x v="1"/>
    <n v="2611435"/>
  </r>
  <r>
    <x v="1"/>
    <x v="11"/>
    <x v="11"/>
    <x v="10"/>
    <s v="Regulación y supervisión"/>
    <x v="7"/>
    <x v="222"/>
    <x v="174"/>
    <x v="323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0946000"/>
    <n v="0"/>
    <n v="0"/>
    <n v="10946000"/>
    <n v="3000000"/>
    <m/>
    <x v="1"/>
    <n v="3000000"/>
  </r>
  <r>
    <x v="1"/>
    <x v="11"/>
    <x v="11"/>
    <x v="10"/>
    <s v="Regulación y supervisión"/>
    <x v="7"/>
    <x v="222"/>
    <x v="155"/>
    <x v="30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90000"/>
    <n v="0"/>
    <n v="0"/>
    <n v="90000"/>
    <n v="2782534"/>
    <m/>
    <x v="1"/>
    <n v="2782534"/>
  </r>
  <r>
    <x v="1"/>
    <x v="11"/>
    <x v="11"/>
    <x v="10"/>
    <s v="Regulación y supervisión"/>
    <x v="7"/>
    <x v="222"/>
    <x v="155"/>
    <x v="30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7"/>
    <x v="222"/>
    <x v="175"/>
    <x v="32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823500"/>
    <n v="0"/>
    <n v="0"/>
    <n v="823500"/>
    <n v="641192"/>
    <m/>
    <x v="1"/>
    <n v="641192"/>
  </r>
  <r>
    <x v="1"/>
    <x v="11"/>
    <x v="11"/>
    <x v="10"/>
    <s v="Regulación y supervisión"/>
    <x v="7"/>
    <x v="222"/>
    <x v="175"/>
    <x v="324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5500000"/>
    <n v="0"/>
    <n v="0"/>
    <n v="5500000"/>
    <n v="2000000"/>
    <m/>
    <x v="1"/>
    <n v="2000000"/>
  </r>
  <r>
    <x v="1"/>
    <x v="11"/>
    <x v="11"/>
    <x v="10"/>
    <s v="Regulación y supervisión"/>
    <x v="7"/>
    <x v="222"/>
    <x v="176"/>
    <x v="32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77000"/>
    <n v="0"/>
    <n v="0"/>
    <n v="477000"/>
    <n v="397505"/>
    <m/>
    <x v="1"/>
    <n v="397505"/>
  </r>
  <r>
    <x v="1"/>
    <x v="11"/>
    <x v="11"/>
    <x v="10"/>
    <s v="Regulación y supervisión"/>
    <x v="7"/>
    <x v="222"/>
    <x v="176"/>
    <x v="32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6300000"/>
    <n v="0"/>
    <n v="0"/>
    <n v="6300000"/>
    <n v="600000"/>
    <m/>
    <x v="1"/>
    <n v="600000"/>
  </r>
  <r>
    <x v="1"/>
    <x v="11"/>
    <x v="11"/>
    <x v="10"/>
    <s v="Regulación y supervisión"/>
    <x v="7"/>
    <x v="222"/>
    <x v="156"/>
    <x v="305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197540"/>
    <n v="0"/>
    <n v="0"/>
    <n v="3197540"/>
    <n v="3989132"/>
    <m/>
    <x v="1"/>
    <n v="3989132"/>
  </r>
  <r>
    <x v="1"/>
    <x v="11"/>
    <x v="11"/>
    <x v="10"/>
    <s v="Regulación y supervisión"/>
    <x v="7"/>
    <x v="222"/>
    <x v="156"/>
    <x v="305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0380000"/>
    <n v="0"/>
    <n v="0"/>
    <n v="10380000"/>
    <n v="3350000"/>
    <m/>
    <x v="1"/>
    <n v="3350000"/>
  </r>
  <r>
    <x v="1"/>
    <x v="11"/>
    <x v="11"/>
    <x v="10"/>
    <s v="Regulación y supervisión"/>
    <x v="7"/>
    <x v="222"/>
    <x v="177"/>
    <x v="32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98000"/>
    <n v="0"/>
    <n v="0"/>
    <n v="198000"/>
    <n v="328374"/>
    <m/>
    <x v="1"/>
    <n v="328374"/>
  </r>
  <r>
    <x v="1"/>
    <x v="11"/>
    <x v="11"/>
    <x v="10"/>
    <s v="Regulación y supervisión"/>
    <x v="7"/>
    <x v="222"/>
    <x v="177"/>
    <x v="32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4000000"/>
    <n v="0"/>
    <n v="0"/>
    <n v="4000000"/>
    <m/>
    <m/>
    <x v="1"/>
    <n v="0"/>
  </r>
  <r>
    <x v="1"/>
    <x v="11"/>
    <x v="11"/>
    <x v="10"/>
    <s v="Regulación y supervisión"/>
    <x v="7"/>
    <x v="222"/>
    <x v="157"/>
    <x v="30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981700"/>
    <n v="0"/>
    <n v="0"/>
    <n v="2981700"/>
    <n v="2784950"/>
    <m/>
    <x v="1"/>
    <n v="2784950"/>
  </r>
  <r>
    <x v="1"/>
    <x v="11"/>
    <x v="11"/>
    <x v="10"/>
    <s v="Regulación y supervisión"/>
    <x v="7"/>
    <x v="222"/>
    <x v="157"/>
    <x v="306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8810000"/>
    <n v="0"/>
    <n v="0"/>
    <n v="8810000"/>
    <m/>
    <m/>
    <x v="1"/>
    <n v="0"/>
  </r>
  <r>
    <x v="1"/>
    <x v="11"/>
    <x v="11"/>
    <x v="10"/>
    <s v="Regulación y supervisión"/>
    <x v="7"/>
    <x v="222"/>
    <x v="178"/>
    <x v="32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218500"/>
    <n v="0"/>
    <n v="0"/>
    <n v="2218500"/>
    <n v="1620263"/>
    <m/>
    <x v="1"/>
    <n v="1620263"/>
  </r>
  <r>
    <x v="1"/>
    <x v="11"/>
    <x v="11"/>
    <x v="10"/>
    <s v="Regulación y supervisión"/>
    <x v="7"/>
    <x v="222"/>
    <x v="178"/>
    <x v="32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000000"/>
    <n v="0"/>
    <n v="0"/>
    <n v="1000000"/>
    <m/>
    <m/>
    <x v="1"/>
    <n v="0"/>
  </r>
  <r>
    <x v="1"/>
    <x v="11"/>
    <x v="11"/>
    <x v="10"/>
    <s v="Regulación y supervisión"/>
    <x v="7"/>
    <x v="222"/>
    <x v="158"/>
    <x v="30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567000"/>
    <n v="0"/>
    <n v="0"/>
    <n v="567000"/>
    <n v="619588"/>
    <m/>
    <x v="1"/>
    <n v="619588"/>
  </r>
  <r>
    <x v="1"/>
    <x v="11"/>
    <x v="11"/>
    <x v="10"/>
    <s v="Regulación y supervisión"/>
    <x v="7"/>
    <x v="222"/>
    <x v="158"/>
    <x v="307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1000000"/>
    <n v="0"/>
    <n v="0"/>
    <n v="11000000"/>
    <n v="3000000"/>
    <m/>
    <x v="1"/>
    <n v="3000000"/>
  </r>
  <r>
    <x v="1"/>
    <x v="11"/>
    <x v="11"/>
    <x v="10"/>
    <s v="Regulación y supervisión"/>
    <x v="7"/>
    <x v="222"/>
    <x v="159"/>
    <x v="30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472500"/>
    <n v="0"/>
    <n v="0"/>
    <n v="472500"/>
    <n v="483919"/>
    <m/>
    <x v="1"/>
    <n v="483919"/>
  </r>
  <r>
    <x v="1"/>
    <x v="11"/>
    <x v="11"/>
    <x v="10"/>
    <s v="Regulación y supervisión"/>
    <x v="7"/>
    <x v="222"/>
    <x v="159"/>
    <x v="30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7000000"/>
    <n v="0"/>
    <n v="0"/>
    <n v="7000000"/>
    <n v="600000"/>
    <m/>
    <x v="1"/>
    <n v="600000"/>
  </r>
  <r>
    <x v="1"/>
    <x v="11"/>
    <x v="11"/>
    <x v="10"/>
    <s v="Regulación y supervisión"/>
    <x v="7"/>
    <x v="222"/>
    <x v="179"/>
    <x v="32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25000"/>
    <n v="0"/>
    <n v="0"/>
    <n v="225000"/>
    <n v="267453"/>
    <m/>
    <x v="1"/>
    <n v="267453"/>
  </r>
  <r>
    <x v="1"/>
    <x v="11"/>
    <x v="11"/>
    <x v="10"/>
    <s v="Regulación y supervisión"/>
    <x v="7"/>
    <x v="222"/>
    <x v="179"/>
    <x v="32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8280000"/>
    <n v="0"/>
    <n v="0"/>
    <n v="8280000"/>
    <n v="3000000"/>
    <m/>
    <x v="1"/>
    <n v="3000000"/>
  </r>
  <r>
    <x v="1"/>
    <x v="11"/>
    <x v="11"/>
    <x v="10"/>
    <s v="Regulación y supervisión"/>
    <x v="8"/>
    <x v="223"/>
    <x v="101"/>
    <x v="33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1"/>
    <m/>
    <x v="0"/>
    <x v="0"/>
    <m/>
    <n v="233923537"/>
    <n v="0"/>
    <n v="-30090319"/>
    <n v="203833218"/>
    <n v="2257764902"/>
    <m/>
    <x v="1"/>
    <n v="2257764902"/>
  </r>
  <r>
    <x v="1"/>
    <x v="11"/>
    <x v="11"/>
    <x v="10"/>
    <s v="Regulación y supervisión"/>
    <x v="8"/>
    <x v="223"/>
    <x v="162"/>
    <x v="31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43640"/>
    <n v="0"/>
    <n v="0"/>
    <n v="143640"/>
    <n v="147940"/>
    <m/>
    <x v="1"/>
    <n v="147940"/>
  </r>
  <r>
    <x v="1"/>
    <x v="11"/>
    <x v="11"/>
    <x v="10"/>
    <s v="Regulación y supervisión"/>
    <x v="8"/>
    <x v="223"/>
    <x v="147"/>
    <x v="29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12120"/>
    <n v="0"/>
    <n v="0"/>
    <n v="312120"/>
    <n v="317662"/>
    <m/>
    <x v="1"/>
    <n v="317662"/>
  </r>
  <r>
    <x v="1"/>
    <x v="11"/>
    <x v="11"/>
    <x v="10"/>
    <s v="Regulación y supervisión"/>
    <x v="8"/>
    <x v="223"/>
    <x v="148"/>
    <x v="29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82600"/>
    <n v="0"/>
    <n v="0"/>
    <n v="282600"/>
    <n v="392321"/>
    <m/>
    <x v="1"/>
    <n v="392321"/>
  </r>
  <r>
    <x v="1"/>
    <x v="11"/>
    <x v="11"/>
    <x v="10"/>
    <s v="Regulación y supervisión"/>
    <x v="8"/>
    <x v="223"/>
    <x v="149"/>
    <x v="29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12220"/>
    <n v="0"/>
    <n v="0"/>
    <n v="212220"/>
    <n v="192529"/>
    <m/>
    <x v="1"/>
    <n v="192529"/>
  </r>
  <r>
    <x v="1"/>
    <x v="11"/>
    <x v="11"/>
    <x v="10"/>
    <s v="Regulación y supervisión"/>
    <x v="8"/>
    <x v="223"/>
    <x v="163"/>
    <x v="31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23900"/>
    <n v="0"/>
    <n v="0"/>
    <n v="423900"/>
    <n v="749209"/>
    <m/>
    <x v="1"/>
    <n v="749209"/>
  </r>
  <r>
    <x v="1"/>
    <x v="11"/>
    <x v="11"/>
    <x v="10"/>
    <s v="Regulación y supervisión"/>
    <x v="8"/>
    <x v="223"/>
    <x v="164"/>
    <x v="31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35900"/>
    <n v="0"/>
    <n v="0"/>
    <n v="135900"/>
    <n v="156840"/>
    <m/>
    <x v="1"/>
    <n v="156840"/>
  </r>
  <r>
    <x v="1"/>
    <x v="11"/>
    <x v="11"/>
    <x v="10"/>
    <s v="Regulación y supervisión"/>
    <x v="8"/>
    <x v="223"/>
    <x v="150"/>
    <x v="299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954450"/>
    <n v="0"/>
    <n v="0"/>
    <n v="954450"/>
    <n v="1053129"/>
    <m/>
    <x v="1"/>
    <n v="1053129"/>
  </r>
  <r>
    <x v="1"/>
    <x v="11"/>
    <x v="11"/>
    <x v="10"/>
    <s v="Regulación y supervisión"/>
    <x v="8"/>
    <x v="223"/>
    <x v="165"/>
    <x v="31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522630"/>
    <n v="0"/>
    <n v="0"/>
    <n v="522630"/>
    <n v="509842"/>
    <m/>
    <x v="1"/>
    <n v="509842"/>
  </r>
  <r>
    <x v="1"/>
    <x v="11"/>
    <x v="11"/>
    <x v="10"/>
    <s v="Regulación y supervisión"/>
    <x v="8"/>
    <x v="223"/>
    <x v="166"/>
    <x v="31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50000"/>
    <n v="0"/>
    <n v="0"/>
    <n v="450000"/>
    <n v="504657"/>
    <m/>
    <x v="1"/>
    <n v="504657"/>
  </r>
  <r>
    <x v="1"/>
    <x v="11"/>
    <x v="11"/>
    <x v="10"/>
    <s v="Regulación y supervisión"/>
    <x v="8"/>
    <x v="223"/>
    <x v="167"/>
    <x v="31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61620"/>
    <n v="0"/>
    <n v="0"/>
    <n v="361620"/>
    <n v="343496"/>
    <m/>
    <x v="1"/>
    <n v="343496"/>
  </r>
  <r>
    <x v="1"/>
    <x v="11"/>
    <x v="11"/>
    <x v="10"/>
    <s v="Regulación y supervisión"/>
    <x v="8"/>
    <x v="223"/>
    <x v="151"/>
    <x v="300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723061"/>
    <n v="0"/>
    <n v="0"/>
    <n v="723061"/>
    <n v="772197"/>
    <m/>
    <x v="1"/>
    <n v="772197"/>
  </r>
  <r>
    <x v="1"/>
    <x v="11"/>
    <x v="11"/>
    <x v="10"/>
    <s v="Regulación y supervisión"/>
    <x v="8"/>
    <x v="223"/>
    <x v="168"/>
    <x v="31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657000"/>
    <n v="0"/>
    <n v="0"/>
    <n v="657000"/>
    <n v="681287"/>
    <m/>
    <x v="1"/>
    <n v="681287"/>
  </r>
  <r>
    <x v="1"/>
    <x v="11"/>
    <x v="11"/>
    <x v="10"/>
    <s v="Regulación y supervisión"/>
    <x v="8"/>
    <x v="223"/>
    <x v="152"/>
    <x v="30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874170"/>
    <n v="0"/>
    <n v="0"/>
    <n v="874170"/>
    <n v="851177"/>
    <m/>
    <x v="1"/>
    <n v="851177"/>
  </r>
  <r>
    <x v="1"/>
    <x v="11"/>
    <x v="11"/>
    <x v="10"/>
    <s v="Regulación y supervisión"/>
    <x v="8"/>
    <x v="223"/>
    <x v="169"/>
    <x v="31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179000"/>
    <n v="0"/>
    <n v="0"/>
    <n v="1179000"/>
    <n v="717235"/>
    <m/>
    <x v="1"/>
    <n v="717235"/>
  </r>
  <r>
    <x v="1"/>
    <x v="11"/>
    <x v="11"/>
    <x v="10"/>
    <s v="Regulación y supervisión"/>
    <x v="8"/>
    <x v="223"/>
    <x v="170"/>
    <x v="319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684180"/>
    <n v="0"/>
    <n v="0"/>
    <n v="684180"/>
    <n v="649919"/>
    <m/>
    <x v="1"/>
    <n v="649919"/>
  </r>
  <r>
    <x v="1"/>
    <x v="11"/>
    <x v="11"/>
    <x v="10"/>
    <s v="Regulación y supervisión"/>
    <x v="8"/>
    <x v="223"/>
    <x v="171"/>
    <x v="320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42640"/>
    <n v="0"/>
    <n v="0"/>
    <n v="242640"/>
    <n v="288623"/>
    <m/>
    <x v="1"/>
    <n v="288623"/>
  </r>
  <r>
    <x v="1"/>
    <x v="11"/>
    <x v="11"/>
    <x v="10"/>
    <s v="Regulación y supervisión"/>
    <x v="8"/>
    <x v="223"/>
    <x v="153"/>
    <x v="30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67400"/>
    <n v="0"/>
    <n v="0"/>
    <n v="167400"/>
    <n v="187518"/>
    <m/>
    <x v="1"/>
    <n v="187518"/>
  </r>
  <r>
    <x v="1"/>
    <x v="11"/>
    <x v="11"/>
    <x v="10"/>
    <s v="Regulación y supervisión"/>
    <x v="8"/>
    <x v="223"/>
    <x v="172"/>
    <x v="32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567810"/>
    <n v="0"/>
    <n v="0"/>
    <n v="567810"/>
    <n v="659688"/>
    <m/>
    <x v="1"/>
    <n v="659688"/>
  </r>
  <r>
    <x v="1"/>
    <x v="11"/>
    <x v="11"/>
    <x v="10"/>
    <s v="Regulación y supervisión"/>
    <x v="8"/>
    <x v="223"/>
    <x v="154"/>
    <x v="30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611190"/>
    <n v="0"/>
    <n v="0"/>
    <n v="611190"/>
    <n v="846858"/>
    <m/>
    <x v="1"/>
    <n v="846858"/>
  </r>
  <r>
    <x v="1"/>
    <x v="11"/>
    <x v="11"/>
    <x v="10"/>
    <s v="Regulación y supervisión"/>
    <x v="8"/>
    <x v="223"/>
    <x v="173"/>
    <x v="32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054170"/>
    <n v="0"/>
    <n v="0"/>
    <n v="1054170"/>
    <n v="886955"/>
    <m/>
    <x v="1"/>
    <n v="886955"/>
  </r>
  <r>
    <x v="1"/>
    <x v="11"/>
    <x v="11"/>
    <x v="10"/>
    <s v="Regulación y supervisión"/>
    <x v="8"/>
    <x v="223"/>
    <x v="174"/>
    <x v="32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28240"/>
    <n v="0"/>
    <n v="0"/>
    <n v="228240"/>
    <n v="233749"/>
    <m/>
    <x v="1"/>
    <n v="233749"/>
  </r>
  <r>
    <x v="1"/>
    <x v="11"/>
    <x v="11"/>
    <x v="10"/>
    <s v="Regulación y supervisión"/>
    <x v="8"/>
    <x v="223"/>
    <x v="155"/>
    <x v="30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45507"/>
    <n v="0"/>
    <n v="0"/>
    <n v="245507"/>
    <n v="250167"/>
    <m/>
    <x v="1"/>
    <n v="250167"/>
  </r>
  <r>
    <x v="1"/>
    <x v="11"/>
    <x v="11"/>
    <x v="10"/>
    <s v="Regulación y supervisión"/>
    <x v="8"/>
    <x v="223"/>
    <x v="175"/>
    <x v="32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725400"/>
    <n v="0"/>
    <n v="0"/>
    <n v="725400"/>
    <n v="803648"/>
    <m/>
    <x v="1"/>
    <n v="803648"/>
  </r>
  <r>
    <x v="1"/>
    <x v="11"/>
    <x v="11"/>
    <x v="10"/>
    <s v="Regulación y supervisión"/>
    <x v="8"/>
    <x v="223"/>
    <x v="176"/>
    <x v="32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19130"/>
    <n v="0"/>
    <n v="0"/>
    <n v="419130"/>
    <n v="435181"/>
    <m/>
    <x v="1"/>
    <n v="435181"/>
  </r>
  <r>
    <x v="1"/>
    <x v="11"/>
    <x v="11"/>
    <x v="10"/>
    <s v="Regulación y supervisión"/>
    <x v="8"/>
    <x v="223"/>
    <x v="156"/>
    <x v="30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471050"/>
    <n v="0"/>
    <n v="0"/>
    <n v="1471050"/>
    <n v="1548111"/>
    <m/>
    <x v="1"/>
    <n v="1548111"/>
  </r>
  <r>
    <x v="1"/>
    <x v="11"/>
    <x v="11"/>
    <x v="10"/>
    <s v="Regulación y supervisión"/>
    <x v="8"/>
    <x v="223"/>
    <x v="177"/>
    <x v="32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105560"/>
    <n v="0"/>
    <n v="0"/>
    <n v="1105560"/>
    <n v="1104631"/>
    <m/>
    <x v="1"/>
    <n v="1104631"/>
  </r>
  <r>
    <x v="1"/>
    <x v="11"/>
    <x v="11"/>
    <x v="10"/>
    <s v="Regulación y supervisión"/>
    <x v="8"/>
    <x v="223"/>
    <x v="157"/>
    <x v="30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33800"/>
    <n v="0"/>
    <n v="0"/>
    <n v="433800"/>
    <n v="424724"/>
    <m/>
    <x v="1"/>
    <n v="424724"/>
  </r>
  <r>
    <x v="1"/>
    <x v="11"/>
    <x v="11"/>
    <x v="10"/>
    <s v="Regulación y supervisión"/>
    <x v="8"/>
    <x v="223"/>
    <x v="178"/>
    <x v="32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55700"/>
    <n v="0"/>
    <n v="0"/>
    <n v="155700"/>
    <n v="100673"/>
    <m/>
    <x v="1"/>
    <n v="100673"/>
  </r>
  <r>
    <x v="1"/>
    <x v="11"/>
    <x v="11"/>
    <x v="10"/>
    <s v="Regulación y supervisión"/>
    <x v="8"/>
    <x v="223"/>
    <x v="158"/>
    <x v="30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784087"/>
    <n v="0"/>
    <n v="0"/>
    <n v="784087"/>
    <n v="730804"/>
    <m/>
    <x v="1"/>
    <n v="730804"/>
  </r>
  <r>
    <x v="1"/>
    <x v="11"/>
    <x v="11"/>
    <x v="10"/>
    <s v="Regulación y supervisión"/>
    <x v="8"/>
    <x v="223"/>
    <x v="159"/>
    <x v="30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79700"/>
    <n v="0"/>
    <n v="0"/>
    <n v="479700"/>
    <n v="566011"/>
    <m/>
    <x v="1"/>
    <n v="566011"/>
  </r>
  <r>
    <x v="1"/>
    <x v="11"/>
    <x v="11"/>
    <x v="10"/>
    <s v="Regulación y supervisión"/>
    <x v="8"/>
    <x v="223"/>
    <x v="179"/>
    <x v="32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652500"/>
    <n v="0"/>
    <n v="0"/>
    <n v="652500"/>
    <n v="815751"/>
    <m/>
    <x v="1"/>
    <n v="815751"/>
  </r>
  <r>
    <x v="1"/>
    <x v="11"/>
    <x v="11"/>
    <x v="10"/>
    <s v="Regulación y supervisión"/>
    <x v="9"/>
    <x v="224"/>
    <x v="4"/>
    <x v="33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7485083"/>
    <n v="0"/>
    <n v="-1347146"/>
    <n v="46137937"/>
    <n v="43516251"/>
    <m/>
    <x v="1"/>
    <n v="43516251"/>
  </r>
  <r>
    <x v="1"/>
    <x v="11"/>
    <x v="11"/>
    <x v="10"/>
    <s v="Regulación y supervisión"/>
    <x v="9"/>
    <x v="224"/>
    <x v="4"/>
    <x v="33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00533000"/>
    <n v="0"/>
    <n v="-146912068"/>
    <n v="253620932"/>
    <n v="349300000"/>
    <m/>
    <x v="1"/>
    <n v="349300000"/>
  </r>
  <r>
    <x v="1"/>
    <x v="11"/>
    <x v="11"/>
    <x v="10"/>
    <s v="Regulación y supervisión"/>
    <x v="9"/>
    <x v="224"/>
    <x v="162"/>
    <x v="31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259243"/>
    <m/>
    <x v="1"/>
    <n v="259243"/>
  </r>
  <r>
    <x v="1"/>
    <x v="11"/>
    <x v="11"/>
    <x v="10"/>
    <s v="Regulación y supervisión"/>
    <x v="9"/>
    <x v="224"/>
    <x v="162"/>
    <x v="31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700000"/>
    <n v="0"/>
    <n v="0"/>
    <n v="9700000"/>
    <n v="6500000"/>
    <m/>
    <x v="1"/>
    <n v="6500000"/>
  </r>
  <r>
    <x v="1"/>
    <x v="11"/>
    <x v="11"/>
    <x v="10"/>
    <s v="Regulación y supervisión"/>
    <x v="9"/>
    <x v="224"/>
    <x v="147"/>
    <x v="29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172830"/>
    <m/>
    <x v="1"/>
    <n v="172830"/>
  </r>
  <r>
    <x v="1"/>
    <x v="11"/>
    <x v="11"/>
    <x v="10"/>
    <s v="Regulación y supervisión"/>
    <x v="9"/>
    <x v="224"/>
    <x v="147"/>
    <x v="29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200000"/>
    <n v="0"/>
    <n v="0"/>
    <n v="5200000"/>
    <n v="11700000"/>
    <m/>
    <x v="1"/>
    <n v="11700000"/>
  </r>
  <r>
    <x v="1"/>
    <x v="11"/>
    <x v="11"/>
    <x v="10"/>
    <s v="Regulación y supervisión"/>
    <x v="9"/>
    <x v="224"/>
    <x v="148"/>
    <x v="29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172830"/>
    <m/>
    <x v="1"/>
    <n v="172830"/>
  </r>
  <r>
    <x v="1"/>
    <x v="11"/>
    <x v="11"/>
    <x v="10"/>
    <s v="Regulación y supervisión"/>
    <x v="9"/>
    <x v="224"/>
    <x v="148"/>
    <x v="29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9900000"/>
    <n v="0"/>
    <n v="0"/>
    <n v="19900000"/>
    <n v="28900000"/>
    <m/>
    <x v="1"/>
    <n v="28900000"/>
  </r>
  <r>
    <x v="1"/>
    <x v="11"/>
    <x v="11"/>
    <x v="10"/>
    <s v="Regulación y supervisión"/>
    <x v="9"/>
    <x v="224"/>
    <x v="149"/>
    <x v="29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0"/>
    <n v="0"/>
    <n v="0"/>
    <n v="90000"/>
    <n v="86412"/>
    <m/>
    <x v="1"/>
    <n v="86412"/>
  </r>
  <r>
    <x v="1"/>
    <x v="11"/>
    <x v="11"/>
    <x v="10"/>
    <s v="Regulación y supervisión"/>
    <x v="9"/>
    <x v="224"/>
    <x v="149"/>
    <x v="29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300000"/>
    <n v="0"/>
    <n v="0"/>
    <n v="6300000"/>
    <n v="6300000"/>
    <m/>
    <x v="1"/>
    <n v="6300000"/>
  </r>
  <r>
    <x v="1"/>
    <x v="11"/>
    <x v="11"/>
    <x v="10"/>
    <s v="Regulación y supervisión"/>
    <x v="9"/>
    <x v="224"/>
    <x v="163"/>
    <x v="31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0"/>
    <n v="0"/>
    <n v="0"/>
    <n v="90000"/>
    <n v="86412"/>
    <m/>
    <x v="1"/>
    <n v="86412"/>
  </r>
  <r>
    <x v="1"/>
    <x v="11"/>
    <x v="11"/>
    <x v="10"/>
    <s v="Regulación y supervisión"/>
    <x v="9"/>
    <x v="224"/>
    <x v="163"/>
    <x v="31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100000"/>
    <n v="0"/>
    <n v="0"/>
    <n v="1100000"/>
    <n v="20000000"/>
    <m/>
    <x v="1"/>
    <n v="20000000"/>
  </r>
  <r>
    <x v="1"/>
    <x v="11"/>
    <x v="11"/>
    <x v="10"/>
    <s v="Regulación y supervisión"/>
    <x v="9"/>
    <x v="224"/>
    <x v="164"/>
    <x v="31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0"/>
    <n v="0"/>
    <n v="0"/>
    <n v="90000"/>
    <m/>
    <m/>
    <x v="1"/>
    <n v="0"/>
  </r>
  <r>
    <x v="1"/>
    <x v="11"/>
    <x v="11"/>
    <x v="10"/>
    <s v="Regulación y supervisión"/>
    <x v="9"/>
    <x v="224"/>
    <x v="164"/>
    <x v="31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5400000"/>
    <n v="0"/>
    <n v="0"/>
    <n v="15400000"/>
    <n v="15400000"/>
    <m/>
    <x v="1"/>
    <n v="15400000"/>
  </r>
  <r>
    <x v="1"/>
    <x v="11"/>
    <x v="11"/>
    <x v="10"/>
    <s v="Regulación y supervisión"/>
    <x v="9"/>
    <x v="224"/>
    <x v="150"/>
    <x v="299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0"/>
    <n v="0"/>
    <n v="0"/>
    <n v="90000"/>
    <n v="86412"/>
    <m/>
    <x v="1"/>
    <n v="86412"/>
  </r>
  <r>
    <x v="1"/>
    <x v="11"/>
    <x v="11"/>
    <x v="10"/>
    <s v="Regulación y supervisión"/>
    <x v="9"/>
    <x v="224"/>
    <x v="150"/>
    <x v="29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100000"/>
    <n v="0"/>
    <n v="0"/>
    <n v="1100000"/>
    <n v="6100000"/>
    <m/>
    <x v="1"/>
    <n v="6100000"/>
  </r>
  <r>
    <x v="1"/>
    <x v="11"/>
    <x v="11"/>
    <x v="10"/>
    <s v="Regulación y supervisión"/>
    <x v="9"/>
    <x v="224"/>
    <x v="165"/>
    <x v="31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100000"/>
    <n v="0"/>
    <n v="0"/>
    <n v="1100000"/>
    <n v="6200000"/>
    <m/>
    <x v="1"/>
    <n v="6200000"/>
  </r>
  <r>
    <x v="1"/>
    <x v="11"/>
    <x v="11"/>
    <x v="10"/>
    <s v="Regulación y supervisión"/>
    <x v="9"/>
    <x v="224"/>
    <x v="166"/>
    <x v="31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259243"/>
    <m/>
    <x v="1"/>
    <n v="259243"/>
  </r>
  <r>
    <x v="1"/>
    <x v="11"/>
    <x v="11"/>
    <x v="10"/>
    <s v="Regulación y supervisión"/>
    <x v="9"/>
    <x v="224"/>
    <x v="166"/>
    <x v="31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600000"/>
    <n v="0"/>
    <n v="0"/>
    <n v="5600000"/>
    <n v="8900000"/>
    <m/>
    <x v="1"/>
    <n v="8900000"/>
  </r>
  <r>
    <x v="1"/>
    <x v="11"/>
    <x v="11"/>
    <x v="10"/>
    <s v="Regulación y supervisión"/>
    <x v="9"/>
    <x v="224"/>
    <x v="167"/>
    <x v="31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172830"/>
    <m/>
    <x v="1"/>
    <n v="172830"/>
  </r>
  <r>
    <x v="1"/>
    <x v="11"/>
    <x v="11"/>
    <x v="10"/>
    <s v="Regulación y supervisión"/>
    <x v="9"/>
    <x v="224"/>
    <x v="167"/>
    <x v="31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6500000"/>
    <n v="0"/>
    <n v="0"/>
    <n v="16500000"/>
    <n v="54700000"/>
    <m/>
    <x v="1"/>
    <n v="54700000"/>
  </r>
  <r>
    <x v="1"/>
    <x v="11"/>
    <x v="11"/>
    <x v="10"/>
    <s v="Regulación y supervisión"/>
    <x v="9"/>
    <x v="224"/>
    <x v="151"/>
    <x v="300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259243"/>
    <m/>
    <x v="1"/>
    <n v="259243"/>
  </r>
  <r>
    <x v="1"/>
    <x v="11"/>
    <x v="11"/>
    <x v="10"/>
    <s v="Regulación y supervisión"/>
    <x v="9"/>
    <x v="224"/>
    <x v="151"/>
    <x v="30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800000"/>
    <n v="0"/>
    <n v="0"/>
    <n v="2800000"/>
    <n v="8000000"/>
    <m/>
    <x v="1"/>
    <n v="8000000"/>
  </r>
  <r>
    <x v="1"/>
    <x v="11"/>
    <x v="11"/>
    <x v="10"/>
    <s v="Regulación y supervisión"/>
    <x v="9"/>
    <x v="224"/>
    <x v="168"/>
    <x v="31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345654"/>
    <m/>
    <x v="1"/>
    <n v="345654"/>
  </r>
  <r>
    <x v="1"/>
    <x v="11"/>
    <x v="11"/>
    <x v="10"/>
    <s v="Regulación y supervisión"/>
    <x v="9"/>
    <x v="224"/>
    <x v="168"/>
    <x v="31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8800000"/>
    <n v="0"/>
    <n v="0"/>
    <n v="18800000"/>
    <n v="29300000"/>
    <m/>
    <x v="1"/>
    <n v="29300000"/>
  </r>
  <r>
    <x v="1"/>
    <x v="11"/>
    <x v="11"/>
    <x v="10"/>
    <s v="Regulación y supervisión"/>
    <x v="9"/>
    <x v="224"/>
    <x v="152"/>
    <x v="30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259243"/>
    <m/>
    <x v="1"/>
    <n v="259243"/>
  </r>
  <r>
    <x v="1"/>
    <x v="11"/>
    <x v="11"/>
    <x v="10"/>
    <s v="Regulación y supervisión"/>
    <x v="9"/>
    <x v="224"/>
    <x v="152"/>
    <x v="30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3400000"/>
    <n v="0"/>
    <n v="0"/>
    <n v="33400000"/>
    <n v="33400000"/>
    <m/>
    <x v="1"/>
    <n v="33400000"/>
  </r>
  <r>
    <x v="1"/>
    <x v="11"/>
    <x v="11"/>
    <x v="10"/>
    <s v="Regulación y supervisión"/>
    <x v="9"/>
    <x v="224"/>
    <x v="169"/>
    <x v="31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259243"/>
    <m/>
    <x v="1"/>
    <n v="259243"/>
  </r>
  <r>
    <x v="1"/>
    <x v="11"/>
    <x v="11"/>
    <x v="10"/>
    <s v="Regulación y supervisión"/>
    <x v="9"/>
    <x v="224"/>
    <x v="169"/>
    <x v="31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3400000"/>
    <n v="0"/>
    <n v="0"/>
    <n v="33400000"/>
    <n v="40900000"/>
    <m/>
    <x v="1"/>
    <n v="40900000"/>
  </r>
  <r>
    <x v="1"/>
    <x v="11"/>
    <x v="11"/>
    <x v="10"/>
    <s v="Regulación y supervisión"/>
    <x v="9"/>
    <x v="224"/>
    <x v="170"/>
    <x v="319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345654"/>
    <m/>
    <x v="1"/>
    <n v="345654"/>
  </r>
  <r>
    <x v="1"/>
    <x v="11"/>
    <x v="11"/>
    <x v="10"/>
    <s v="Regulación y supervisión"/>
    <x v="9"/>
    <x v="224"/>
    <x v="170"/>
    <x v="31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000000"/>
    <n v="0"/>
    <n v="0"/>
    <n v="4000000"/>
    <n v="20200000"/>
    <m/>
    <x v="1"/>
    <n v="20200000"/>
  </r>
  <r>
    <x v="1"/>
    <x v="11"/>
    <x v="11"/>
    <x v="10"/>
    <s v="Regulación y supervisión"/>
    <x v="9"/>
    <x v="224"/>
    <x v="171"/>
    <x v="320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172830"/>
    <m/>
    <x v="1"/>
    <n v="172830"/>
  </r>
  <r>
    <x v="1"/>
    <x v="11"/>
    <x v="11"/>
    <x v="10"/>
    <s v="Regulación y supervisión"/>
    <x v="9"/>
    <x v="224"/>
    <x v="171"/>
    <x v="32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900000"/>
    <n v="0"/>
    <n v="0"/>
    <n v="2900000"/>
    <n v="51900000"/>
    <m/>
    <x v="1"/>
    <n v="51900000"/>
  </r>
  <r>
    <x v="1"/>
    <x v="11"/>
    <x v="11"/>
    <x v="10"/>
    <s v="Regulación y supervisión"/>
    <x v="9"/>
    <x v="224"/>
    <x v="153"/>
    <x v="30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0"/>
    <n v="0"/>
    <n v="0"/>
    <n v="90000"/>
    <n v="86412"/>
    <m/>
    <x v="1"/>
    <n v="86412"/>
  </r>
  <r>
    <x v="1"/>
    <x v="11"/>
    <x v="11"/>
    <x v="10"/>
    <s v="Regulación y supervisión"/>
    <x v="9"/>
    <x v="224"/>
    <x v="153"/>
    <x v="30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500000"/>
    <n v="0"/>
    <n v="0"/>
    <n v="3500000"/>
    <n v="8500000"/>
    <m/>
    <x v="1"/>
    <n v="8500000"/>
  </r>
  <r>
    <x v="1"/>
    <x v="11"/>
    <x v="11"/>
    <x v="10"/>
    <s v="Regulación y supervisión"/>
    <x v="9"/>
    <x v="224"/>
    <x v="172"/>
    <x v="32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259243"/>
    <m/>
    <x v="1"/>
    <n v="259243"/>
  </r>
  <r>
    <x v="1"/>
    <x v="11"/>
    <x v="11"/>
    <x v="10"/>
    <s v="Regulación y supervisión"/>
    <x v="9"/>
    <x v="224"/>
    <x v="172"/>
    <x v="32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9900000"/>
    <n v="0"/>
    <n v="0"/>
    <n v="19900000"/>
    <n v="24900000"/>
    <m/>
    <x v="1"/>
    <n v="24900000"/>
  </r>
  <r>
    <x v="1"/>
    <x v="11"/>
    <x v="11"/>
    <x v="10"/>
    <s v="Regulación y supervisión"/>
    <x v="9"/>
    <x v="224"/>
    <x v="154"/>
    <x v="30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345654"/>
    <m/>
    <x v="1"/>
    <n v="345654"/>
  </r>
  <r>
    <x v="1"/>
    <x v="11"/>
    <x v="11"/>
    <x v="10"/>
    <s v="Regulación y supervisión"/>
    <x v="9"/>
    <x v="224"/>
    <x v="154"/>
    <x v="30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2600000"/>
    <n v="0"/>
    <n v="0"/>
    <n v="32600000"/>
    <n v="33600000"/>
    <m/>
    <x v="1"/>
    <n v="33600000"/>
  </r>
  <r>
    <x v="1"/>
    <x v="11"/>
    <x v="11"/>
    <x v="10"/>
    <s v="Regulación y supervisión"/>
    <x v="9"/>
    <x v="224"/>
    <x v="173"/>
    <x v="32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259243"/>
    <m/>
    <x v="1"/>
    <n v="259243"/>
  </r>
  <r>
    <x v="1"/>
    <x v="11"/>
    <x v="11"/>
    <x v="10"/>
    <s v="Regulación y supervisión"/>
    <x v="9"/>
    <x v="224"/>
    <x v="173"/>
    <x v="32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300000"/>
    <n v="0"/>
    <n v="0"/>
    <n v="6300000"/>
    <n v="7800000"/>
    <m/>
    <x v="1"/>
    <n v="7800000"/>
  </r>
  <r>
    <x v="1"/>
    <x v="11"/>
    <x v="11"/>
    <x v="10"/>
    <s v="Regulación y supervisión"/>
    <x v="9"/>
    <x v="224"/>
    <x v="174"/>
    <x v="32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259243"/>
    <m/>
    <x v="1"/>
    <n v="259243"/>
  </r>
  <r>
    <x v="1"/>
    <x v="11"/>
    <x v="11"/>
    <x v="10"/>
    <s v="Regulación y supervisión"/>
    <x v="9"/>
    <x v="224"/>
    <x v="174"/>
    <x v="32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2900000"/>
    <n v="0"/>
    <n v="0"/>
    <n v="22900000"/>
    <n v="22900000"/>
    <m/>
    <x v="1"/>
    <n v="22900000"/>
  </r>
  <r>
    <x v="1"/>
    <x v="11"/>
    <x v="11"/>
    <x v="10"/>
    <s v="Regulación y supervisión"/>
    <x v="9"/>
    <x v="224"/>
    <x v="155"/>
    <x v="30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0"/>
    <n v="0"/>
    <n v="0"/>
    <n v="90000"/>
    <n v="86412"/>
    <m/>
    <x v="1"/>
    <n v="86412"/>
  </r>
  <r>
    <x v="1"/>
    <x v="11"/>
    <x v="11"/>
    <x v="10"/>
    <s v="Regulación y supervisión"/>
    <x v="9"/>
    <x v="224"/>
    <x v="155"/>
    <x v="30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700000"/>
    <n v="0"/>
    <n v="0"/>
    <n v="9700000"/>
    <n v="14000000"/>
    <m/>
    <x v="1"/>
    <n v="14000000"/>
  </r>
  <r>
    <x v="1"/>
    <x v="11"/>
    <x v="11"/>
    <x v="10"/>
    <s v="Regulación y supervisión"/>
    <x v="9"/>
    <x v="224"/>
    <x v="175"/>
    <x v="32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172830"/>
    <m/>
    <x v="1"/>
    <n v="172830"/>
  </r>
  <r>
    <x v="1"/>
    <x v="11"/>
    <x v="11"/>
    <x v="10"/>
    <s v="Regulación y supervisión"/>
    <x v="9"/>
    <x v="224"/>
    <x v="175"/>
    <x v="32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0500000"/>
    <n v="0"/>
    <n v="0"/>
    <n v="20500000"/>
    <n v="20500000"/>
    <m/>
    <x v="1"/>
    <n v="20500000"/>
  </r>
  <r>
    <x v="1"/>
    <x v="11"/>
    <x v="11"/>
    <x v="10"/>
    <s v="Regulación y supervisión"/>
    <x v="9"/>
    <x v="224"/>
    <x v="176"/>
    <x v="32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0"/>
    <n v="0"/>
    <n v="0"/>
    <n v="90000"/>
    <n v="86412"/>
    <m/>
    <x v="1"/>
    <n v="86412"/>
  </r>
  <r>
    <x v="1"/>
    <x v="11"/>
    <x v="11"/>
    <x v="10"/>
    <s v="Regulación y supervisión"/>
    <x v="9"/>
    <x v="224"/>
    <x v="176"/>
    <x v="32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700000"/>
    <n v="0"/>
    <n v="0"/>
    <n v="5700000"/>
    <n v="5700000"/>
    <m/>
    <x v="1"/>
    <n v="5700000"/>
  </r>
  <r>
    <x v="1"/>
    <x v="11"/>
    <x v="11"/>
    <x v="10"/>
    <s v="Regulación y supervisión"/>
    <x v="9"/>
    <x v="224"/>
    <x v="177"/>
    <x v="32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172830"/>
    <m/>
    <x v="1"/>
    <n v="172830"/>
  </r>
  <r>
    <x v="1"/>
    <x v="11"/>
    <x v="11"/>
    <x v="10"/>
    <s v="Regulación y supervisión"/>
    <x v="9"/>
    <x v="224"/>
    <x v="177"/>
    <x v="32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6300000"/>
    <n v="0"/>
    <n v="0"/>
    <n v="26300000"/>
    <n v="58300000"/>
    <m/>
    <x v="1"/>
    <n v="58300000"/>
  </r>
  <r>
    <x v="1"/>
    <x v="11"/>
    <x v="11"/>
    <x v="10"/>
    <s v="Regulación y supervisión"/>
    <x v="9"/>
    <x v="224"/>
    <x v="157"/>
    <x v="30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259243"/>
    <m/>
    <x v="1"/>
    <n v="259243"/>
  </r>
  <r>
    <x v="1"/>
    <x v="11"/>
    <x v="11"/>
    <x v="10"/>
    <s v="Regulación y supervisión"/>
    <x v="9"/>
    <x v="224"/>
    <x v="157"/>
    <x v="30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7100000"/>
    <n v="0"/>
    <n v="0"/>
    <n v="17100000"/>
    <n v="17100000"/>
    <m/>
    <x v="1"/>
    <n v="17100000"/>
  </r>
  <r>
    <x v="1"/>
    <x v="11"/>
    <x v="11"/>
    <x v="10"/>
    <s v="Regulación y supervisión"/>
    <x v="9"/>
    <x v="224"/>
    <x v="178"/>
    <x v="32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172830"/>
    <m/>
    <x v="1"/>
    <n v="172830"/>
  </r>
  <r>
    <x v="1"/>
    <x v="11"/>
    <x v="11"/>
    <x v="10"/>
    <s v="Regulación y supervisión"/>
    <x v="9"/>
    <x v="224"/>
    <x v="178"/>
    <x v="32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1400000"/>
    <n v="0"/>
    <n v="0"/>
    <n v="11400000"/>
    <n v="27500000"/>
    <m/>
    <x v="1"/>
    <n v="27500000"/>
  </r>
  <r>
    <x v="1"/>
    <x v="11"/>
    <x v="11"/>
    <x v="10"/>
    <s v="Regulación y supervisión"/>
    <x v="9"/>
    <x v="224"/>
    <x v="158"/>
    <x v="30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000"/>
    <n v="0"/>
    <n v="0"/>
    <n v="270000"/>
    <n v="345654"/>
    <m/>
    <x v="1"/>
    <n v="345654"/>
  </r>
  <r>
    <x v="1"/>
    <x v="11"/>
    <x v="11"/>
    <x v="10"/>
    <s v="Regulación y supervisión"/>
    <x v="9"/>
    <x v="224"/>
    <x v="158"/>
    <x v="30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2900000"/>
    <n v="0"/>
    <n v="0"/>
    <n v="22900000"/>
    <n v="25400000"/>
    <m/>
    <x v="1"/>
    <n v="25400000"/>
  </r>
  <r>
    <x v="1"/>
    <x v="11"/>
    <x v="11"/>
    <x v="10"/>
    <s v="Regulación y supervisión"/>
    <x v="9"/>
    <x v="224"/>
    <x v="159"/>
    <x v="30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0000"/>
    <n v="0"/>
    <n v="0"/>
    <n v="90000"/>
    <n v="86412"/>
    <m/>
    <x v="1"/>
    <n v="86412"/>
  </r>
  <r>
    <x v="1"/>
    <x v="11"/>
    <x v="11"/>
    <x v="10"/>
    <s v="Regulación y supervisión"/>
    <x v="9"/>
    <x v="224"/>
    <x v="159"/>
    <x v="30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900000"/>
    <n v="0"/>
    <n v="0"/>
    <n v="6900000"/>
    <n v="6900000"/>
    <m/>
    <x v="1"/>
    <n v="6900000"/>
  </r>
  <r>
    <x v="1"/>
    <x v="11"/>
    <x v="11"/>
    <x v="10"/>
    <s v="Regulación y supervisión"/>
    <x v="9"/>
    <x v="224"/>
    <x v="179"/>
    <x v="32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0000"/>
    <n v="0"/>
    <n v="0"/>
    <n v="180000"/>
    <n v="259243"/>
    <m/>
    <x v="1"/>
    <n v="259243"/>
  </r>
  <r>
    <x v="1"/>
    <x v="11"/>
    <x v="11"/>
    <x v="10"/>
    <s v="Regulación y supervisión"/>
    <x v="9"/>
    <x v="224"/>
    <x v="179"/>
    <x v="32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9900000"/>
    <n v="0"/>
    <n v="0"/>
    <n v="19900000"/>
    <n v="29200000"/>
    <m/>
    <x v="1"/>
    <n v="29200000"/>
  </r>
  <r>
    <x v="1"/>
    <x v="11"/>
    <x v="11"/>
    <x v="10"/>
    <s v="Regulación y supervisión"/>
    <x v="10"/>
    <x v="225"/>
    <x v="5"/>
    <x v="336"/>
    <n v="3"/>
    <s v="Desarrollo Económico"/>
    <n v="1"/>
    <s v="Comunicaciones y Transportes"/>
    <n v="1"/>
    <x v="37"/>
    <x v="1"/>
    <x v="68"/>
    <n v="1"/>
    <s v="Gasto corriente"/>
    <x v="0"/>
    <x v="1"/>
    <x v="0"/>
    <x v="0"/>
    <x v="0"/>
    <x v="0"/>
    <x v="0"/>
    <m/>
    <x v="0"/>
    <x v="0"/>
    <m/>
    <m/>
    <m/>
    <m/>
    <m/>
    <n v="337337217"/>
    <m/>
    <x v="1"/>
    <n v="337337217"/>
  </r>
  <r>
    <x v="1"/>
    <x v="11"/>
    <x v="11"/>
    <x v="10"/>
    <s v="Regulación y supervisión"/>
    <x v="10"/>
    <x v="225"/>
    <x v="5"/>
    <x v="33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18050527"/>
    <n v="0"/>
    <n v="-2368221"/>
    <n v="115682306"/>
    <n v="382566677"/>
    <m/>
    <x v="1"/>
    <n v="382566677"/>
  </r>
  <r>
    <x v="1"/>
    <x v="11"/>
    <x v="11"/>
    <x v="10"/>
    <s v="Regulación y supervisión"/>
    <x v="10"/>
    <x v="225"/>
    <x v="162"/>
    <x v="31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6390625"/>
    <n v="0"/>
    <n v="-101670"/>
    <n v="6288955"/>
    <n v="6037112"/>
    <m/>
    <x v="1"/>
    <n v="6037112"/>
  </r>
  <r>
    <x v="1"/>
    <x v="11"/>
    <x v="11"/>
    <x v="10"/>
    <s v="Regulación y supervisión"/>
    <x v="10"/>
    <x v="225"/>
    <x v="147"/>
    <x v="29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1132134"/>
    <n v="0"/>
    <n v="-376581"/>
    <n v="10755553"/>
    <n v="8787279"/>
    <m/>
    <x v="1"/>
    <n v="8787279"/>
  </r>
  <r>
    <x v="1"/>
    <x v="11"/>
    <x v="11"/>
    <x v="10"/>
    <s v="Regulación y supervisión"/>
    <x v="10"/>
    <x v="225"/>
    <x v="148"/>
    <x v="29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5614431"/>
    <n v="0"/>
    <n v="-508915"/>
    <n v="15105516"/>
    <n v="15697700"/>
    <m/>
    <x v="1"/>
    <n v="15697700"/>
  </r>
  <r>
    <x v="1"/>
    <x v="11"/>
    <x v="11"/>
    <x v="10"/>
    <s v="Regulación y supervisión"/>
    <x v="10"/>
    <x v="225"/>
    <x v="149"/>
    <x v="29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3838799"/>
    <n v="0"/>
    <n v="-308312"/>
    <n v="13530487"/>
    <n v="12382778"/>
    <m/>
    <x v="1"/>
    <n v="12382778"/>
  </r>
  <r>
    <x v="1"/>
    <x v="11"/>
    <x v="11"/>
    <x v="10"/>
    <s v="Regulación y supervisión"/>
    <x v="10"/>
    <x v="225"/>
    <x v="163"/>
    <x v="31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8890926"/>
    <n v="0"/>
    <n v="-286134"/>
    <n v="8604792"/>
    <n v="8503919"/>
    <m/>
    <x v="1"/>
    <n v="8503919"/>
  </r>
  <r>
    <x v="1"/>
    <x v="11"/>
    <x v="11"/>
    <x v="10"/>
    <s v="Regulación y supervisión"/>
    <x v="10"/>
    <x v="225"/>
    <x v="164"/>
    <x v="31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576422"/>
    <n v="0"/>
    <n v="-184464"/>
    <n v="4391958"/>
    <n v="3992192"/>
    <m/>
    <x v="1"/>
    <n v="3992192"/>
  </r>
  <r>
    <x v="1"/>
    <x v="11"/>
    <x v="11"/>
    <x v="10"/>
    <s v="Regulación y supervisión"/>
    <x v="10"/>
    <x v="225"/>
    <x v="150"/>
    <x v="299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8246862"/>
    <n v="0"/>
    <n v="-311672"/>
    <n v="17935190"/>
    <n v="17333060"/>
    <m/>
    <x v="1"/>
    <n v="17333060"/>
  </r>
  <r>
    <x v="1"/>
    <x v="11"/>
    <x v="11"/>
    <x v="10"/>
    <s v="Regulación y supervisión"/>
    <x v="10"/>
    <x v="225"/>
    <x v="165"/>
    <x v="31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1675014"/>
    <n v="0"/>
    <n v="-1032894"/>
    <n v="10642120"/>
    <n v="9916330"/>
    <m/>
    <x v="1"/>
    <n v="9916330"/>
  </r>
  <r>
    <x v="1"/>
    <x v="11"/>
    <x v="11"/>
    <x v="10"/>
    <s v="Regulación y supervisión"/>
    <x v="10"/>
    <x v="225"/>
    <x v="166"/>
    <x v="31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3806163"/>
    <n v="0"/>
    <n v="-597733"/>
    <n v="13208430"/>
    <n v="12286174"/>
    <m/>
    <x v="1"/>
    <n v="12286174"/>
  </r>
  <r>
    <x v="1"/>
    <x v="11"/>
    <x v="11"/>
    <x v="10"/>
    <s v="Regulación y supervisión"/>
    <x v="10"/>
    <x v="225"/>
    <x v="167"/>
    <x v="31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1392743"/>
    <n v="0"/>
    <n v="-298866"/>
    <n v="11093877"/>
    <n v="10897298"/>
    <m/>
    <x v="1"/>
    <n v="10897298"/>
  </r>
  <r>
    <x v="1"/>
    <x v="11"/>
    <x v="11"/>
    <x v="10"/>
    <s v="Regulación y supervisión"/>
    <x v="10"/>
    <x v="225"/>
    <x v="151"/>
    <x v="300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4542986"/>
    <n v="0"/>
    <n v="-298866"/>
    <n v="14244120"/>
    <n v="13129837"/>
    <m/>
    <x v="1"/>
    <n v="13129837"/>
  </r>
  <r>
    <x v="1"/>
    <x v="11"/>
    <x v="11"/>
    <x v="10"/>
    <s v="Regulación y supervisión"/>
    <x v="10"/>
    <x v="225"/>
    <x v="168"/>
    <x v="31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6753210"/>
    <n v="0"/>
    <n v="-287515"/>
    <n v="6465695"/>
    <n v="6452553"/>
    <m/>
    <x v="1"/>
    <n v="6452553"/>
  </r>
  <r>
    <x v="1"/>
    <x v="11"/>
    <x v="11"/>
    <x v="10"/>
    <s v="Regulación y supervisión"/>
    <x v="10"/>
    <x v="225"/>
    <x v="152"/>
    <x v="30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1900161"/>
    <n v="0"/>
    <n v="-270955"/>
    <n v="11629206"/>
    <n v="11373547"/>
    <m/>
    <x v="1"/>
    <n v="11373547"/>
  </r>
  <r>
    <x v="1"/>
    <x v="11"/>
    <x v="11"/>
    <x v="10"/>
    <s v="Regulación y supervisión"/>
    <x v="10"/>
    <x v="225"/>
    <x v="169"/>
    <x v="31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0474594"/>
    <n v="0"/>
    <n v="-286470"/>
    <n v="10188124"/>
    <n v="9867559"/>
    <m/>
    <x v="1"/>
    <n v="9867559"/>
  </r>
  <r>
    <x v="1"/>
    <x v="11"/>
    <x v="11"/>
    <x v="10"/>
    <s v="Regulación y supervisión"/>
    <x v="10"/>
    <x v="225"/>
    <x v="170"/>
    <x v="319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9566713"/>
    <n v="0"/>
    <n v="-573985"/>
    <n v="18992728"/>
    <n v="17637292"/>
    <m/>
    <x v="1"/>
    <n v="17637292"/>
  </r>
  <r>
    <x v="1"/>
    <x v="11"/>
    <x v="11"/>
    <x v="10"/>
    <s v="Regulación y supervisión"/>
    <x v="10"/>
    <x v="225"/>
    <x v="171"/>
    <x v="320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323271"/>
    <n v="0"/>
    <n v="0"/>
    <n v="7323271"/>
    <n v="6873145"/>
    <m/>
    <x v="1"/>
    <n v="6873145"/>
  </r>
  <r>
    <x v="1"/>
    <x v="11"/>
    <x v="11"/>
    <x v="10"/>
    <s v="Regulación y supervisión"/>
    <x v="10"/>
    <x v="225"/>
    <x v="153"/>
    <x v="30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557448"/>
    <n v="0"/>
    <n v="-286470"/>
    <n v="7270978"/>
    <n v="7332830"/>
    <m/>
    <x v="1"/>
    <n v="7332830"/>
  </r>
  <r>
    <x v="1"/>
    <x v="11"/>
    <x v="11"/>
    <x v="10"/>
    <s v="Regulación y supervisión"/>
    <x v="10"/>
    <x v="225"/>
    <x v="172"/>
    <x v="32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6946431"/>
    <n v="0"/>
    <n v="-90319"/>
    <n v="6856112"/>
    <n v="6400485"/>
    <m/>
    <x v="1"/>
    <n v="6400485"/>
  </r>
  <r>
    <x v="1"/>
    <x v="11"/>
    <x v="11"/>
    <x v="10"/>
    <s v="Regulación y supervisión"/>
    <x v="10"/>
    <x v="225"/>
    <x v="154"/>
    <x v="30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1589943"/>
    <n v="0"/>
    <n v="-270955"/>
    <n v="11318988"/>
    <n v="9915879"/>
    <m/>
    <x v="1"/>
    <n v="9915879"/>
  </r>
  <r>
    <x v="1"/>
    <x v="11"/>
    <x v="11"/>
    <x v="10"/>
    <s v="Regulación y supervisión"/>
    <x v="10"/>
    <x v="225"/>
    <x v="173"/>
    <x v="32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8820003"/>
    <n v="0"/>
    <n v="-90319"/>
    <n v="8729684"/>
    <n v="8957727"/>
    <m/>
    <x v="1"/>
    <n v="8957727"/>
  </r>
  <r>
    <x v="1"/>
    <x v="11"/>
    <x v="11"/>
    <x v="10"/>
    <s v="Regulación y supervisión"/>
    <x v="10"/>
    <x v="225"/>
    <x v="174"/>
    <x v="32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3193317"/>
    <n v="0"/>
    <n v="0"/>
    <n v="13193317"/>
    <n v="12400479"/>
    <m/>
    <x v="1"/>
    <n v="12400479"/>
  </r>
  <r>
    <x v="1"/>
    <x v="11"/>
    <x v="11"/>
    <x v="10"/>
    <s v="Regulación y supervisión"/>
    <x v="10"/>
    <x v="225"/>
    <x v="155"/>
    <x v="30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6453021"/>
    <n v="0"/>
    <n v="0"/>
    <n v="6453021"/>
    <n v="5998046"/>
    <m/>
    <x v="1"/>
    <n v="5998046"/>
  </r>
  <r>
    <x v="1"/>
    <x v="11"/>
    <x v="11"/>
    <x v="10"/>
    <s v="Regulación y supervisión"/>
    <x v="10"/>
    <x v="225"/>
    <x v="175"/>
    <x v="32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7802223"/>
    <n v="0"/>
    <n v="0"/>
    <n v="17802223"/>
    <n v="17357086"/>
    <m/>
    <x v="1"/>
    <n v="17357086"/>
  </r>
  <r>
    <x v="1"/>
    <x v="11"/>
    <x v="11"/>
    <x v="10"/>
    <s v="Regulación y supervisión"/>
    <x v="10"/>
    <x v="225"/>
    <x v="176"/>
    <x v="32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8758900"/>
    <n v="0"/>
    <n v="-308238"/>
    <n v="8450662"/>
    <n v="8504652"/>
    <m/>
    <x v="1"/>
    <n v="8504652"/>
  </r>
  <r>
    <x v="1"/>
    <x v="11"/>
    <x v="11"/>
    <x v="10"/>
    <s v="Regulación y supervisión"/>
    <x v="10"/>
    <x v="225"/>
    <x v="156"/>
    <x v="30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767064"/>
    <n v="0"/>
    <n v="-106878"/>
    <n v="9660186"/>
    <n v="9175394"/>
    <m/>
    <x v="1"/>
    <n v="9175394"/>
  </r>
  <r>
    <x v="1"/>
    <x v="11"/>
    <x v="11"/>
    <x v="10"/>
    <s v="Regulación y supervisión"/>
    <x v="10"/>
    <x v="225"/>
    <x v="177"/>
    <x v="32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3050511"/>
    <n v="0"/>
    <n v="0"/>
    <n v="13050511"/>
    <n v="13284939"/>
    <m/>
    <x v="1"/>
    <n v="13284939"/>
  </r>
  <r>
    <x v="1"/>
    <x v="11"/>
    <x v="11"/>
    <x v="10"/>
    <s v="Regulación y supervisión"/>
    <x v="10"/>
    <x v="225"/>
    <x v="157"/>
    <x v="30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1120779"/>
    <n v="0"/>
    <n v="-180636"/>
    <n v="10940143"/>
    <n v="10011152"/>
    <m/>
    <x v="1"/>
    <n v="10011152"/>
  </r>
  <r>
    <x v="1"/>
    <x v="11"/>
    <x v="11"/>
    <x v="10"/>
    <s v="Regulación y supervisión"/>
    <x v="10"/>
    <x v="225"/>
    <x v="178"/>
    <x v="32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9998390"/>
    <n v="0"/>
    <n v="-90319"/>
    <n v="9908071"/>
    <n v="10245396"/>
    <m/>
    <x v="1"/>
    <n v="10245396"/>
  </r>
  <r>
    <x v="1"/>
    <x v="11"/>
    <x v="11"/>
    <x v="10"/>
    <s v="Regulación y supervisión"/>
    <x v="10"/>
    <x v="225"/>
    <x v="158"/>
    <x v="30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6004184"/>
    <n v="0"/>
    <n v="-291341"/>
    <n v="25712843"/>
    <n v="22904950"/>
    <m/>
    <x v="1"/>
    <n v="22904950"/>
  </r>
  <r>
    <x v="1"/>
    <x v="11"/>
    <x v="11"/>
    <x v="10"/>
    <s v="Regulación y supervisión"/>
    <x v="10"/>
    <x v="225"/>
    <x v="159"/>
    <x v="30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8739563"/>
    <n v="0"/>
    <n v="-94145"/>
    <n v="8645418"/>
    <n v="8200678"/>
    <m/>
    <x v="1"/>
    <n v="8200678"/>
  </r>
  <r>
    <x v="1"/>
    <x v="11"/>
    <x v="11"/>
    <x v="10"/>
    <s v="Regulación y supervisión"/>
    <x v="10"/>
    <x v="225"/>
    <x v="179"/>
    <x v="32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0430064"/>
    <n v="0"/>
    <n v="-90319"/>
    <n v="10339745"/>
    <n v="10455877"/>
    <m/>
    <x v="1"/>
    <n v="10455877"/>
  </r>
  <r>
    <x v="1"/>
    <x v="11"/>
    <x v="11"/>
    <x v="10"/>
    <s v="Regulación y supervisión"/>
    <x v="11"/>
    <x v="226"/>
    <x v="50"/>
    <x v="33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51736676"/>
    <n v="0"/>
    <n v="-1036596"/>
    <n v="50700080"/>
    <n v="47943310"/>
    <m/>
    <x v="1"/>
    <n v="47943310"/>
  </r>
  <r>
    <x v="1"/>
    <x v="11"/>
    <x v="11"/>
    <x v="10"/>
    <s v="Regulación y supervisión"/>
    <x v="11"/>
    <x v="226"/>
    <x v="162"/>
    <x v="31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406805"/>
    <n v="0"/>
    <n v="0"/>
    <n v="3406805"/>
    <n v="2712072"/>
    <m/>
    <x v="1"/>
    <n v="2712072"/>
  </r>
  <r>
    <x v="1"/>
    <x v="11"/>
    <x v="11"/>
    <x v="10"/>
    <s v="Regulación y supervisión"/>
    <x v="11"/>
    <x v="226"/>
    <x v="147"/>
    <x v="29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5008101"/>
    <n v="0"/>
    <n v="-421551"/>
    <n v="4586550"/>
    <n v="4248468"/>
    <m/>
    <x v="1"/>
    <n v="4248468"/>
  </r>
  <r>
    <x v="1"/>
    <x v="11"/>
    <x v="11"/>
    <x v="10"/>
    <s v="Regulación y supervisión"/>
    <x v="11"/>
    <x v="226"/>
    <x v="148"/>
    <x v="29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538040"/>
    <n v="0"/>
    <n v="-209691"/>
    <n v="3328349"/>
    <n v="2960520"/>
    <m/>
    <x v="1"/>
    <n v="2960520"/>
  </r>
  <r>
    <x v="1"/>
    <x v="11"/>
    <x v="11"/>
    <x v="10"/>
    <s v="Regulación y supervisión"/>
    <x v="11"/>
    <x v="226"/>
    <x v="149"/>
    <x v="29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355798"/>
    <n v="0"/>
    <n v="-414769"/>
    <n v="6941029"/>
    <n v="6179781"/>
    <m/>
    <x v="1"/>
    <n v="6179781"/>
  </r>
  <r>
    <x v="1"/>
    <x v="11"/>
    <x v="11"/>
    <x v="10"/>
    <s v="Regulación y supervisión"/>
    <x v="11"/>
    <x v="226"/>
    <x v="163"/>
    <x v="31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392105"/>
    <n v="0"/>
    <n v="-620654"/>
    <n v="6771451"/>
    <n v="6354818"/>
    <m/>
    <x v="1"/>
    <n v="6354818"/>
  </r>
  <r>
    <x v="1"/>
    <x v="11"/>
    <x v="11"/>
    <x v="10"/>
    <s v="Regulación y supervisión"/>
    <x v="11"/>
    <x v="226"/>
    <x v="164"/>
    <x v="31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207508"/>
    <n v="0"/>
    <n v="-201360"/>
    <n v="3006148"/>
    <n v="2712984"/>
    <m/>
    <x v="1"/>
    <n v="2712984"/>
  </r>
  <r>
    <x v="1"/>
    <x v="11"/>
    <x v="11"/>
    <x v="10"/>
    <s v="Regulación y supervisión"/>
    <x v="11"/>
    <x v="226"/>
    <x v="150"/>
    <x v="299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980518"/>
    <n v="0"/>
    <n v="-94145"/>
    <n v="3886373"/>
    <n v="3041246"/>
    <m/>
    <x v="1"/>
    <n v="3041246"/>
  </r>
  <r>
    <x v="1"/>
    <x v="11"/>
    <x v="11"/>
    <x v="10"/>
    <s v="Regulación y supervisión"/>
    <x v="11"/>
    <x v="226"/>
    <x v="165"/>
    <x v="31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326766"/>
    <n v="0"/>
    <n v="-196152"/>
    <n v="3130614"/>
    <n v="2051466"/>
    <m/>
    <x v="1"/>
    <n v="2051466"/>
  </r>
  <r>
    <x v="1"/>
    <x v="11"/>
    <x v="11"/>
    <x v="10"/>
    <s v="Regulación y supervisión"/>
    <x v="11"/>
    <x v="226"/>
    <x v="166"/>
    <x v="31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128376"/>
    <n v="0"/>
    <n v="-213756"/>
    <n v="2914620"/>
    <n v="2515390"/>
    <m/>
    <x v="1"/>
    <n v="2515390"/>
  </r>
  <r>
    <x v="1"/>
    <x v="11"/>
    <x v="11"/>
    <x v="10"/>
    <s v="Regulación y supervisión"/>
    <x v="11"/>
    <x v="226"/>
    <x v="167"/>
    <x v="31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510322"/>
    <n v="0"/>
    <n v="-191989"/>
    <n v="3318333"/>
    <n v="2955747"/>
    <m/>
    <x v="1"/>
    <n v="2955747"/>
  </r>
  <r>
    <x v="1"/>
    <x v="11"/>
    <x v="11"/>
    <x v="10"/>
    <s v="Regulación y supervisión"/>
    <x v="11"/>
    <x v="226"/>
    <x v="151"/>
    <x v="300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5253858"/>
    <n v="0"/>
    <n v="-197196"/>
    <n v="5056662"/>
    <n v="4023057"/>
    <m/>
    <x v="1"/>
    <n v="4023057"/>
  </r>
  <r>
    <x v="1"/>
    <x v="11"/>
    <x v="11"/>
    <x v="10"/>
    <s v="Regulación y supervisión"/>
    <x v="11"/>
    <x v="226"/>
    <x v="168"/>
    <x v="31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051413"/>
    <n v="0"/>
    <n v="-101670"/>
    <n v="2949743"/>
    <n v="2590413"/>
    <m/>
    <x v="1"/>
    <n v="2590413"/>
  </r>
  <r>
    <x v="1"/>
    <x v="11"/>
    <x v="11"/>
    <x v="10"/>
    <s v="Regulación y supervisión"/>
    <x v="11"/>
    <x v="226"/>
    <x v="152"/>
    <x v="30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829202"/>
    <n v="0"/>
    <n v="-197196"/>
    <n v="3632006"/>
    <n v="3385114"/>
    <m/>
    <x v="1"/>
    <n v="3385114"/>
  </r>
  <r>
    <x v="1"/>
    <x v="11"/>
    <x v="11"/>
    <x v="10"/>
    <s v="Regulación y supervisión"/>
    <x v="11"/>
    <x v="226"/>
    <x v="169"/>
    <x v="31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600654"/>
    <n v="0"/>
    <n v="-90319"/>
    <n v="3510335"/>
    <n v="3219385"/>
    <m/>
    <x v="1"/>
    <n v="3219385"/>
  </r>
  <r>
    <x v="1"/>
    <x v="11"/>
    <x v="11"/>
    <x v="10"/>
    <s v="Regulación y supervisión"/>
    <x v="11"/>
    <x v="226"/>
    <x v="170"/>
    <x v="319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6446040"/>
    <n v="0"/>
    <n v="0"/>
    <n v="6446040"/>
    <n v="5421169"/>
    <m/>
    <x v="1"/>
    <n v="5421169"/>
  </r>
  <r>
    <x v="1"/>
    <x v="11"/>
    <x v="11"/>
    <x v="10"/>
    <s v="Regulación y supervisión"/>
    <x v="11"/>
    <x v="226"/>
    <x v="171"/>
    <x v="320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859217"/>
    <n v="0"/>
    <n v="-94482"/>
    <n v="2764735"/>
    <n v="2055623"/>
    <m/>
    <x v="1"/>
    <n v="2055623"/>
  </r>
  <r>
    <x v="1"/>
    <x v="11"/>
    <x v="11"/>
    <x v="10"/>
    <s v="Regulación y supervisión"/>
    <x v="11"/>
    <x v="226"/>
    <x v="153"/>
    <x v="30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218966"/>
    <n v="0"/>
    <n v="0"/>
    <n v="3218966"/>
    <n v="2738927"/>
    <m/>
    <x v="1"/>
    <n v="2738927"/>
  </r>
  <r>
    <x v="1"/>
    <x v="11"/>
    <x v="11"/>
    <x v="10"/>
    <s v="Regulación y supervisión"/>
    <x v="11"/>
    <x v="226"/>
    <x v="172"/>
    <x v="321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633353"/>
    <n v="0"/>
    <n v="0"/>
    <n v="3633353"/>
    <n v="3277442"/>
    <m/>
    <x v="1"/>
    <n v="3277442"/>
  </r>
  <r>
    <x v="1"/>
    <x v="11"/>
    <x v="11"/>
    <x v="10"/>
    <s v="Regulación y supervisión"/>
    <x v="11"/>
    <x v="226"/>
    <x v="154"/>
    <x v="30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512640"/>
    <n v="0"/>
    <n v="-181333"/>
    <n v="4331307"/>
    <n v="3797834"/>
    <m/>
    <x v="1"/>
    <n v="3797834"/>
  </r>
  <r>
    <x v="1"/>
    <x v="11"/>
    <x v="11"/>
    <x v="10"/>
    <s v="Regulación y supervisión"/>
    <x v="11"/>
    <x v="226"/>
    <x v="173"/>
    <x v="322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992917"/>
    <n v="0"/>
    <n v="0"/>
    <n v="2992917"/>
    <n v="2883467"/>
    <m/>
    <x v="1"/>
    <n v="2883467"/>
  </r>
  <r>
    <x v="1"/>
    <x v="11"/>
    <x v="11"/>
    <x v="10"/>
    <s v="Regulación y supervisión"/>
    <x v="11"/>
    <x v="226"/>
    <x v="174"/>
    <x v="323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219734"/>
    <n v="0"/>
    <n v="0"/>
    <n v="3219734"/>
    <n v="3049821"/>
    <m/>
    <x v="1"/>
    <n v="3049821"/>
  </r>
  <r>
    <x v="1"/>
    <x v="11"/>
    <x v="11"/>
    <x v="10"/>
    <s v="Regulación y supervisión"/>
    <x v="11"/>
    <x v="226"/>
    <x v="155"/>
    <x v="30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57781"/>
    <n v="0"/>
    <n v="-188291"/>
    <n v="2569490"/>
    <n v="2530769"/>
    <m/>
    <x v="1"/>
    <n v="2530769"/>
  </r>
  <r>
    <x v="1"/>
    <x v="11"/>
    <x v="11"/>
    <x v="10"/>
    <s v="Regulación y supervisión"/>
    <x v="11"/>
    <x v="226"/>
    <x v="175"/>
    <x v="324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526402"/>
    <n v="0"/>
    <n v="0"/>
    <n v="4526402"/>
    <n v="4560929"/>
    <m/>
    <x v="1"/>
    <n v="4560929"/>
  </r>
  <r>
    <x v="1"/>
    <x v="11"/>
    <x v="11"/>
    <x v="10"/>
    <s v="Regulación y supervisión"/>
    <x v="11"/>
    <x v="226"/>
    <x v="176"/>
    <x v="32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245747"/>
    <n v="0"/>
    <n v="0"/>
    <n v="4245747"/>
    <n v="4208968"/>
    <m/>
    <x v="1"/>
    <n v="4208968"/>
  </r>
  <r>
    <x v="1"/>
    <x v="11"/>
    <x v="11"/>
    <x v="10"/>
    <s v="Regulación y supervisión"/>
    <x v="11"/>
    <x v="226"/>
    <x v="156"/>
    <x v="305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7301019"/>
    <n v="0"/>
    <n v="-101670"/>
    <n v="7199349"/>
    <n v="6682977"/>
    <m/>
    <x v="1"/>
    <n v="6682977"/>
  </r>
  <r>
    <x v="1"/>
    <x v="11"/>
    <x v="11"/>
    <x v="10"/>
    <s v="Regulación y supervisión"/>
    <x v="11"/>
    <x v="226"/>
    <x v="177"/>
    <x v="32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703376"/>
    <n v="0"/>
    <n v="0"/>
    <n v="2703376"/>
    <n v="2464984"/>
    <m/>
    <x v="1"/>
    <n v="2464984"/>
  </r>
  <r>
    <x v="1"/>
    <x v="11"/>
    <x v="11"/>
    <x v="10"/>
    <s v="Regulación y supervisión"/>
    <x v="11"/>
    <x v="226"/>
    <x v="157"/>
    <x v="30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268774"/>
    <n v="0"/>
    <n v="-90319"/>
    <n v="4178455"/>
    <n v="3856712"/>
    <m/>
    <x v="1"/>
    <n v="3856712"/>
  </r>
  <r>
    <x v="1"/>
    <x v="11"/>
    <x v="11"/>
    <x v="10"/>
    <s v="Regulación y supervisión"/>
    <x v="11"/>
    <x v="226"/>
    <x v="178"/>
    <x v="32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2602591"/>
    <n v="0"/>
    <n v="0"/>
    <n v="2602591"/>
    <n v="2575166"/>
    <m/>
    <x v="1"/>
    <n v="2575166"/>
  </r>
  <r>
    <x v="1"/>
    <x v="11"/>
    <x v="11"/>
    <x v="10"/>
    <s v="Regulación y supervisión"/>
    <x v="11"/>
    <x v="226"/>
    <x v="158"/>
    <x v="307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10914836"/>
    <n v="0"/>
    <n v="-691878"/>
    <n v="10222958"/>
    <n v="9812305"/>
    <m/>
    <x v="1"/>
    <n v="9812305"/>
  </r>
  <r>
    <x v="1"/>
    <x v="11"/>
    <x v="11"/>
    <x v="10"/>
    <s v="Regulación y supervisión"/>
    <x v="11"/>
    <x v="226"/>
    <x v="159"/>
    <x v="30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471483"/>
    <n v="0"/>
    <n v="0"/>
    <n v="3471483"/>
    <n v="3287458"/>
    <m/>
    <x v="1"/>
    <n v="3287458"/>
  </r>
  <r>
    <x v="1"/>
    <x v="11"/>
    <x v="11"/>
    <x v="10"/>
    <s v="Regulación y supervisión"/>
    <x v="11"/>
    <x v="226"/>
    <x v="179"/>
    <x v="328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3390989"/>
    <n v="0"/>
    <n v="0"/>
    <n v="3390989"/>
    <n v="3187081"/>
    <m/>
    <x v="1"/>
    <n v="3187081"/>
  </r>
  <r>
    <x v="1"/>
    <x v="11"/>
    <x v="11"/>
    <x v="0"/>
    <s v="Proyectos de Inversión"/>
    <x v="4"/>
    <x v="227"/>
    <x v="162"/>
    <x v="31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37500000"/>
    <n v="260000000"/>
    <n v="0"/>
    <n v="697500000"/>
    <n v="200000000"/>
    <m/>
    <x v="51"/>
    <n v="9165800000"/>
  </r>
  <r>
    <x v="1"/>
    <x v="11"/>
    <x v="11"/>
    <x v="0"/>
    <s v="Proyectos de Inversión"/>
    <x v="4"/>
    <x v="227"/>
    <x v="147"/>
    <x v="29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85000000"/>
    <n v="444300000"/>
    <n v="0"/>
    <n v="1029300000"/>
    <n v="560000000"/>
    <m/>
    <x v="1"/>
    <n v="560000000"/>
  </r>
  <r>
    <x v="1"/>
    <x v="11"/>
    <x v="11"/>
    <x v="0"/>
    <s v="Proyectos de Inversión"/>
    <x v="4"/>
    <x v="227"/>
    <x v="148"/>
    <x v="29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91000000"/>
    <n v="146000000"/>
    <n v="0"/>
    <n v="537000000"/>
    <n v="560000000"/>
    <m/>
    <x v="1"/>
    <n v="560000000"/>
  </r>
  <r>
    <x v="1"/>
    <x v="11"/>
    <x v="11"/>
    <x v="0"/>
    <s v="Proyectos de Inversión"/>
    <x v="4"/>
    <x v="227"/>
    <x v="149"/>
    <x v="29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80000000"/>
    <n v="220000000"/>
    <n v="0"/>
    <n v="800000000"/>
    <n v="820000000"/>
    <m/>
    <x v="1"/>
    <n v="820000000"/>
  </r>
  <r>
    <x v="1"/>
    <x v="11"/>
    <x v="11"/>
    <x v="0"/>
    <s v="Proyectos de Inversión"/>
    <x v="4"/>
    <x v="227"/>
    <x v="163"/>
    <x v="31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40000000"/>
    <n v="262000000"/>
    <n v="0"/>
    <n v="702000000"/>
    <n v="310000000"/>
    <m/>
    <x v="1"/>
    <n v="310000000"/>
  </r>
  <r>
    <x v="1"/>
    <x v="11"/>
    <x v="11"/>
    <x v="0"/>
    <s v="Proyectos de Inversión"/>
    <x v="4"/>
    <x v="227"/>
    <x v="164"/>
    <x v="31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80000000"/>
    <n v="260000000"/>
    <n v="0"/>
    <n v="440000000"/>
    <n v="280000000"/>
    <m/>
    <x v="1"/>
    <n v="280000000"/>
  </r>
  <r>
    <x v="1"/>
    <x v="11"/>
    <x v="11"/>
    <x v="0"/>
    <s v="Proyectos de Inversión"/>
    <x v="4"/>
    <x v="227"/>
    <x v="150"/>
    <x v="29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00000000"/>
    <n v="550000000"/>
    <n v="0"/>
    <n v="950000000"/>
    <n v="320000000"/>
    <m/>
    <x v="1"/>
    <n v="320000000"/>
  </r>
  <r>
    <x v="1"/>
    <x v="11"/>
    <x v="11"/>
    <x v="0"/>
    <s v="Proyectos de Inversión"/>
    <x v="4"/>
    <x v="227"/>
    <x v="165"/>
    <x v="31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80000000"/>
    <n v="235000000"/>
    <n v="0"/>
    <n v="515000000"/>
    <n v="450000000"/>
    <m/>
    <x v="1"/>
    <n v="450000000"/>
  </r>
  <r>
    <x v="1"/>
    <x v="11"/>
    <x v="11"/>
    <x v="0"/>
    <s v="Proyectos de Inversión"/>
    <x v="4"/>
    <x v="227"/>
    <x v="166"/>
    <x v="31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00000000"/>
    <n v="480000000"/>
    <n v="0"/>
    <n v="1080000000"/>
    <n v="680000000"/>
    <m/>
    <x v="1"/>
    <n v="680000000"/>
  </r>
  <r>
    <x v="1"/>
    <x v="11"/>
    <x v="11"/>
    <x v="0"/>
    <s v="Proyectos de Inversión"/>
    <x v="4"/>
    <x v="227"/>
    <x v="167"/>
    <x v="31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70000000"/>
    <n v="583400000"/>
    <n v="0"/>
    <n v="1353400000"/>
    <n v="610000000"/>
    <m/>
    <x v="1"/>
    <n v="610000000"/>
  </r>
  <r>
    <x v="1"/>
    <x v="11"/>
    <x v="11"/>
    <x v="0"/>
    <s v="Proyectos de Inversión"/>
    <x v="4"/>
    <x v="227"/>
    <x v="151"/>
    <x v="30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19000000"/>
    <n v="-50000000"/>
    <n v="0"/>
    <n v="469000000"/>
    <n v="420000000"/>
    <m/>
    <x v="1"/>
    <n v="420000000"/>
  </r>
  <r>
    <x v="1"/>
    <x v="11"/>
    <x v="11"/>
    <x v="0"/>
    <s v="Proyectos de Inversión"/>
    <x v="4"/>
    <x v="227"/>
    <x v="168"/>
    <x v="31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00000000"/>
    <n v="-100000000"/>
    <n v="0"/>
    <n v="400000000"/>
    <n v="456200000"/>
    <m/>
    <x v="1"/>
    <n v="456200000"/>
  </r>
  <r>
    <x v="1"/>
    <x v="11"/>
    <x v="11"/>
    <x v="0"/>
    <s v="Proyectos de Inversión"/>
    <x v="4"/>
    <x v="227"/>
    <x v="152"/>
    <x v="30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95000000"/>
    <n v="875500000"/>
    <n v="0"/>
    <n v="1670500000"/>
    <n v="1039000000"/>
    <m/>
    <x v="1"/>
    <n v="1039000000"/>
  </r>
  <r>
    <x v="1"/>
    <x v="11"/>
    <x v="11"/>
    <x v="0"/>
    <s v="Proyectos de Inversión"/>
    <x v="4"/>
    <x v="227"/>
    <x v="169"/>
    <x v="31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60000000"/>
    <n v="1016200000"/>
    <n v="0"/>
    <n v="1676200000"/>
    <n v="720000000"/>
    <m/>
    <x v="1"/>
    <n v="720000000"/>
  </r>
  <r>
    <x v="1"/>
    <x v="11"/>
    <x v="11"/>
    <x v="0"/>
    <s v="Proyectos de Inversión"/>
    <x v="4"/>
    <x v="227"/>
    <x v="170"/>
    <x v="31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00000000"/>
    <n v="1900000"/>
    <n v="0"/>
    <n v="901900000"/>
    <n v="700000000"/>
    <m/>
    <x v="1"/>
    <n v="700000000"/>
  </r>
  <r>
    <x v="1"/>
    <x v="11"/>
    <x v="11"/>
    <x v="0"/>
    <s v="Proyectos de Inversión"/>
    <x v="4"/>
    <x v="227"/>
    <x v="171"/>
    <x v="32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96000000"/>
    <n v="234900000"/>
    <n v="0"/>
    <n v="630900000"/>
    <n v="298200000"/>
    <m/>
    <x v="1"/>
    <n v="298200000"/>
  </r>
  <r>
    <x v="1"/>
    <x v="11"/>
    <x v="11"/>
    <x v="0"/>
    <s v="Proyectos de Inversión"/>
    <x v="4"/>
    <x v="227"/>
    <x v="153"/>
    <x v="30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40000000"/>
    <n v="-75100000"/>
    <n v="0"/>
    <n v="164900000"/>
    <n v="370000000"/>
    <m/>
    <x v="1"/>
    <n v="370000000"/>
  </r>
  <r>
    <x v="1"/>
    <x v="11"/>
    <x v="11"/>
    <x v="0"/>
    <s v="Proyectos de Inversión"/>
    <x v="4"/>
    <x v="227"/>
    <x v="172"/>
    <x v="32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00000000"/>
    <n v="387000000"/>
    <n v="0"/>
    <n v="887000000"/>
    <n v="1112800002"/>
    <m/>
    <x v="1"/>
    <n v="1112800002"/>
  </r>
  <r>
    <x v="1"/>
    <x v="11"/>
    <x v="11"/>
    <x v="0"/>
    <s v="Proyectos de Inversión"/>
    <x v="4"/>
    <x v="227"/>
    <x v="154"/>
    <x v="30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035000000"/>
    <n v="-160000000"/>
    <n v="0"/>
    <n v="875000000"/>
    <n v="1134200000"/>
    <m/>
    <x v="1"/>
    <n v="1134200000"/>
  </r>
  <r>
    <x v="1"/>
    <x v="11"/>
    <x v="11"/>
    <x v="0"/>
    <s v="Proyectos de Inversión"/>
    <x v="4"/>
    <x v="227"/>
    <x v="173"/>
    <x v="32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10000000"/>
    <n v="190000000"/>
    <n v="0"/>
    <n v="400000000"/>
    <n v="453000000"/>
    <m/>
    <x v="1"/>
    <n v="453000000"/>
  </r>
  <r>
    <x v="1"/>
    <x v="11"/>
    <x v="11"/>
    <x v="0"/>
    <s v="Proyectos de Inversión"/>
    <x v="4"/>
    <x v="227"/>
    <x v="174"/>
    <x v="32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50000000"/>
    <n v="-5000000"/>
    <n v="0"/>
    <n v="345000000"/>
    <n v="663000000"/>
    <m/>
    <x v="1"/>
    <n v="663000000"/>
  </r>
  <r>
    <x v="1"/>
    <x v="11"/>
    <x v="11"/>
    <x v="0"/>
    <s v="Proyectos de Inversión"/>
    <x v="4"/>
    <x v="227"/>
    <x v="155"/>
    <x v="30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90000000"/>
    <n v="50000000"/>
    <n v="0"/>
    <n v="540000000"/>
    <n v="473200000"/>
    <m/>
    <x v="1"/>
    <n v="473200000"/>
  </r>
  <r>
    <x v="1"/>
    <x v="11"/>
    <x v="11"/>
    <x v="0"/>
    <s v="Proyectos de Inversión"/>
    <x v="4"/>
    <x v="227"/>
    <x v="175"/>
    <x v="32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17000000"/>
    <n v="-127000000"/>
    <n v="0"/>
    <n v="490000000"/>
    <n v="613000000"/>
    <m/>
    <x v="1"/>
    <n v="613000000"/>
  </r>
  <r>
    <x v="1"/>
    <x v="11"/>
    <x v="11"/>
    <x v="0"/>
    <s v="Proyectos de Inversión"/>
    <x v="4"/>
    <x v="227"/>
    <x v="176"/>
    <x v="32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45000000"/>
    <n v="203200000"/>
    <n v="0"/>
    <n v="548200000"/>
    <n v="515000000"/>
    <m/>
    <x v="1"/>
    <n v="515000000"/>
  </r>
  <r>
    <x v="1"/>
    <x v="11"/>
    <x v="11"/>
    <x v="0"/>
    <s v="Proyectos de Inversión"/>
    <x v="4"/>
    <x v="227"/>
    <x v="156"/>
    <x v="30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90000000"/>
    <n v="0"/>
    <n v="0"/>
    <n v="490000000"/>
    <n v="629100000"/>
    <m/>
    <x v="1"/>
    <n v="629100000"/>
  </r>
  <r>
    <x v="1"/>
    <x v="11"/>
    <x v="11"/>
    <x v="0"/>
    <s v="Proyectos de Inversión"/>
    <x v="4"/>
    <x v="227"/>
    <x v="177"/>
    <x v="32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840000000"/>
    <n v="35000000"/>
    <n v="0"/>
    <n v="875000000"/>
    <n v="560000000"/>
    <m/>
    <x v="1"/>
    <n v="560000000"/>
  </r>
  <r>
    <x v="1"/>
    <x v="11"/>
    <x v="11"/>
    <x v="0"/>
    <s v="Proyectos de Inversión"/>
    <x v="4"/>
    <x v="227"/>
    <x v="157"/>
    <x v="30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55000000"/>
    <n v="375000000"/>
    <n v="0"/>
    <n v="830000000"/>
    <n v="480000000"/>
    <m/>
    <x v="1"/>
    <n v="480000000"/>
  </r>
  <r>
    <x v="1"/>
    <x v="11"/>
    <x v="11"/>
    <x v="0"/>
    <s v="Proyectos de Inversión"/>
    <x v="4"/>
    <x v="227"/>
    <x v="178"/>
    <x v="32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70000000"/>
    <n v="189000000"/>
    <n v="0"/>
    <n v="659000000"/>
    <n v="493699911"/>
    <m/>
    <x v="1"/>
    <n v="493699911"/>
  </r>
  <r>
    <x v="1"/>
    <x v="11"/>
    <x v="11"/>
    <x v="0"/>
    <s v="Proyectos de Inversión"/>
    <x v="4"/>
    <x v="227"/>
    <x v="158"/>
    <x v="30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35000000"/>
    <n v="110000000"/>
    <n v="0"/>
    <n v="445000000"/>
    <n v="420000000"/>
    <m/>
    <x v="1"/>
    <n v="420000000"/>
  </r>
  <r>
    <x v="1"/>
    <x v="11"/>
    <x v="11"/>
    <x v="0"/>
    <s v="Proyectos de Inversión"/>
    <x v="4"/>
    <x v="227"/>
    <x v="159"/>
    <x v="30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45000000"/>
    <n v="40000000"/>
    <n v="0"/>
    <n v="485000000"/>
    <n v="620000000"/>
    <m/>
    <x v="1"/>
    <n v="620000000"/>
  </r>
  <r>
    <x v="1"/>
    <x v="11"/>
    <x v="11"/>
    <x v="0"/>
    <s v="Proyectos de Inversión"/>
    <x v="4"/>
    <x v="227"/>
    <x v="179"/>
    <x v="32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49000000"/>
    <n v="648100000"/>
    <n v="0"/>
    <n v="1197100000"/>
    <n v="530000000"/>
    <m/>
    <x v="1"/>
    <n v="530000000"/>
  </r>
  <r>
    <x v="1"/>
    <x v="11"/>
    <x v="11"/>
    <x v="0"/>
    <s v="Proyectos de Inversión"/>
    <x v="4"/>
    <x v="227"/>
    <x v="180"/>
    <x v="33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000000"/>
    <n v="0"/>
    <n v="0"/>
    <n v="2000000"/>
    <n v="286800000"/>
    <m/>
    <x v="1"/>
    <n v="286800000"/>
  </r>
  <r>
    <x v="1"/>
    <x v="11"/>
    <x v="11"/>
    <x v="0"/>
    <s v="Proyectos de Inversión"/>
    <x v="5"/>
    <x v="228"/>
    <x v="59"/>
    <x v="331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1"/>
    <m/>
    <n v="1076000000"/>
    <n v="80000000"/>
    <n v="0"/>
    <n v="1156000000"/>
    <n v="1990740000"/>
    <m/>
    <x v="49"/>
    <n v="2260740000"/>
  </r>
  <r>
    <x v="1"/>
    <x v="11"/>
    <x v="11"/>
    <x v="0"/>
    <s v="Proyectos de Inversión"/>
    <x v="5"/>
    <x v="228"/>
    <x v="181"/>
    <x v="339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1"/>
    <m/>
    <m/>
    <m/>
    <m/>
    <m/>
    <n v="25000000"/>
    <m/>
    <x v="1"/>
    <n v="25000000"/>
  </r>
  <r>
    <x v="1"/>
    <x v="11"/>
    <x v="11"/>
    <x v="0"/>
    <s v="Proyectos de Inversión"/>
    <x v="5"/>
    <x v="228"/>
    <x v="182"/>
    <x v="340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1"/>
    <m/>
    <n v="100000000"/>
    <n v="0"/>
    <n v="0"/>
    <n v="100000000"/>
    <n v="30000000"/>
    <m/>
    <x v="1"/>
    <n v="30000000"/>
  </r>
  <r>
    <x v="1"/>
    <x v="11"/>
    <x v="11"/>
    <x v="0"/>
    <s v="Proyectos de Inversión"/>
    <x v="5"/>
    <x v="228"/>
    <x v="183"/>
    <x v="341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1"/>
    <m/>
    <n v="50000000"/>
    <n v="0"/>
    <n v="0"/>
    <n v="50000000"/>
    <n v="22735006"/>
    <m/>
    <x v="1"/>
    <n v="22735006"/>
  </r>
  <r>
    <x v="1"/>
    <x v="11"/>
    <x v="11"/>
    <x v="0"/>
    <s v="Proyectos de Inversión"/>
    <x v="5"/>
    <x v="228"/>
    <x v="184"/>
    <x v="342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1"/>
    <m/>
    <n v="195000000"/>
    <n v="0"/>
    <n v="0"/>
    <n v="195000000"/>
    <n v="84500000"/>
    <m/>
    <x v="1"/>
    <n v="84500000"/>
  </r>
  <r>
    <x v="1"/>
    <x v="11"/>
    <x v="11"/>
    <x v="0"/>
    <s v="Proyectos de Inversión"/>
    <x v="5"/>
    <x v="228"/>
    <x v="143"/>
    <x v="288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1"/>
    <m/>
    <m/>
    <m/>
    <m/>
    <m/>
    <n v="8300000"/>
    <m/>
    <x v="1"/>
    <n v="8300000"/>
  </r>
  <r>
    <x v="1"/>
    <x v="11"/>
    <x v="11"/>
    <x v="0"/>
    <s v="Proyectos de Inversión"/>
    <x v="5"/>
    <x v="228"/>
    <x v="185"/>
    <x v="343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1"/>
    <m/>
    <n v="350000000"/>
    <n v="0"/>
    <n v="0"/>
    <n v="350000000"/>
    <n v="175000000"/>
    <m/>
    <x v="1"/>
    <n v="175000000"/>
  </r>
  <r>
    <x v="1"/>
    <x v="11"/>
    <x v="11"/>
    <x v="0"/>
    <s v="Proyectos de Inversión"/>
    <x v="6"/>
    <x v="229"/>
    <x v="53"/>
    <x v="329"/>
    <n v="3"/>
    <s v="Desarrollo Económico"/>
    <n v="1"/>
    <s v="Comunicaciones y Transportes"/>
    <n v="3"/>
    <x v="39"/>
    <x v="4"/>
    <x v="70"/>
    <n v="2"/>
    <s v="Gasto de capital"/>
    <x v="0"/>
    <x v="0"/>
    <x v="0"/>
    <x v="0"/>
    <x v="0"/>
    <x v="0"/>
    <x v="0"/>
    <m/>
    <x v="0"/>
    <x v="0"/>
    <m/>
    <n v="0"/>
    <n v="160000000"/>
    <n v="0"/>
    <n v="160000000"/>
    <m/>
    <m/>
    <x v="52"/>
    <n v="320000000"/>
  </r>
  <r>
    <x v="1"/>
    <x v="11"/>
    <x v="11"/>
    <x v="0"/>
    <s v="Proyectos de Inversión"/>
    <x v="11"/>
    <x v="230"/>
    <x v="57"/>
    <x v="293"/>
    <n v="3"/>
    <s v="Desarrollo Económico"/>
    <n v="7"/>
    <s v="Ciencia y Tecnología"/>
    <n v="2"/>
    <x v="42"/>
    <x v="5"/>
    <x v="73"/>
    <n v="2"/>
    <s v="Gasto de capital"/>
    <x v="0"/>
    <x v="0"/>
    <x v="0"/>
    <x v="1"/>
    <x v="0"/>
    <x v="0"/>
    <x v="0"/>
    <m/>
    <x v="0"/>
    <x v="1"/>
    <m/>
    <m/>
    <n v="0"/>
    <n v="0"/>
    <m/>
    <n v="21817500"/>
    <m/>
    <x v="1"/>
    <n v="21817500"/>
  </r>
  <r>
    <x v="1"/>
    <x v="11"/>
    <x v="11"/>
    <x v="0"/>
    <s v="Proyectos de Inversión"/>
    <x v="18"/>
    <x v="231"/>
    <x v="174"/>
    <x v="323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2000000"/>
    <n v="0"/>
    <n v="0"/>
    <n v="42000000"/>
    <m/>
    <m/>
    <x v="1"/>
    <n v="0"/>
  </r>
  <r>
    <x v="1"/>
    <x v="11"/>
    <x v="11"/>
    <x v="0"/>
    <s v="Proyectos de Inversión"/>
    <x v="1"/>
    <x v="1"/>
    <x v="180"/>
    <x v="33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98000000"/>
    <n v="0"/>
    <n v="0"/>
    <n v="398000000"/>
    <m/>
    <m/>
    <x v="1"/>
    <n v="0"/>
  </r>
  <r>
    <x v="1"/>
    <x v="11"/>
    <x v="11"/>
    <x v="0"/>
    <s v="Proyectos de Inversión"/>
    <x v="1"/>
    <x v="1"/>
    <x v="183"/>
    <x v="341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32264994"/>
    <m/>
    <x v="1"/>
    <n v="32264994"/>
  </r>
  <r>
    <x v="1"/>
    <x v="11"/>
    <x v="11"/>
    <x v="0"/>
    <s v="Proyectos de Inversión"/>
    <x v="1"/>
    <x v="1"/>
    <x v="186"/>
    <x v="344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m/>
    <m/>
    <m/>
    <m/>
    <n v="31000000"/>
    <m/>
    <x v="1"/>
    <n v="31000000"/>
  </r>
  <r>
    <x v="1"/>
    <x v="11"/>
    <x v="11"/>
    <x v="0"/>
    <s v="Proyectos de Inversión"/>
    <x v="28"/>
    <x v="232"/>
    <x v="162"/>
    <x v="311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3799998"/>
    <n v="119500002"/>
    <n v="0"/>
    <n v="153300000"/>
    <n v="17000003"/>
    <m/>
    <x v="53"/>
    <n v="10840800003"/>
  </r>
  <r>
    <x v="1"/>
    <x v="11"/>
    <x v="11"/>
    <x v="0"/>
    <s v="Proyectos de Inversión"/>
    <x v="28"/>
    <x v="232"/>
    <x v="147"/>
    <x v="296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0"/>
    <n v="69000000"/>
    <n v="0"/>
    <n v="69000000"/>
    <n v="90000000"/>
    <m/>
    <x v="1"/>
    <n v="90000000"/>
  </r>
  <r>
    <x v="1"/>
    <x v="11"/>
    <x v="11"/>
    <x v="0"/>
    <s v="Proyectos de Inversión"/>
    <x v="28"/>
    <x v="232"/>
    <x v="148"/>
    <x v="297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51000000"/>
    <n v="289200000"/>
    <n v="0"/>
    <n v="340200000"/>
    <n v="40000000"/>
    <m/>
    <x v="1"/>
    <n v="40000000"/>
  </r>
  <r>
    <x v="1"/>
    <x v="11"/>
    <x v="11"/>
    <x v="0"/>
    <s v="Proyectos de Inversión"/>
    <x v="28"/>
    <x v="232"/>
    <x v="149"/>
    <x v="298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54500000"/>
    <n v="98000000"/>
    <n v="0"/>
    <n v="152500000"/>
    <n v="20000000"/>
    <m/>
    <x v="1"/>
    <n v="20000000"/>
  </r>
  <r>
    <x v="1"/>
    <x v="11"/>
    <x v="11"/>
    <x v="0"/>
    <s v="Proyectos de Inversión"/>
    <x v="28"/>
    <x v="232"/>
    <x v="163"/>
    <x v="312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46400000"/>
    <n v="350500006"/>
    <n v="0"/>
    <n v="496900006"/>
    <n v="30000000"/>
    <m/>
    <x v="1"/>
    <n v="30000000"/>
  </r>
  <r>
    <x v="1"/>
    <x v="11"/>
    <x v="11"/>
    <x v="0"/>
    <s v="Proyectos de Inversión"/>
    <x v="28"/>
    <x v="232"/>
    <x v="164"/>
    <x v="313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3000000"/>
    <n v="150000000"/>
    <n v="0"/>
    <n v="163000000"/>
    <n v="30000000"/>
    <m/>
    <x v="1"/>
    <n v="30000000"/>
  </r>
  <r>
    <x v="1"/>
    <x v="11"/>
    <x v="11"/>
    <x v="0"/>
    <s v="Proyectos de Inversión"/>
    <x v="28"/>
    <x v="232"/>
    <x v="150"/>
    <x v="299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46800000"/>
    <n v="683699000"/>
    <n v="0"/>
    <n v="830499000"/>
    <n v="475000003"/>
    <m/>
    <x v="1"/>
    <n v="475000003"/>
  </r>
  <r>
    <x v="1"/>
    <x v="11"/>
    <x v="11"/>
    <x v="0"/>
    <s v="Proyectos de Inversión"/>
    <x v="28"/>
    <x v="232"/>
    <x v="165"/>
    <x v="314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40000000"/>
    <n v="40100000"/>
    <n v="0"/>
    <n v="480100000"/>
    <n v="300000000"/>
    <m/>
    <x v="1"/>
    <n v="300000000"/>
  </r>
  <r>
    <x v="1"/>
    <x v="11"/>
    <x v="11"/>
    <x v="0"/>
    <s v="Proyectos de Inversión"/>
    <x v="28"/>
    <x v="232"/>
    <x v="166"/>
    <x v="315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96000000"/>
    <n v="232100000"/>
    <n v="0"/>
    <n v="528100000"/>
    <n v="100000000"/>
    <m/>
    <x v="1"/>
    <n v="100000000"/>
  </r>
  <r>
    <x v="1"/>
    <x v="11"/>
    <x v="11"/>
    <x v="0"/>
    <s v="Proyectos de Inversión"/>
    <x v="28"/>
    <x v="232"/>
    <x v="167"/>
    <x v="316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2600000"/>
    <n v="160000000"/>
    <n v="0"/>
    <n v="172600000"/>
    <n v="20000000"/>
    <m/>
    <x v="1"/>
    <n v="20000000"/>
  </r>
  <r>
    <x v="1"/>
    <x v="11"/>
    <x v="11"/>
    <x v="0"/>
    <s v="Proyectos de Inversión"/>
    <x v="28"/>
    <x v="232"/>
    <x v="151"/>
    <x v="300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68200000"/>
    <n v="664000000"/>
    <n v="0"/>
    <n v="932200000"/>
    <n v="378100003"/>
    <m/>
    <x v="1"/>
    <n v="378100003"/>
  </r>
  <r>
    <x v="1"/>
    <x v="11"/>
    <x v="11"/>
    <x v="0"/>
    <s v="Proyectos de Inversión"/>
    <x v="28"/>
    <x v="232"/>
    <x v="168"/>
    <x v="317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31400000"/>
    <n v="673800000"/>
    <n v="0"/>
    <n v="805200000"/>
    <n v="30000000"/>
    <m/>
    <x v="1"/>
    <n v="30000000"/>
  </r>
  <r>
    <x v="1"/>
    <x v="11"/>
    <x v="11"/>
    <x v="0"/>
    <s v="Proyectos de Inversión"/>
    <x v="28"/>
    <x v="232"/>
    <x v="152"/>
    <x v="301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98400000"/>
    <n v="490800000"/>
    <n v="0"/>
    <n v="689200000"/>
    <n v="148000000"/>
    <m/>
    <x v="1"/>
    <n v="148000000"/>
  </r>
  <r>
    <x v="1"/>
    <x v="11"/>
    <x v="11"/>
    <x v="0"/>
    <s v="Proyectos de Inversión"/>
    <x v="28"/>
    <x v="232"/>
    <x v="169"/>
    <x v="318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85900000"/>
    <n v="549100000"/>
    <n v="0"/>
    <n v="635000000"/>
    <n v="20000000"/>
    <m/>
    <x v="1"/>
    <n v="20000000"/>
  </r>
  <r>
    <x v="1"/>
    <x v="11"/>
    <x v="11"/>
    <x v="0"/>
    <s v="Proyectos de Inversión"/>
    <x v="28"/>
    <x v="232"/>
    <x v="170"/>
    <x v="319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96000000"/>
    <n v="306200000"/>
    <n v="0"/>
    <n v="502200000"/>
    <n v="50000000"/>
    <m/>
    <x v="1"/>
    <n v="50000000"/>
  </r>
  <r>
    <x v="1"/>
    <x v="11"/>
    <x v="11"/>
    <x v="0"/>
    <s v="Proyectos de Inversión"/>
    <x v="28"/>
    <x v="232"/>
    <x v="171"/>
    <x v="320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85400000"/>
    <n v="-39900000"/>
    <n v="0"/>
    <n v="45500000"/>
    <n v="168100004"/>
    <m/>
    <x v="1"/>
    <n v="168100004"/>
  </r>
  <r>
    <x v="1"/>
    <x v="11"/>
    <x v="11"/>
    <x v="0"/>
    <s v="Proyectos de Inversión"/>
    <x v="28"/>
    <x v="232"/>
    <x v="153"/>
    <x v="302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21300000"/>
    <n v="140000000"/>
    <n v="0"/>
    <n v="461300000"/>
    <n v="160000000"/>
    <m/>
    <x v="1"/>
    <n v="160000000"/>
  </r>
  <r>
    <x v="1"/>
    <x v="11"/>
    <x v="11"/>
    <x v="0"/>
    <s v="Proyectos de Inversión"/>
    <x v="28"/>
    <x v="232"/>
    <x v="172"/>
    <x v="321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72100000"/>
    <n v="353400000"/>
    <n v="0"/>
    <n v="625500000"/>
    <n v="80000000"/>
    <m/>
    <x v="1"/>
    <n v="80000000"/>
  </r>
  <r>
    <x v="1"/>
    <x v="11"/>
    <x v="11"/>
    <x v="0"/>
    <s v="Proyectos de Inversión"/>
    <x v="28"/>
    <x v="232"/>
    <x v="154"/>
    <x v="303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22970000"/>
    <n v="791500000"/>
    <n v="0"/>
    <n v="1014470000"/>
    <n v="150000000"/>
    <m/>
    <x v="1"/>
    <n v="150000000"/>
  </r>
  <r>
    <x v="1"/>
    <x v="11"/>
    <x v="11"/>
    <x v="0"/>
    <s v="Proyectos de Inversión"/>
    <x v="28"/>
    <x v="232"/>
    <x v="173"/>
    <x v="322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16600002"/>
    <n v="538599998"/>
    <n v="0"/>
    <n v="855200000"/>
    <n v="155500013"/>
    <m/>
    <x v="1"/>
    <n v="155500013"/>
  </r>
  <r>
    <x v="1"/>
    <x v="11"/>
    <x v="11"/>
    <x v="0"/>
    <s v="Proyectos de Inversión"/>
    <x v="28"/>
    <x v="232"/>
    <x v="174"/>
    <x v="323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2700000"/>
    <n v="382600000"/>
    <n v="0"/>
    <n v="425300000"/>
    <n v="20500004"/>
    <m/>
    <x v="1"/>
    <n v="20500004"/>
  </r>
  <r>
    <x v="1"/>
    <x v="11"/>
    <x v="11"/>
    <x v="0"/>
    <s v="Proyectos de Inversión"/>
    <x v="28"/>
    <x v="232"/>
    <x v="155"/>
    <x v="304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55000000"/>
    <n v="296000000"/>
    <n v="0"/>
    <n v="351000000"/>
    <n v="30000000"/>
    <m/>
    <x v="1"/>
    <n v="30000000"/>
  </r>
  <r>
    <x v="1"/>
    <x v="11"/>
    <x v="11"/>
    <x v="0"/>
    <s v="Proyectos de Inversión"/>
    <x v="28"/>
    <x v="232"/>
    <x v="175"/>
    <x v="324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35300000"/>
    <n v="215680000"/>
    <n v="0"/>
    <n v="350980000"/>
    <n v="42000000"/>
    <m/>
    <x v="1"/>
    <n v="42000000"/>
  </r>
  <r>
    <x v="1"/>
    <x v="11"/>
    <x v="11"/>
    <x v="0"/>
    <s v="Proyectos de Inversión"/>
    <x v="28"/>
    <x v="232"/>
    <x v="176"/>
    <x v="325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34800000"/>
    <n v="158000000"/>
    <n v="0"/>
    <n v="492800000"/>
    <n v="251000000"/>
    <m/>
    <x v="1"/>
    <n v="251000000"/>
  </r>
  <r>
    <x v="1"/>
    <x v="11"/>
    <x v="11"/>
    <x v="0"/>
    <s v="Proyectos de Inversión"/>
    <x v="28"/>
    <x v="232"/>
    <x v="156"/>
    <x v="305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99830000"/>
    <n v="365000000"/>
    <n v="0"/>
    <n v="864830000"/>
    <n v="389900000"/>
    <m/>
    <x v="1"/>
    <n v="389900000"/>
  </r>
  <r>
    <x v="1"/>
    <x v="11"/>
    <x v="11"/>
    <x v="0"/>
    <s v="Proyectos de Inversión"/>
    <x v="28"/>
    <x v="232"/>
    <x v="177"/>
    <x v="326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4700000"/>
    <n v="253000000"/>
    <n v="0"/>
    <n v="267700000"/>
    <n v="30000000"/>
    <m/>
    <x v="1"/>
    <n v="30000000"/>
  </r>
  <r>
    <x v="1"/>
    <x v="11"/>
    <x v="11"/>
    <x v="0"/>
    <s v="Proyectos de Inversión"/>
    <x v="28"/>
    <x v="232"/>
    <x v="157"/>
    <x v="306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60000000"/>
    <n v="499000000"/>
    <n v="0"/>
    <n v="659000000"/>
    <n v="125000003"/>
    <m/>
    <x v="1"/>
    <n v="125000003"/>
  </r>
  <r>
    <x v="1"/>
    <x v="11"/>
    <x v="11"/>
    <x v="0"/>
    <s v="Proyectos de Inversión"/>
    <x v="28"/>
    <x v="232"/>
    <x v="178"/>
    <x v="327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59000000"/>
    <n v="183988304"/>
    <n v="0"/>
    <n v="242988304"/>
    <n v="20550004"/>
    <m/>
    <x v="1"/>
    <n v="20550004"/>
  </r>
  <r>
    <x v="1"/>
    <x v="11"/>
    <x v="11"/>
    <x v="0"/>
    <s v="Proyectos de Inversión"/>
    <x v="28"/>
    <x v="232"/>
    <x v="158"/>
    <x v="307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17300000"/>
    <n v="950100000"/>
    <n v="0"/>
    <n v="1067400000"/>
    <n v="40000000"/>
    <m/>
    <x v="1"/>
    <n v="40000000"/>
  </r>
  <r>
    <x v="1"/>
    <x v="11"/>
    <x v="11"/>
    <x v="0"/>
    <s v="Proyectos de Inversión"/>
    <x v="28"/>
    <x v="232"/>
    <x v="159"/>
    <x v="308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68500000"/>
    <n v="304900002"/>
    <n v="0"/>
    <n v="373400002"/>
    <n v="30000006"/>
    <m/>
    <x v="1"/>
    <n v="30000006"/>
  </r>
  <r>
    <x v="1"/>
    <x v="11"/>
    <x v="11"/>
    <x v="0"/>
    <s v="Proyectos de Inversión"/>
    <x v="28"/>
    <x v="232"/>
    <x v="179"/>
    <x v="328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86600000"/>
    <n v="29200000"/>
    <n v="0"/>
    <n v="215800000"/>
    <n v="62250008"/>
    <m/>
    <x v="1"/>
    <n v="62250008"/>
  </r>
  <r>
    <x v="1"/>
    <x v="11"/>
    <x v="11"/>
    <x v="0"/>
    <s v="Proyectos de Inversión"/>
    <x v="29"/>
    <x v="233"/>
    <x v="5"/>
    <x v="33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67900000"/>
    <n v="0"/>
    <n v="-40000000"/>
    <n v="227900000"/>
    <n v="212500000"/>
    <m/>
    <x v="54"/>
    <n v="-882400000"/>
  </r>
  <r>
    <x v="1"/>
    <x v="11"/>
    <x v="11"/>
    <x v="0"/>
    <s v="Proyectos de Inversión"/>
    <x v="29"/>
    <x v="233"/>
    <x v="162"/>
    <x v="31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85794000"/>
    <n v="900000"/>
    <n v="0"/>
    <n v="86694000"/>
    <n v="125225000"/>
    <m/>
    <x v="1"/>
    <n v="125225000"/>
  </r>
  <r>
    <x v="1"/>
    <x v="11"/>
    <x v="11"/>
    <x v="0"/>
    <s v="Proyectos de Inversión"/>
    <x v="29"/>
    <x v="233"/>
    <x v="147"/>
    <x v="29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70971500"/>
    <n v="1000000"/>
    <n v="0"/>
    <n v="271971500"/>
    <n v="295513000"/>
    <m/>
    <x v="1"/>
    <n v="295513000"/>
  </r>
  <r>
    <x v="1"/>
    <x v="11"/>
    <x v="11"/>
    <x v="0"/>
    <s v="Proyectos de Inversión"/>
    <x v="29"/>
    <x v="233"/>
    <x v="148"/>
    <x v="29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76771500"/>
    <n v="1300000"/>
    <n v="0"/>
    <n v="278071500"/>
    <n v="359780100"/>
    <m/>
    <x v="1"/>
    <n v="359780100"/>
  </r>
  <r>
    <x v="1"/>
    <x v="11"/>
    <x v="11"/>
    <x v="0"/>
    <s v="Proyectos de Inversión"/>
    <x v="29"/>
    <x v="233"/>
    <x v="149"/>
    <x v="29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97165500"/>
    <n v="900000"/>
    <n v="0"/>
    <n v="198065500"/>
    <n v="163432600"/>
    <m/>
    <x v="1"/>
    <n v="163432600"/>
  </r>
  <r>
    <x v="1"/>
    <x v="11"/>
    <x v="11"/>
    <x v="0"/>
    <s v="Proyectos de Inversión"/>
    <x v="29"/>
    <x v="233"/>
    <x v="163"/>
    <x v="31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40905000"/>
    <n v="-42471000"/>
    <n v="0"/>
    <n v="198434000"/>
    <n v="435838000"/>
    <m/>
    <x v="1"/>
    <n v="435838000"/>
  </r>
  <r>
    <x v="1"/>
    <x v="11"/>
    <x v="11"/>
    <x v="0"/>
    <s v="Proyectos de Inversión"/>
    <x v="29"/>
    <x v="233"/>
    <x v="164"/>
    <x v="31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95967500"/>
    <n v="900000"/>
    <n v="0"/>
    <n v="396867500"/>
    <n v="369880900"/>
    <m/>
    <x v="1"/>
    <n v="369880900"/>
  </r>
  <r>
    <x v="1"/>
    <x v="11"/>
    <x v="11"/>
    <x v="0"/>
    <s v="Proyectos de Inversión"/>
    <x v="29"/>
    <x v="233"/>
    <x v="150"/>
    <x v="29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83054900"/>
    <n v="2600000"/>
    <n v="0"/>
    <n v="385654900"/>
    <n v="462234700"/>
    <m/>
    <x v="1"/>
    <n v="462234700"/>
  </r>
  <r>
    <x v="1"/>
    <x v="11"/>
    <x v="11"/>
    <x v="0"/>
    <s v="Proyectos de Inversión"/>
    <x v="29"/>
    <x v="233"/>
    <x v="165"/>
    <x v="31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61122500"/>
    <n v="-39700000"/>
    <n v="0"/>
    <n v="321422500"/>
    <n v="422813100"/>
    <m/>
    <x v="1"/>
    <n v="422813100"/>
  </r>
  <r>
    <x v="1"/>
    <x v="11"/>
    <x v="11"/>
    <x v="0"/>
    <s v="Proyectos de Inversión"/>
    <x v="29"/>
    <x v="233"/>
    <x v="166"/>
    <x v="31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63723000"/>
    <n v="900000"/>
    <n v="0"/>
    <n v="264623000"/>
    <n v="329666000"/>
    <m/>
    <x v="1"/>
    <n v="329666000"/>
  </r>
  <r>
    <x v="1"/>
    <x v="11"/>
    <x v="11"/>
    <x v="0"/>
    <s v="Proyectos de Inversión"/>
    <x v="29"/>
    <x v="233"/>
    <x v="167"/>
    <x v="31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92470500"/>
    <n v="900000"/>
    <n v="0"/>
    <n v="293370500"/>
    <n v="314302400"/>
    <m/>
    <x v="1"/>
    <n v="314302400"/>
  </r>
  <r>
    <x v="1"/>
    <x v="11"/>
    <x v="11"/>
    <x v="0"/>
    <s v="Proyectos de Inversión"/>
    <x v="29"/>
    <x v="233"/>
    <x v="151"/>
    <x v="30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88620000"/>
    <n v="1100000"/>
    <n v="0"/>
    <n v="389720000"/>
    <n v="397764700"/>
    <m/>
    <x v="1"/>
    <n v="397764700"/>
  </r>
  <r>
    <x v="1"/>
    <x v="11"/>
    <x v="11"/>
    <x v="0"/>
    <s v="Proyectos de Inversión"/>
    <x v="29"/>
    <x v="233"/>
    <x v="168"/>
    <x v="31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72692500"/>
    <n v="1450000"/>
    <n v="0"/>
    <n v="174142500"/>
    <n v="274600900"/>
    <m/>
    <x v="1"/>
    <n v="274600900"/>
  </r>
  <r>
    <x v="1"/>
    <x v="11"/>
    <x v="11"/>
    <x v="0"/>
    <s v="Proyectos de Inversión"/>
    <x v="29"/>
    <x v="233"/>
    <x v="152"/>
    <x v="30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01752500"/>
    <n v="1400000"/>
    <n v="0"/>
    <n v="403152500"/>
    <n v="461619200"/>
    <m/>
    <x v="1"/>
    <n v="461619200"/>
  </r>
  <r>
    <x v="1"/>
    <x v="11"/>
    <x v="11"/>
    <x v="0"/>
    <s v="Proyectos de Inversión"/>
    <x v="29"/>
    <x v="233"/>
    <x v="169"/>
    <x v="31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38328500"/>
    <n v="1450000"/>
    <n v="0"/>
    <n v="239778500"/>
    <n v="234495000"/>
    <m/>
    <x v="1"/>
    <n v="234495000"/>
  </r>
  <r>
    <x v="1"/>
    <x v="11"/>
    <x v="11"/>
    <x v="0"/>
    <s v="Proyectos de Inversión"/>
    <x v="29"/>
    <x v="233"/>
    <x v="170"/>
    <x v="31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28975000"/>
    <n v="1000000"/>
    <n v="0"/>
    <n v="329975000"/>
    <n v="693794800"/>
    <m/>
    <x v="1"/>
    <n v="693794800"/>
  </r>
  <r>
    <x v="1"/>
    <x v="11"/>
    <x v="11"/>
    <x v="0"/>
    <s v="Proyectos de Inversión"/>
    <x v="29"/>
    <x v="233"/>
    <x v="171"/>
    <x v="32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88576000"/>
    <n v="1200000"/>
    <n v="0"/>
    <n v="89776000"/>
    <n v="135636100"/>
    <m/>
    <x v="1"/>
    <n v="135636100"/>
  </r>
  <r>
    <x v="1"/>
    <x v="11"/>
    <x v="11"/>
    <x v="0"/>
    <s v="Proyectos de Inversión"/>
    <x v="29"/>
    <x v="233"/>
    <x v="153"/>
    <x v="30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27984500"/>
    <n v="1100000"/>
    <n v="0"/>
    <n v="129084500"/>
    <n v="234918000"/>
    <m/>
    <x v="1"/>
    <n v="234918000"/>
  </r>
  <r>
    <x v="1"/>
    <x v="11"/>
    <x v="11"/>
    <x v="0"/>
    <s v="Proyectos de Inversión"/>
    <x v="29"/>
    <x v="233"/>
    <x v="172"/>
    <x v="32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43335000"/>
    <n v="1800000"/>
    <n v="0"/>
    <n v="345135000"/>
    <n v="344831000"/>
    <m/>
    <x v="1"/>
    <n v="344831000"/>
  </r>
  <r>
    <x v="1"/>
    <x v="11"/>
    <x v="11"/>
    <x v="0"/>
    <s v="Proyectos de Inversión"/>
    <x v="29"/>
    <x v="233"/>
    <x v="154"/>
    <x v="30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04703500"/>
    <n v="2200000"/>
    <n v="0"/>
    <n v="306903500"/>
    <n v="448330600"/>
    <m/>
    <x v="1"/>
    <n v="448330600"/>
  </r>
  <r>
    <x v="1"/>
    <x v="11"/>
    <x v="11"/>
    <x v="0"/>
    <s v="Proyectos de Inversión"/>
    <x v="29"/>
    <x v="233"/>
    <x v="173"/>
    <x v="32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52172500"/>
    <n v="1500000"/>
    <n v="0"/>
    <n v="253672500"/>
    <n v="299291300"/>
    <m/>
    <x v="1"/>
    <n v="299291300"/>
  </r>
  <r>
    <x v="1"/>
    <x v="11"/>
    <x v="11"/>
    <x v="0"/>
    <s v="Proyectos de Inversión"/>
    <x v="29"/>
    <x v="233"/>
    <x v="174"/>
    <x v="32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42218000"/>
    <n v="900000"/>
    <n v="0"/>
    <n v="143118000"/>
    <n v="156444000"/>
    <m/>
    <x v="1"/>
    <n v="156444000"/>
  </r>
  <r>
    <x v="1"/>
    <x v="11"/>
    <x v="11"/>
    <x v="0"/>
    <s v="Proyectos de Inversión"/>
    <x v="29"/>
    <x v="233"/>
    <x v="155"/>
    <x v="30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71780500"/>
    <n v="1000000"/>
    <n v="0"/>
    <n v="172780500"/>
    <n v="187531000"/>
    <m/>
    <x v="1"/>
    <n v="187531000"/>
  </r>
  <r>
    <x v="1"/>
    <x v="11"/>
    <x v="11"/>
    <x v="0"/>
    <s v="Proyectos de Inversión"/>
    <x v="29"/>
    <x v="233"/>
    <x v="175"/>
    <x v="32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27213000"/>
    <n v="1200000"/>
    <n v="0"/>
    <n v="628413000"/>
    <n v="662533000"/>
    <m/>
    <x v="1"/>
    <n v="662533000"/>
  </r>
  <r>
    <x v="1"/>
    <x v="11"/>
    <x v="11"/>
    <x v="0"/>
    <s v="Proyectos de Inversión"/>
    <x v="29"/>
    <x v="233"/>
    <x v="176"/>
    <x v="32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99873500"/>
    <n v="900000"/>
    <n v="0"/>
    <n v="300773500"/>
    <n v="302747100"/>
    <m/>
    <x v="1"/>
    <n v="302747100"/>
  </r>
  <r>
    <x v="1"/>
    <x v="11"/>
    <x v="11"/>
    <x v="0"/>
    <s v="Proyectos de Inversión"/>
    <x v="29"/>
    <x v="233"/>
    <x v="156"/>
    <x v="30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78300100"/>
    <n v="1200000"/>
    <n v="0"/>
    <n v="279500100"/>
    <n v="355098900"/>
    <m/>
    <x v="1"/>
    <n v="355098900"/>
  </r>
  <r>
    <x v="1"/>
    <x v="11"/>
    <x v="11"/>
    <x v="0"/>
    <s v="Proyectos de Inversión"/>
    <x v="29"/>
    <x v="233"/>
    <x v="177"/>
    <x v="32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64517500"/>
    <n v="-29000000"/>
    <n v="0"/>
    <n v="135517500"/>
    <n v="189410000"/>
    <m/>
    <x v="1"/>
    <n v="189410000"/>
  </r>
  <r>
    <x v="1"/>
    <x v="11"/>
    <x v="11"/>
    <x v="0"/>
    <s v="Proyectos de Inversión"/>
    <x v="29"/>
    <x v="233"/>
    <x v="157"/>
    <x v="30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50243500"/>
    <n v="1600000"/>
    <n v="0"/>
    <n v="351843500"/>
    <n v="357872000"/>
    <m/>
    <x v="1"/>
    <n v="357872000"/>
  </r>
  <r>
    <x v="1"/>
    <x v="11"/>
    <x v="11"/>
    <x v="0"/>
    <s v="Proyectos de Inversión"/>
    <x v="29"/>
    <x v="233"/>
    <x v="178"/>
    <x v="32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9033500"/>
    <n v="1500000"/>
    <n v="0"/>
    <n v="100533500"/>
    <n v="176567000"/>
    <m/>
    <x v="1"/>
    <n v="176567000"/>
  </r>
  <r>
    <x v="1"/>
    <x v="11"/>
    <x v="11"/>
    <x v="0"/>
    <s v="Proyectos de Inversión"/>
    <x v="29"/>
    <x v="233"/>
    <x v="158"/>
    <x v="30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58000500"/>
    <n v="-155500000"/>
    <n v="0"/>
    <n v="402500500"/>
    <n v="673369600"/>
    <m/>
    <x v="1"/>
    <n v="673369600"/>
  </r>
  <r>
    <x v="1"/>
    <x v="11"/>
    <x v="11"/>
    <x v="0"/>
    <s v="Proyectos de Inversión"/>
    <x v="29"/>
    <x v="233"/>
    <x v="159"/>
    <x v="30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07143000"/>
    <n v="1300000"/>
    <n v="0"/>
    <n v="208443000"/>
    <n v="315861000"/>
    <m/>
    <x v="1"/>
    <n v="315861000"/>
  </r>
  <r>
    <x v="1"/>
    <x v="11"/>
    <x v="11"/>
    <x v="0"/>
    <s v="Proyectos de Inversión"/>
    <x v="29"/>
    <x v="233"/>
    <x v="179"/>
    <x v="32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87791000"/>
    <n v="1200000"/>
    <n v="0"/>
    <n v="288991000"/>
    <n v="346072000"/>
    <m/>
    <x v="1"/>
    <n v="346072000"/>
  </r>
  <r>
    <x v="1"/>
    <x v="11"/>
    <x v="11"/>
    <x v="0"/>
    <s v="Proyectos de Inversión"/>
    <x v="30"/>
    <x v="234"/>
    <x v="50"/>
    <x v="33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13470000"/>
    <n v="0"/>
    <n v="0"/>
    <n v="113470000"/>
    <n v="51400000"/>
    <m/>
    <x v="1"/>
    <n v="51400000"/>
  </r>
  <r>
    <x v="1"/>
    <x v="11"/>
    <x v="11"/>
    <x v="0"/>
    <s v="Proyectos de Inversión"/>
    <x v="30"/>
    <x v="234"/>
    <x v="162"/>
    <x v="31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100000"/>
    <n v="0"/>
    <n v="0"/>
    <n v="2100000"/>
    <n v="1300000"/>
    <m/>
    <x v="1"/>
    <n v="1300000"/>
  </r>
  <r>
    <x v="1"/>
    <x v="11"/>
    <x v="11"/>
    <x v="0"/>
    <s v="Proyectos de Inversión"/>
    <x v="30"/>
    <x v="234"/>
    <x v="147"/>
    <x v="29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500000"/>
    <n v="0"/>
    <n v="0"/>
    <n v="5500000"/>
    <n v="4700000"/>
    <m/>
    <x v="1"/>
    <n v="4700000"/>
  </r>
  <r>
    <x v="1"/>
    <x v="11"/>
    <x v="11"/>
    <x v="0"/>
    <s v="Proyectos de Inversión"/>
    <x v="30"/>
    <x v="234"/>
    <x v="148"/>
    <x v="29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600000"/>
    <n v="0"/>
    <n v="0"/>
    <n v="5600000"/>
    <n v="4500000"/>
    <m/>
    <x v="1"/>
    <n v="4500000"/>
  </r>
  <r>
    <x v="1"/>
    <x v="11"/>
    <x v="11"/>
    <x v="0"/>
    <s v="Proyectos de Inversión"/>
    <x v="30"/>
    <x v="234"/>
    <x v="149"/>
    <x v="29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500000"/>
    <n v="0"/>
    <n v="0"/>
    <n v="5500000"/>
    <n v="4000000"/>
    <m/>
    <x v="1"/>
    <n v="4000000"/>
  </r>
  <r>
    <x v="1"/>
    <x v="11"/>
    <x v="11"/>
    <x v="0"/>
    <s v="Proyectos de Inversión"/>
    <x v="30"/>
    <x v="234"/>
    <x v="163"/>
    <x v="31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8200000"/>
    <n v="0"/>
    <n v="0"/>
    <n v="8200000"/>
    <n v="6800000"/>
    <m/>
    <x v="1"/>
    <n v="6800000"/>
  </r>
  <r>
    <x v="1"/>
    <x v="11"/>
    <x v="11"/>
    <x v="0"/>
    <s v="Proyectos de Inversión"/>
    <x v="30"/>
    <x v="234"/>
    <x v="164"/>
    <x v="31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800000"/>
    <n v="0"/>
    <n v="0"/>
    <n v="3800000"/>
    <n v="1800000"/>
    <m/>
    <x v="1"/>
    <n v="1800000"/>
  </r>
  <r>
    <x v="1"/>
    <x v="11"/>
    <x v="11"/>
    <x v="0"/>
    <s v="Proyectos de Inversión"/>
    <x v="30"/>
    <x v="234"/>
    <x v="150"/>
    <x v="29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8800000"/>
    <n v="0"/>
    <n v="0"/>
    <n v="8800000"/>
    <n v="7800000"/>
    <m/>
    <x v="1"/>
    <n v="7800000"/>
  </r>
  <r>
    <x v="1"/>
    <x v="11"/>
    <x v="11"/>
    <x v="0"/>
    <s v="Proyectos de Inversión"/>
    <x v="30"/>
    <x v="234"/>
    <x v="165"/>
    <x v="31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400000"/>
    <n v="0"/>
    <n v="0"/>
    <n v="7400000"/>
    <n v="4600000"/>
    <m/>
    <x v="1"/>
    <n v="4600000"/>
  </r>
  <r>
    <x v="1"/>
    <x v="11"/>
    <x v="11"/>
    <x v="0"/>
    <s v="Proyectos de Inversión"/>
    <x v="30"/>
    <x v="234"/>
    <x v="166"/>
    <x v="31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700000"/>
    <n v="0"/>
    <n v="0"/>
    <n v="6700000"/>
    <n v="6500000"/>
    <m/>
    <x v="1"/>
    <n v="6500000"/>
  </r>
  <r>
    <x v="1"/>
    <x v="11"/>
    <x v="11"/>
    <x v="0"/>
    <s v="Proyectos de Inversión"/>
    <x v="30"/>
    <x v="234"/>
    <x v="167"/>
    <x v="31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400000"/>
    <n v="0"/>
    <n v="0"/>
    <n v="6400000"/>
    <n v="5500000"/>
    <m/>
    <x v="1"/>
    <n v="5500000"/>
  </r>
  <r>
    <x v="1"/>
    <x v="11"/>
    <x v="11"/>
    <x v="0"/>
    <s v="Proyectos de Inversión"/>
    <x v="30"/>
    <x v="234"/>
    <x v="151"/>
    <x v="30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100000"/>
    <n v="0"/>
    <n v="0"/>
    <n v="9100000"/>
    <n v="3700000"/>
    <m/>
    <x v="1"/>
    <n v="3700000"/>
  </r>
  <r>
    <x v="1"/>
    <x v="11"/>
    <x v="11"/>
    <x v="0"/>
    <s v="Proyectos de Inversión"/>
    <x v="30"/>
    <x v="234"/>
    <x v="168"/>
    <x v="31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000000"/>
    <n v="0"/>
    <n v="0"/>
    <n v="6000000"/>
    <n v="5000000"/>
    <m/>
    <x v="1"/>
    <n v="5000000"/>
  </r>
  <r>
    <x v="1"/>
    <x v="11"/>
    <x v="11"/>
    <x v="0"/>
    <s v="Proyectos de Inversión"/>
    <x v="30"/>
    <x v="234"/>
    <x v="152"/>
    <x v="30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500000"/>
    <n v="0"/>
    <n v="0"/>
    <n v="6500000"/>
    <n v="5200000"/>
    <m/>
    <x v="1"/>
    <n v="5200000"/>
  </r>
  <r>
    <x v="1"/>
    <x v="11"/>
    <x v="11"/>
    <x v="0"/>
    <s v="Proyectos de Inversión"/>
    <x v="30"/>
    <x v="234"/>
    <x v="169"/>
    <x v="31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600000"/>
    <n v="0"/>
    <n v="0"/>
    <n v="7600000"/>
    <n v="7000000"/>
    <m/>
    <x v="1"/>
    <n v="7000000"/>
  </r>
  <r>
    <x v="1"/>
    <x v="11"/>
    <x v="11"/>
    <x v="0"/>
    <s v="Proyectos de Inversión"/>
    <x v="30"/>
    <x v="234"/>
    <x v="170"/>
    <x v="31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500000"/>
    <n v="0"/>
    <n v="0"/>
    <n v="6500000"/>
    <n v="4900000"/>
    <m/>
    <x v="1"/>
    <n v="4900000"/>
  </r>
  <r>
    <x v="1"/>
    <x v="11"/>
    <x v="11"/>
    <x v="0"/>
    <s v="Proyectos de Inversión"/>
    <x v="30"/>
    <x v="234"/>
    <x v="171"/>
    <x v="32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400000"/>
    <n v="0"/>
    <n v="0"/>
    <n v="3400000"/>
    <n v="1400000"/>
    <m/>
    <x v="1"/>
    <n v="1400000"/>
  </r>
  <r>
    <x v="1"/>
    <x v="11"/>
    <x v="11"/>
    <x v="0"/>
    <s v="Proyectos de Inversión"/>
    <x v="30"/>
    <x v="234"/>
    <x v="153"/>
    <x v="30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400000"/>
    <n v="0"/>
    <n v="0"/>
    <n v="3400000"/>
    <n v="2500000"/>
    <m/>
    <x v="1"/>
    <n v="2500000"/>
  </r>
  <r>
    <x v="1"/>
    <x v="11"/>
    <x v="11"/>
    <x v="0"/>
    <s v="Proyectos de Inversión"/>
    <x v="30"/>
    <x v="234"/>
    <x v="172"/>
    <x v="32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700000"/>
    <n v="0"/>
    <n v="0"/>
    <n v="9700000"/>
    <n v="7200000"/>
    <m/>
    <x v="1"/>
    <n v="7200000"/>
  </r>
  <r>
    <x v="1"/>
    <x v="11"/>
    <x v="11"/>
    <x v="0"/>
    <s v="Proyectos de Inversión"/>
    <x v="30"/>
    <x v="234"/>
    <x v="154"/>
    <x v="30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400000"/>
    <n v="0"/>
    <n v="0"/>
    <n v="9400000"/>
    <n v="6800000"/>
    <m/>
    <x v="1"/>
    <n v="6800000"/>
  </r>
  <r>
    <x v="1"/>
    <x v="11"/>
    <x v="11"/>
    <x v="0"/>
    <s v="Proyectos de Inversión"/>
    <x v="30"/>
    <x v="234"/>
    <x v="173"/>
    <x v="32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000000"/>
    <n v="0"/>
    <n v="0"/>
    <n v="7000000"/>
    <n v="6200000"/>
    <m/>
    <x v="1"/>
    <n v="6200000"/>
  </r>
  <r>
    <x v="1"/>
    <x v="11"/>
    <x v="11"/>
    <x v="0"/>
    <s v="Proyectos de Inversión"/>
    <x v="30"/>
    <x v="234"/>
    <x v="174"/>
    <x v="32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100000"/>
    <n v="0"/>
    <n v="0"/>
    <n v="5100000"/>
    <n v="3500000"/>
    <m/>
    <x v="1"/>
    <n v="3500000"/>
  </r>
  <r>
    <x v="1"/>
    <x v="11"/>
    <x v="11"/>
    <x v="0"/>
    <s v="Proyectos de Inversión"/>
    <x v="30"/>
    <x v="234"/>
    <x v="155"/>
    <x v="30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100000"/>
    <n v="0"/>
    <n v="0"/>
    <n v="5100000"/>
    <n v="3800000"/>
    <m/>
    <x v="1"/>
    <n v="3800000"/>
  </r>
  <r>
    <x v="1"/>
    <x v="11"/>
    <x v="11"/>
    <x v="0"/>
    <s v="Proyectos de Inversión"/>
    <x v="30"/>
    <x v="234"/>
    <x v="175"/>
    <x v="32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900000"/>
    <n v="0"/>
    <n v="0"/>
    <n v="6900000"/>
    <n v="6500000"/>
    <m/>
    <x v="1"/>
    <n v="6500000"/>
  </r>
  <r>
    <x v="1"/>
    <x v="11"/>
    <x v="11"/>
    <x v="0"/>
    <s v="Proyectos de Inversión"/>
    <x v="30"/>
    <x v="234"/>
    <x v="176"/>
    <x v="32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600000"/>
    <n v="0"/>
    <n v="0"/>
    <n v="6600000"/>
    <n v="4700000"/>
    <m/>
    <x v="1"/>
    <n v="4700000"/>
  </r>
  <r>
    <x v="1"/>
    <x v="11"/>
    <x v="11"/>
    <x v="0"/>
    <s v="Proyectos de Inversión"/>
    <x v="30"/>
    <x v="234"/>
    <x v="156"/>
    <x v="30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400000"/>
    <n v="0"/>
    <n v="0"/>
    <n v="6400000"/>
    <n v="5200000"/>
    <m/>
    <x v="1"/>
    <n v="5200000"/>
  </r>
  <r>
    <x v="1"/>
    <x v="11"/>
    <x v="11"/>
    <x v="0"/>
    <s v="Proyectos de Inversión"/>
    <x v="30"/>
    <x v="234"/>
    <x v="177"/>
    <x v="32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600000"/>
    <n v="0"/>
    <n v="0"/>
    <n v="7600000"/>
    <n v="5200000"/>
    <m/>
    <x v="1"/>
    <n v="5200000"/>
  </r>
  <r>
    <x v="1"/>
    <x v="11"/>
    <x v="11"/>
    <x v="0"/>
    <s v="Proyectos de Inversión"/>
    <x v="30"/>
    <x v="234"/>
    <x v="157"/>
    <x v="30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800000"/>
    <n v="0"/>
    <n v="0"/>
    <n v="6800000"/>
    <n v="5700000"/>
    <m/>
    <x v="1"/>
    <n v="5700000"/>
  </r>
  <r>
    <x v="1"/>
    <x v="11"/>
    <x v="11"/>
    <x v="0"/>
    <s v="Proyectos de Inversión"/>
    <x v="30"/>
    <x v="234"/>
    <x v="178"/>
    <x v="32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400000"/>
    <n v="0"/>
    <n v="0"/>
    <n v="3400000"/>
    <n v="2300000"/>
    <m/>
    <x v="1"/>
    <n v="2300000"/>
  </r>
  <r>
    <x v="1"/>
    <x v="11"/>
    <x v="11"/>
    <x v="0"/>
    <s v="Proyectos de Inversión"/>
    <x v="30"/>
    <x v="234"/>
    <x v="158"/>
    <x v="30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600000"/>
    <n v="0"/>
    <n v="0"/>
    <n v="7600000"/>
    <n v="6300000"/>
    <m/>
    <x v="1"/>
    <n v="6300000"/>
  </r>
  <r>
    <x v="1"/>
    <x v="11"/>
    <x v="11"/>
    <x v="0"/>
    <s v="Proyectos de Inversión"/>
    <x v="30"/>
    <x v="234"/>
    <x v="159"/>
    <x v="30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000000"/>
    <n v="0"/>
    <n v="0"/>
    <n v="6000000"/>
    <n v="4700000"/>
    <m/>
    <x v="1"/>
    <n v="4700000"/>
  </r>
  <r>
    <x v="1"/>
    <x v="11"/>
    <x v="11"/>
    <x v="0"/>
    <s v="Proyectos de Inversión"/>
    <x v="30"/>
    <x v="234"/>
    <x v="179"/>
    <x v="32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5100000"/>
    <n v="0"/>
    <n v="0"/>
    <n v="5100000"/>
    <n v="3300000"/>
    <m/>
    <x v="1"/>
    <n v="3300000"/>
  </r>
  <r>
    <x v="1"/>
    <x v="11"/>
    <x v="11"/>
    <x v="0"/>
    <s v="Proyectos de Inversión"/>
    <x v="53"/>
    <x v="235"/>
    <x v="4"/>
    <x v="33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496000000"/>
    <n v="0"/>
    <n v="0"/>
    <n v="1496000000"/>
    <n v="992233000"/>
    <m/>
    <x v="1"/>
    <n v="992233000"/>
  </r>
  <r>
    <x v="1"/>
    <x v="11"/>
    <x v="11"/>
    <x v="0"/>
    <s v="Proyectos de Inversión"/>
    <x v="53"/>
    <x v="235"/>
    <x v="150"/>
    <x v="29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008000"/>
    <n v="20160"/>
    <n v="0"/>
    <n v="1028160"/>
    <n v="1008000"/>
    <m/>
    <x v="1"/>
    <n v="1008000"/>
  </r>
  <r>
    <x v="1"/>
    <x v="11"/>
    <x v="11"/>
    <x v="0"/>
    <s v="Proyectos de Inversión"/>
    <x v="53"/>
    <x v="235"/>
    <x v="151"/>
    <x v="30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2589000"/>
    <n v="51780"/>
    <n v="0"/>
    <n v="2640780"/>
    <n v="2589000"/>
    <m/>
    <x v="1"/>
    <n v="2589000"/>
  </r>
  <r>
    <x v="1"/>
    <x v="11"/>
    <x v="11"/>
    <x v="0"/>
    <s v="Proyectos de Inversión"/>
    <x v="53"/>
    <x v="235"/>
    <x v="170"/>
    <x v="31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008000"/>
    <n v="20160"/>
    <n v="0"/>
    <n v="1028160"/>
    <n v="1008000"/>
    <m/>
    <x v="1"/>
    <n v="1008000"/>
  </r>
  <r>
    <x v="1"/>
    <x v="11"/>
    <x v="11"/>
    <x v="0"/>
    <s v="Proyectos de Inversión"/>
    <x v="53"/>
    <x v="235"/>
    <x v="176"/>
    <x v="32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581000"/>
    <n v="31620"/>
    <n v="0"/>
    <n v="1612620"/>
    <n v="1581000"/>
    <m/>
    <x v="1"/>
    <n v="1581000"/>
  </r>
  <r>
    <x v="1"/>
    <x v="11"/>
    <x v="11"/>
    <x v="0"/>
    <s v="Proyectos de Inversión"/>
    <x v="53"/>
    <x v="235"/>
    <x v="157"/>
    <x v="30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581000"/>
    <n v="31620"/>
    <n v="0"/>
    <n v="1612620"/>
    <n v="1581000"/>
    <m/>
    <x v="1"/>
    <n v="1581000"/>
  </r>
  <r>
    <x v="1"/>
    <x v="11"/>
    <x v="11"/>
    <x v="0"/>
    <s v="Proyectos de Inversión"/>
    <x v="54"/>
    <x v="236"/>
    <x v="162"/>
    <x v="31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7500000"/>
    <n v="0"/>
    <n v="0"/>
    <n v="7500000"/>
    <m/>
    <m/>
    <x v="1"/>
    <n v="0"/>
  </r>
  <r>
    <x v="1"/>
    <x v="11"/>
    <x v="11"/>
    <x v="0"/>
    <s v="Proyectos de Inversión"/>
    <x v="54"/>
    <x v="236"/>
    <x v="147"/>
    <x v="29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14400000"/>
    <n v="0"/>
    <n v="0"/>
    <n v="114400000"/>
    <n v="79100000"/>
    <m/>
    <x v="1"/>
    <n v="79100000"/>
  </r>
  <r>
    <x v="1"/>
    <x v="11"/>
    <x v="11"/>
    <x v="0"/>
    <s v="Proyectos de Inversión"/>
    <x v="54"/>
    <x v="236"/>
    <x v="148"/>
    <x v="29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7200000"/>
    <n v="0"/>
    <n v="0"/>
    <n v="17200000"/>
    <n v="45000000"/>
    <m/>
    <x v="1"/>
    <n v="45000000"/>
  </r>
  <r>
    <x v="1"/>
    <x v="11"/>
    <x v="11"/>
    <x v="0"/>
    <s v="Proyectos de Inversión"/>
    <x v="54"/>
    <x v="236"/>
    <x v="149"/>
    <x v="29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100000"/>
    <n v="0"/>
    <n v="0"/>
    <n v="4100000"/>
    <n v="53000000"/>
    <m/>
    <x v="1"/>
    <n v="53000000"/>
  </r>
  <r>
    <x v="1"/>
    <x v="11"/>
    <x v="11"/>
    <x v="0"/>
    <s v="Proyectos de Inversión"/>
    <x v="54"/>
    <x v="236"/>
    <x v="163"/>
    <x v="31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6350000"/>
    <n v="-16029000"/>
    <n v="0"/>
    <n v="80321000"/>
    <n v="56500000"/>
    <m/>
    <x v="1"/>
    <n v="56500000"/>
  </r>
  <r>
    <x v="1"/>
    <x v="11"/>
    <x v="11"/>
    <x v="0"/>
    <s v="Proyectos de Inversión"/>
    <x v="54"/>
    <x v="236"/>
    <x v="164"/>
    <x v="31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0000000"/>
    <n v="0"/>
    <n v="0"/>
    <n v="30000000"/>
    <n v="39500000"/>
    <m/>
    <x v="1"/>
    <n v="39500000"/>
  </r>
  <r>
    <x v="1"/>
    <x v="11"/>
    <x v="11"/>
    <x v="0"/>
    <s v="Proyectos de Inversión"/>
    <x v="54"/>
    <x v="236"/>
    <x v="150"/>
    <x v="29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30500000"/>
    <n v="0"/>
    <n v="0"/>
    <n v="130500000"/>
    <n v="16500000"/>
    <m/>
    <x v="1"/>
    <n v="16500000"/>
  </r>
  <r>
    <x v="1"/>
    <x v="11"/>
    <x v="11"/>
    <x v="0"/>
    <s v="Proyectos de Inversión"/>
    <x v="54"/>
    <x v="236"/>
    <x v="165"/>
    <x v="31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88500000"/>
    <n v="-9900000"/>
    <n v="0"/>
    <n v="178600000"/>
    <n v="11000000"/>
    <m/>
    <x v="1"/>
    <n v="11000000"/>
  </r>
  <r>
    <x v="1"/>
    <x v="11"/>
    <x v="11"/>
    <x v="0"/>
    <s v="Proyectos de Inversión"/>
    <x v="54"/>
    <x v="236"/>
    <x v="166"/>
    <x v="31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3200000"/>
    <n v="0"/>
    <n v="0"/>
    <n v="43200000"/>
    <n v="16250000"/>
    <m/>
    <x v="1"/>
    <n v="16250000"/>
  </r>
  <r>
    <x v="1"/>
    <x v="11"/>
    <x v="11"/>
    <x v="0"/>
    <s v="Proyectos de Inversión"/>
    <x v="54"/>
    <x v="236"/>
    <x v="167"/>
    <x v="31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8500000"/>
    <n v="0"/>
    <n v="0"/>
    <n v="18500000"/>
    <n v="14000000"/>
    <m/>
    <x v="1"/>
    <n v="14000000"/>
  </r>
  <r>
    <x v="1"/>
    <x v="11"/>
    <x v="11"/>
    <x v="0"/>
    <s v="Proyectos de Inversión"/>
    <x v="54"/>
    <x v="236"/>
    <x v="151"/>
    <x v="30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3700000"/>
    <n v="0"/>
    <n v="0"/>
    <n v="13700000"/>
    <n v="31500000"/>
    <m/>
    <x v="1"/>
    <n v="31500000"/>
  </r>
  <r>
    <x v="1"/>
    <x v="11"/>
    <x v="11"/>
    <x v="0"/>
    <s v="Proyectos de Inversión"/>
    <x v="54"/>
    <x v="236"/>
    <x v="168"/>
    <x v="31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8200000"/>
    <n v="0"/>
    <n v="0"/>
    <n v="38200000"/>
    <n v="9000000"/>
    <m/>
    <x v="1"/>
    <n v="9000000"/>
  </r>
  <r>
    <x v="1"/>
    <x v="11"/>
    <x v="11"/>
    <x v="0"/>
    <s v="Proyectos de Inversión"/>
    <x v="54"/>
    <x v="236"/>
    <x v="152"/>
    <x v="30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17000000"/>
    <n v="0"/>
    <n v="0"/>
    <n v="117000000"/>
    <n v="19000000"/>
    <m/>
    <x v="1"/>
    <n v="19000000"/>
  </r>
  <r>
    <x v="1"/>
    <x v="11"/>
    <x v="11"/>
    <x v="0"/>
    <s v="Proyectos de Inversión"/>
    <x v="54"/>
    <x v="236"/>
    <x v="169"/>
    <x v="31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87350000"/>
    <n v="0"/>
    <n v="0"/>
    <n v="87350000"/>
    <n v="118260000"/>
    <m/>
    <x v="1"/>
    <n v="118260000"/>
  </r>
  <r>
    <x v="1"/>
    <x v="11"/>
    <x v="11"/>
    <x v="0"/>
    <s v="Proyectos de Inversión"/>
    <x v="54"/>
    <x v="236"/>
    <x v="170"/>
    <x v="319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25100000"/>
    <n v="0"/>
    <n v="0"/>
    <n v="125100000"/>
    <n v="36000000"/>
    <m/>
    <x v="1"/>
    <n v="36000000"/>
  </r>
  <r>
    <x v="1"/>
    <x v="11"/>
    <x v="11"/>
    <x v="0"/>
    <s v="Proyectos de Inversión"/>
    <x v="54"/>
    <x v="236"/>
    <x v="171"/>
    <x v="320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250000"/>
    <n v="0"/>
    <n v="0"/>
    <n v="3250000"/>
    <m/>
    <m/>
    <x v="1"/>
    <n v="0"/>
  </r>
  <r>
    <x v="1"/>
    <x v="11"/>
    <x v="11"/>
    <x v="0"/>
    <s v="Proyectos de Inversión"/>
    <x v="54"/>
    <x v="236"/>
    <x v="153"/>
    <x v="30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05250000"/>
    <n v="0"/>
    <n v="0"/>
    <n v="105250000"/>
    <n v="5000000"/>
    <m/>
    <x v="1"/>
    <n v="5000000"/>
  </r>
  <r>
    <x v="1"/>
    <x v="11"/>
    <x v="11"/>
    <x v="0"/>
    <s v="Proyectos de Inversión"/>
    <x v="54"/>
    <x v="236"/>
    <x v="172"/>
    <x v="321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4300000"/>
    <n v="0"/>
    <n v="0"/>
    <n v="34300000"/>
    <n v="145500000"/>
    <m/>
    <x v="1"/>
    <n v="145500000"/>
  </r>
  <r>
    <x v="1"/>
    <x v="11"/>
    <x v="11"/>
    <x v="0"/>
    <s v="Proyectos de Inversión"/>
    <x v="54"/>
    <x v="236"/>
    <x v="154"/>
    <x v="30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5900000"/>
    <n v="0"/>
    <n v="0"/>
    <n v="65900000"/>
    <n v="40300000"/>
    <m/>
    <x v="1"/>
    <n v="40300000"/>
  </r>
  <r>
    <x v="1"/>
    <x v="11"/>
    <x v="11"/>
    <x v="0"/>
    <s v="Proyectos de Inversión"/>
    <x v="54"/>
    <x v="236"/>
    <x v="173"/>
    <x v="322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4300000"/>
    <n v="0"/>
    <n v="0"/>
    <n v="14300000"/>
    <n v="14150000"/>
    <m/>
    <x v="1"/>
    <n v="14150000"/>
  </r>
  <r>
    <x v="1"/>
    <x v="11"/>
    <x v="11"/>
    <x v="0"/>
    <s v="Proyectos de Inversión"/>
    <x v="54"/>
    <x v="236"/>
    <x v="174"/>
    <x v="323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8750000"/>
    <n v="0"/>
    <n v="0"/>
    <n v="8750000"/>
    <n v="34765000"/>
    <m/>
    <x v="1"/>
    <n v="34765000"/>
  </r>
  <r>
    <x v="1"/>
    <x v="11"/>
    <x v="11"/>
    <x v="0"/>
    <s v="Proyectos de Inversión"/>
    <x v="54"/>
    <x v="236"/>
    <x v="155"/>
    <x v="30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m/>
    <n v="0"/>
    <n v="0"/>
    <m/>
    <n v="1000000"/>
    <m/>
    <x v="1"/>
    <n v="1000000"/>
  </r>
  <r>
    <x v="1"/>
    <x v="11"/>
    <x v="11"/>
    <x v="0"/>
    <s v="Proyectos de Inversión"/>
    <x v="54"/>
    <x v="236"/>
    <x v="175"/>
    <x v="324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6250000"/>
    <n v="0"/>
    <n v="0"/>
    <n v="36250000"/>
    <n v="25500000"/>
    <m/>
    <x v="1"/>
    <n v="25500000"/>
  </r>
  <r>
    <x v="1"/>
    <x v="11"/>
    <x v="11"/>
    <x v="0"/>
    <s v="Proyectos de Inversión"/>
    <x v="54"/>
    <x v="236"/>
    <x v="176"/>
    <x v="32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400000"/>
    <n v="0"/>
    <n v="0"/>
    <n v="1400000"/>
    <n v="14600000"/>
    <m/>
    <x v="1"/>
    <n v="14600000"/>
  </r>
  <r>
    <x v="1"/>
    <x v="11"/>
    <x v="11"/>
    <x v="0"/>
    <s v="Proyectos de Inversión"/>
    <x v="54"/>
    <x v="236"/>
    <x v="156"/>
    <x v="305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3300000"/>
    <n v="0"/>
    <n v="0"/>
    <n v="13300000"/>
    <n v="5700000"/>
    <m/>
    <x v="1"/>
    <n v="5700000"/>
  </r>
  <r>
    <x v="1"/>
    <x v="11"/>
    <x v="11"/>
    <x v="0"/>
    <s v="Proyectos de Inversión"/>
    <x v="54"/>
    <x v="236"/>
    <x v="177"/>
    <x v="32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61900000"/>
    <n v="0"/>
    <n v="0"/>
    <n v="61900000"/>
    <n v="159000000"/>
    <m/>
    <x v="1"/>
    <n v="159000000"/>
  </r>
  <r>
    <x v="1"/>
    <x v="11"/>
    <x v="11"/>
    <x v="0"/>
    <s v="Proyectos de Inversión"/>
    <x v="54"/>
    <x v="236"/>
    <x v="157"/>
    <x v="306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0150000"/>
    <n v="0"/>
    <n v="0"/>
    <n v="30150000"/>
    <n v="111602000"/>
    <m/>
    <x v="1"/>
    <n v="111602000"/>
  </r>
  <r>
    <x v="1"/>
    <x v="11"/>
    <x v="11"/>
    <x v="0"/>
    <s v="Proyectos de Inversión"/>
    <x v="54"/>
    <x v="236"/>
    <x v="178"/>
    <x v="32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13400000"/>
    <n v="0"/>
    <n v="0"/>
    <n v="13400000"/>
    <n v="17300000"/>
    <m/>
    <x v="1"/>
    <n v="17300000"/>
  </r>
  <r>
    <x v="1"/>
    <x v="11"/>
    <x v="11"/>
    <x v="0"/>
    <s v="Proyectos de Inversión"/>
    <x v="54"/>
    <x v="236"/>
    <x v="158"/>
    <x v="307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97500000"/>
    <n v="0"/>
    <n v="0"/>
    <n v="97500000"/>
    <n v="41000000"/>
    <m/>
    <x v="1"/>
    <n v="41000000"/>
  </r>
  <r>
    <x v="1"/>
    <x v="11"/>
    <x v="11"/>
    <x v="0"/>
    <s v="Proyectos de Inversión"/>
    <x v="54"/>
    <x v="236"/>
    <x v="159"/>
    <x v="30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32650000"/>
    <n v="0"/>
    <n v="0"/>
    <n v="32650000"/>
    <n v="5000000"/>
    <m/>
    <x v="1"/>
    <n v="5000000"/>
  </r>
  <r>
    <x v="1"/>
    <x v="11"/>
    <x v="11"/>
    <x v="0"/>
    <s v="Proyectos de Inversión"/>
    <x v="54"/>
    <x v="236"/>
    <x v="179"/>
    <x v="328"/>
    <n v="3"/>
    <s v="Desarrollo Económico"/>
    <n v="1"/>
    <s v="Comunicaciones y Transportes"/>
    <n v="1"/>
    <x v="37"/>
    <x v="1"/>
    <x v="68"/>
    <n v="2"/>
    <s v="Gasto de capital"/>
    <x v="0"/>
    <x v="0"/>
    <x v="0"/>
    <x v="0"/>
    <x v="0"/>
    <x v="0"/>
    <x v="0"/>
    <m/>
    <x v="0"/>
    <x v="0"/>
    <m/>
    <n v="40000000"/>
    <n v="0"/>
    <n v="0"/>
    <n v="40000000"/>
    <n v="55000000"/>
    <m/>
    <x v="1"/>
    <n v="55000000"/>
  </r>
  <r>
    <x v="1"/>
    <x v="11"/>
    <x v="11"/>
    <x v="0"/>
    <s v="Proyectos de Inversión"/>
    <x v="55"/>
    <x v="237"/>
    <x v="59"/>
    <x v="331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n v="26790000"/>
    <n v="0"/>
    <n v="0"/>
    <n v="26790000"/>
    <n v="45000000"/>
    <m/>
    <x v="1"/>
    <n v="45000000"/>
  </r>
  <r>
    <x v="1"/>
    <x v="11"/>
    <x v="11"/>
    <x v="0"/>
    <s v="Proyectos de Inversión"/>
    <x v="55"/>
    <x v="237"/>
    <x v="85"/>
    <x v="295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n v="30605000"/>
    <n v="0"/>
    <n v="0"/>
    <n v="30605000"/>
    <m/>
    <m/>
    <x v="1"/>
    <n v="0"/>
  </r>
  <r>
    <x v="1"/>
    <x v="11"/>
    <x v="11"/>
    <x v="0"/>
    <s v="Proyectos de Inversión"/>
    <x v="56"/>
    <x v="238"/>
    <x v="162"/>
    <x v="311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000000"/>
    <n v="0"/>
    <n v="0"/>
    <n v="6000000"/>
    <n v="5000003"/>
    <m/>
    <x v="1"/>
    <n v="5000003"/>
  </r>
  <r>
    <x v="1"/>
    <x v="11"/>
    <x v="11"/>
    <x v="0"/>
    <s v="Proyectos de Inversión"/>
    <x v="56"/>
    <x v="238"/>
    <x v="147"/>
    <x v="296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000000"/>
    <n v="0"/>
    <n v="0"/>
    <n v="6000000"/>
    <n v="5000003"/>
    <m/>
    <x v="1"/>
    <n v="5000003"/>
  </r>
  <r>
    <x v="1"/>
    <x v="11"/>
    <x v="11"/>
    <x v="0"/>
    <s v="Proyectos de Inversión"/>
    <x v="56"/>
    <x v="238"/>
    <x v="148"/>
    <x v="297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15000000"/>
    <n v="10000000"/>
    <n v="0"/>
    <n v="25000000"/>
    <n v="7000003"/>
    <m/>
    <x v="1"/>
    <n v="7000003"/>
  </r>
  <r>
    <x v="1"/>
    <x v="11"/>
    <x v="11"/>
    <x v="0"/>
    <s v="Proyectos de Inversión"/>
    <x v="56"/>
    <x v="238"/>
    <x v="149"/>
    <x v="298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9000000"/>
    <n v="0"/>
    <n v="0"/>
    <n v="9000000"/>
    <n v="5000003"/>
    <m/>
    <x v="1"/>
    <n v="5000003"/>
  </r>
  <r>
    <x v="1"/>
    <x v="11"/>
    <x v="11"/>
    <x v="0"/>
    <s v="Proyectos de Inversión"/>
    <x v="56"/>
    <x v="238"/>
    <x v="163"/>
    <x v="312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15000000"/>
    <n v="-15000000"/>
    <n v="0"/>
    <n v="0"/>
    <n v="5000003"/>
    <m/>
    <x v="1"/>
    <n v="5000003"/>
  </r>
  <r>
    <x v="1"/>
    <x v="11"/>
    <x v="11"/>
    <x v="0"/>
    <s v="Proyectos de Inversión"/>
    <x v="56"/>
    <x v="238"/>
    <x v="164"/>
    <x v="313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000000"/>
    <n v="-900000"/>
    <n v="0"/>
    <n v="5100000"/>
    <n v="5000003"/>
    <m/>
    <x v="1"/>
    <n v="5000003"/>
  </r>
  <r>
    <x v="1"/>
    <x v="11"/>
    <x v="11"/>
    <x v="0"/>
    <s v="Proyectos de Inversión"/>
    <x v="56"/>
    <x v="238"/>
    <x v="150"/>
    <x v="299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42000000"/>
    <n v="-42000000"/>
    <n v="0"/>
    <n v="0"/>
    <n v="40000000"/>
    <m/>
    <x v="1"/>
    <n v="40000000"/>
  </r>
  <r>
    <x v="1"/>
    <x v="11"/>
    <x v="11"/>
    <x v="0"/>
    <s v="Proyectos de Inversión"/>
    <x v="56"/>
    <x v="238"/>
    <x v="165"/>
    <x v="314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15000000"/>
    <n v="0"/>
    <n v="0"/>
    <n v="15000000"/>
    <n v="15000003"/>
    <m/>
    <x v="1"/>
    <n v="15000003"/>
  </r>
  <r>
    <x v="1"/>
    <x v="11"/>
    <x v="11"/>
    <x v="0"/>
    <s v="Proyectos de Inversión"/>
    <x v="56"/>
    <x v="238"/>
    <x v="166"/>
    <x v="315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7000000"/>
    <n v="-27000000"/>
    <n v="0"/>
    <n v="0"/>
    <n v="10000000"/>
    <m/>
    <x v="1"/>
    <n v="10000000"/>
  </r>
  <r>
    <x v="1"/>
    <x v="11"/>
    <x v="11"/>
    <x v="0"/>
    <s v="Proyectos de Inversión"/>
    <x v="56"/>
    <x v="238"/>
    <x v="167"/>
    <x v="316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9000000"/>
    <n v="0"/>
    <n v="0"/>
    <n v="29000000"/>
    <n v="5000003"/>
    <m/>
    <x v="1"/>
    <n v="5000003"/>
  </r>
  <r>
    <x v="1"/>
    <x v="11"/>
    <x v="11"/>
    <x v="0"/>
    <s v="Proyectos de Inversión"/>
    <x v="56"/>
    <x v="238"/>
    <x v="151"/>
    <x v="300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0"/>
    <n v="-5000000"/>
    <n v="0"/>
    <n v="25000000"/>
    <n v="60000000"/>
    <m/>
    <x v="1"/>
    <n v="60000000"/>
  </r>
  <r>
    <x v="1"/>
    <x v="11"/>
    <x v="11"/>
    <x v="0"/>
    <s v="Proyectos de Inversión"/>
    <x v="56"/>
    <x v="238"/>
    <x v="168"/>
    <x v="317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4000000"/>
    <n v="0"/>
    <n v="0"/>
    <n v="24000000"/>
    <n v="30000000"/>
    <m/>
    <x v="1"/>
    <n v="30000000"/>
  </r>
  <r>
    <x v="1"/>
    <x v="11"/>
    <x v="11"/>
    <x v="0"/>
    <s v="Proyectos de Inversión"/>
    <x v="56"/>
    <x v="238"/>
    <x v="152"/>
    <x v="301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15000000"/>
    <n v="0"/>
    <n v="0"/>
    <n v="15000000"/>
    <n v="10000000"/>
    <m/>
    <x v="1"/>
    <n v="10000000"/>
  </r>
  <r>
    <x v="1"/>
    <x v="11"/>
    <x v="11"/>
    <x v="0"/>
    <s v="Proyectos de Inversión"/>
    <x v="56"/>
    <x v="238"/>
    <x v="169"/>
    <x v="318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4000000"/>
    <n v="0"/>
    <n v="0"/>
    <n v="24000000"/>
    <n v="8000000"/>
    <m/>
    <x v="1"/>
    <n v="8000000"/>
  </r>
  <r>
    <x v="1"/>
    <x v="11"/>
    <x v="11"/>
    <x v="0"/>
    <s v="Proyectos de Inversión"/>
    <x v="56"/>
    <x v="238"/>
    <x v="170"/>
    <x v="319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0"/>
    <n v="0"/>
    <n v="0"/>
    <n v="30000000"/>
    <n v="20000000"/>
    <m/>
    <x v="1"/>
    <n v="20000000"/>
  </r>
  <r>
    <x v="1"/>
    <x v="11"/>
    <x v="11"/>
    <x v="0"/>
    <s v="Proyectos de Inversión"/>
    <x v="56"/>
    <x v="238"/>
    <x v="171"/>
    <x v="320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000000"/>
    <n v="0"/>
    <n v="0"/>
    <n v="6000000"/>
    <n v="5000003"/>
    <m/>
    <x v="1"/>
    <n v="5000003"/>
  </r>
  <r>
    <x v="1"/>
    <x v="11"/>
    <x v="11"/>
    <x v="0"/>
    <s v="Proyectos de Inversión"/>
    <x v="56"/>
    <x v="238"/>
    <x v="153"/>
    <x v="302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4000000"/>
    <n v="0"/>
    <n v="0"/>
    <n v="24000000"/>
    <n v="40000000"/>
    <m/>
    <x v="1"/>
    <n v="40000000"/>
  </r>
  <r>
    <x v="1"/>
    <x v="11"/>
    <x v="11"/>
    <x v="0"/>
    <s v="Proyectos de Inversión"/>
    <x v="56"/>
    <x v="238"/>
    <x v="172"/>
    <x v="321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12000000"/>
    <n v="0"/>
    <n v="0"/>
    <n v="12000000"/>
    <n v="10000000"/>
    <m/>
    <x v="1"/>
    <n v="10000000"/>
  </r>
  <r>
    <x v="1"/>
    <x v="11"/>
    <x v="11"/>
    <x v="0"/>
    <s v="Proyectos de Inversión"/>
    <x v="56"/>
    <x v="238"/>
    <x v="154"/>
    <x v="303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0"/>
    <n v="0"/>
    <n v="0"/>
    <n v="30000000"/>
    <n v="40000000"/>
    <m/>
    <x v="1"/>
    <n v="40000000"/>
  </r>
  <r>
    <x v="1"/>
    <x v="11"/>
    <x v="11"/>
    <x v="0"/>
    <s v="Proyectos de Inversión"/>
    <x v="56"/>
    <x v="238"/>
    <x v="173"/>
    <x v="322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0"/>
    <n v="0"/>
    <n v="0"/>
    <n v="30000000"/>
    <n v="40000000"/>
    <m/>
    <x v="1"/>
    <n v="40000000"/>
  </r>
  <r>
    <x v="1"/>
    <x v="11"/>
    <x v="11"/>
    <x v="0"/>
    <s v="Proyectos de Inversión"/>
    <x v="56"/>
    <x v="238"/>
    <x v="174"/>
    <x v="323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000000"/>
    <n v="0"/>
    <n v="0"/>
    <n v="6000000"/>
    <n v="5000003"/>
    <m/>
    <x v="1"/>
    <n v="5000003"/>
  </r>
  <r>
    <x v="1"/>
    <x v="11"/>
    <x v="11"/>
    <x v="0"/>
    <s v="Proyectos de Inversión"/>
    <x v="56"/>
    <x v="238"/>
    <x v="155"/>
    <x v="304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12000000"/>
    <n v="0"/>
    <n v="0"/>
    <n v="12000000"/>
    <n v="5000003"/>
    <m/>
    <x v="1"/>
    <n v="5000003"/>
  </r>
  <r>
    <x v="1"/>
    <x v="11"/>
    <x v="11"/>
    <x v="0"/>
    <s v="Proyectos de Inversión"/>
    <x v="56"/>
    <x v="238"/>
    <x v="175"/>
    <x v="324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0"/>
    <n v="0"/>
    <n v="0"/>
    <n v="30000000"/>
    <n v="20000000"/>
    <m/>
    <x v="1"/>
    <n v="20000000"/>
  </r>
  <r>
    <x v="1"/>
    <x v="11"/>
    <x v="11"/>
    <x v="0"/>
    <s v="Proyectos de Inversión"/>
    <x v="56"/>
    <x v="238"/>
    <x v="176"/>
    <x v="325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4000000"/>
    <n v="-10000000"/>
    <n v="0"/>
    <n v="14000000"/>
    <n v="30000000"/>
    <m/>
    <x v="1"/>
    <n v="30000000"/>
  </r>
  <r>
    <x v="1"/>
    <x v="11"/>
    <x v="11"/>
    <x v="0"/>
    <s v="Proyectos de Inversión"/>
    <x v="56"/>
    <x v="238"/>
    <x v="156"/>
    <x v="305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0"/>
    <n v="0"/>
    <n v="0"/>
    <n v="30000000"/>
    <n v="20000000"/>
    <m/>
    <x v="1"/>
    <n v="20000000"/>
  </r>
  <r>
    <x v="1"/>
    <x v="11"/>
    <x v="11"/>
    <x v="0"/>
    <s v="Proyectos de Inversión"/>
    <x v="56"/>
    <x v="238"/>
    <x v="177"/>
    <x v="326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4000000"/>
    <n v="-1000000"/>
    <n v="0"/>
    <n v="23000000"/>
    <n v="10000000"/>
    <m/>
    <x v="1"/>
    <n v="10000000"/>
  </r>
  <r>
    <x v="1"/>
    <x v="11"/>
    <x v="11"/>
    <x v="0"/>
    <s v="Proyectos de Inversión"/>
    <x v="56"/>
    <x v="238"/>
    <x v="157"/>
    <x v="306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4000000"/>
    <n v="-5100000"/>
    <n v="0"/>
    <n v="18900000"/>
    <n v="10000000"/>
    <m/>
    <x v="1"/>
    <n v="10000000"/>
  </r>
  <r>
    <x v="1"/>
    <x v="11"/>
    <x v="11"/>
    <x v="0"/>
    <s v="Proyectos de Inversión"/>
    <x v="56"/>
    <x v="238"/>
    <x v="178"/>
    <x v="327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000000"/>
    <n v="0"/>
    <n v="0"/>
    <n v="6000000"/>
    <n v="5000003"/>
    <m/>
    <x v="1"/>
    <n v="5000003"/>
  </r>
  <r>
    <x v="1"/>
    <x v="11"/>
    <x v="11"/>
    <x v="0"/>
    <s v="Proyectos de Inversión"/>
    <x v="56"/>
    <x v="238"/>
    <x v="158"/>
    <x v="307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0"/>
    <n v="-30000000"/>
    <n v="0"/>
    <n v="0"/>
    <n v="20000000"/>
    <m/>
    <x v="1"/>
    <n v="20000000"/>
  </r>
  <r>
    <x v="1"/>
    <x v="11"/>
    <x v="11"/>
    <x v="0"/>
    <s v="Proyectos de Inversión"/>
    <x v="56"/>
    <x v="238"/>
    <x v="159"/>
    <x v="308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4000000"/>
    <n v="0"/>
    <n v="0"/>
    <n v="24000000"/>
    <n v="10000000"/>
    <m/>
    <x v="1"/>
    <n v="10000000"/>
  </r>
  <r>
    <x v="1"/>
    <x v="11"/>
    <x v="11"/>
    <x v="0"/>
    <s v="Proyectos de Inversión"/>
    <x v="56"/>
    <x v="238"/>
    <x v="179"/>
    <x v="328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4000000"/>
    <n v="0"/>
    <n v="0"/>
    <n v="24000000"/>
    <n v="10000000"/>
    <m/>
    <x v="1"/>
    <n v="10000000"/>
  </r>
  <r>
    <x v="1"/>
    <x v="11"/>
    <x v="11"/>
    <x v="0"/>
    <s v="Proyectos de Inversión"/>
    <x v="57"/>
    <x v="239"/>
    <x v="59"/>
    <x v="331"/>
    <n v="3"/>
    <s v="Desarrollo Económico"/>
    <n v="1"/>
    <s v="Comunicaciones y Transportes"/>
    <n v="2"/>
    <x v="38"/>
    <x v="0"/>
    <x v="69"/>
    <n v="2"/>
    <s v="Gasto de capital"/>
    <x v="0"/>
    <x v="0"/>
    <x v="0"/>
    <x v="0"/>
    <x v="0"/>
    <x v="0"/>
    <x v="0"/>
    <m/>
    <x v="0"/>
    <x v="0"/>
    <m/>
    <n v="93000000"/>
    <n v="10000000"/>
    <n v="0"/>
    <n v="103000000"/>
    <n v="267000000"/>
    <m/>
    <x v="1"/>
    <n v="267000000"/>
  </r>
  <r>
    <x v="1"/>
    <x v="11"/>
    <x v="11"/>
    <x v="0"/>
    <s v="Proyectos de Inversión"/>
    <x v="58"/>
    <x v="240"/>
    <x v="4"/>
    <x v="332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5000000"/>
    <n v="0"/>
    <n v="0"/>
    <n v="65000000"/>
    <n v="80000000"/>
    <m/>
    <x v="1"/>
    <n v="80000000"/>
  </r>
  <r>
    <x v="1"/>
    <x v="11"/>
    <x v="11"/>
    <x v="0"/>
    <s v="Proyectos de Inversión"/>
    <x v="58"/>
    <x v="240"/>
    <x v="162"/>
    <x v="311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5700000"/>
    <n v="0"/>
    <n v="0"/>
    <n v="5700000"/>
    <n v="3000000"/>
    <m/>
    <x v="1"/>
    <n v="3000000"/>
  </r>
  <r>
    <x v="1"/>
    <x v="11"/>
    <x v="11"/>
    <x v="0"/>
    <s v="Proyectos de Inversión"/>
    <x v="58"/>
    <x v="240"/>
    <x v="147"/>
    <x v="296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600000"/>
    <n v="0"/>
    <n v="0"/>
    <n v="6600000"/>
    <n v="3000000"/>
    <m/>
    <x v="1"/>
    <n v="3000000"/>
  </r>
  <r>
    <x v="1"/>
    <x v="11"/>
    <x v="11"/>
    <x v="0"/>
    <s v="Proyectos de Inversión"/>
    <x v="58"/>
    <x v="240"/>
    <x v="148"/>
    <x v="297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4000000"/>
    <n v="12000000"/>
    <n v="0"/>
    <n v="16000000"/>
    <n v="3000000"/>
    <m/>
    <x v="1"/>
    <n v="3000000"/>
  </r>
  <r>
    <x v="1"/>
    <x v="11"/>
    <x v="11"/>
    <x v="0"/>
    <s v="Proyectos de Inversión"/>
    <x v="58"/>
    <x v="240"/>
    <x v="149"/>
    <x v="298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"/>
    <n v="0"/>
    <n v="0"/>
    <n v="3000000"/>
    <n v="2000000"/>
    <m/>
    <x v="1"/>
    <n v="2000000"/>
  </r>
  <r>
    <x v="1"/>
    <x v="11"/>
    <x v="11"/>
    <x v="0"/>
    <s v="Proyectos de Inversión"/>
    <x v="58"/>
    <x v="240"/>
    <x v="163"/>
    <x v="312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5700000"/>
    <n v="-5700000"/>
    <n v="0"/>
    <n v="0"/>
    <n v="2000000"/>
    <m/>
    <x v="1"/>
    <n v="2000000"/>
  </r>
  <r>
    <x v="1"/>
    <x v="11"/>
    <x v="11"/>
    <x v="0"/>
    <s v="Proyectos de Inversión"/>
    <x v="58"/>
    <x v="240"/>
    <x v="164"/>
    <x v="313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4300000"/>
    <n v="0"/>
    <n v="0"/>
    <n v="4300000"/>
    <n v="2000000"/>
    <m/>
    <x v="1"/>
    <n v="2000000"/>
  </r>
  <r>
    <x v="1"/>
    <x v="11"/>
    <x v="11"/>
    <x v="0"/>
    <s v="Proyectos de Inversión"/>
    <x v="58"/>
    <x v="240"/>
    <x v="150"/>
    <x v="299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10000000"/>
    <n v="-10000000"/>
    <n v="0"/>
    <n v="0"/>
    <n v="4000000"/>
    <m/>
    <x v="1"/>
    <n v="4000000"/>
  </r>
  <r>
    <x v="1"/>
    <x v="11"/>
    <x v="11"/>
    <x v="0"/>
    <s v="Proyectos de Inversión"/>
    <x v="58"/>
    <x v="240"/>
    <x v="165"/>
    <x v="314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10000000"/>
    <n v="0"/>
    <n v="0"/>
    <n v="10000000"/>
    <n v="4000000"/>
    <m/>
    <x v="1"/>
    <n v="4000000"/>
  </r>
  <r>
    <x v="1"/>
    <x v="11"/>
    <x v="11"/>
    <x v="0"/>
    <s v="Proyectos de Inversión"/>
    <x v="58"/>
    <x v="240"/>
    <x v="166"/>
    <x v="315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600000"/>
    <n v="0"/>
    <n v="0"/>
    <n v="6600000"/>
    <n v="3000000"/>
    <m/>
    <x v="1"/>
    <n v="3000000"/>
  </r>
  <r>
    <x v="1"/>
    <x v="11"/>
    <x v="11"/>
    <x v="0"/>
    <s v="Proyectos de Inversión"/>
    <x v="58"/>
    <x v="240"/>
    <x v="167"/>
    <x v="316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400000"/>
    <n v="0"/>
    <n v="0"/>
    <n v="3400000"/>
    <n v="2000000"/>
    <m/>
    <x v="1"/>
    <n v="2000000"/>
  </r>
  <r>
    <x v="1"/>
    <x v="11"/>
    <x v="11"/>
    <x v="0"/>
    <s v="Proyectos de Inversión"/>
    <x v="58"/>
    <x v="240"/>
    <x v="151"/>
    <x v="300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8400000"/>
    <n v="0"/>
    <n v="0"/>
    <n v="8400000"/>
    <n v="3000000"/>
    <m/>
    <x v="1"/>
    <n v="3000000"/>
  </r>
  <r>
    <x v="1"/>
    <x v="11"/>
    <x v="11"/>
    <x v="0"/>
    <s v="Proyectos de Inversión"/>
    <x v="58"/>
    <x v="240"/>
    <x v="168"/>
    <x v="317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8400000"/>
    <n v="0"/>
    <n v="0"/>
    <n v="8400000"/>
    <n v="4000000"/>
    <m/>
    <x v="1"/>
    <n v="4000000"/>
  </r>
  <r>
    <x v="1"/>
    <x v="11"/>
    <x v="11"/>
    <x v="0"/>
    <s v="Proyectos de Inversión"/>
    <x v="58"/>
    <x v="240"/>
    <x v="152"/>
    <x v="301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000000"/>
    <n v="5000000"/>
    <n v="0"/>
    <n v="11000000"/>
    <n v="3000000"/>
    <m/>
    <x v="1"/>
    <n v="3000000"/>
  </r>
  <r>
    <x v="1"/>
    <x v="11"/>
    <x v="11"/>
    <x v="0"/>
    <s v="Proyectos de Inversión"/>
    <x v="58"/>
    <x v="240"/>
    <x v="169"/>
    <x v="318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"/>
    <n v="0"/>
    <n v="0"/>
    <n v="3000000"/>
    <n v="2000000"/>
    <m/>
    <x v="1"/>
    <n v="2000000"/>
  </r>
  <r>
    <x v="1"/>
    <x v="11"/>
    <x v="11"/>
    <x v="0"/>
    <s v="Proyectos de Inversión"/>
    <x v="58"/>
    <x v="240"/>
    <x v="170"/>
    <x v="319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8500000"/>
    <n v="0"/>
    <n v="0"/>
    <n v="8500000"/>
    <n v="4000000"/>
    <m/>
    <x v="1"/>
    <n v="4000000"/>
  </r>
  <r>
    <x v="1"/>
    <x v="11"/>
    <x v="11"/>
    <x v="0"/>
    <s v="Proyectos de Inversión"/>
    <x v="58"/>
    <x v="240"/>
    <x v="171"/>
    <x v="320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2600000"/>
    <n v="0"/>
    <n v="0"/>
    <n v="2600000"/>
    <n v="3000000"/>
    <m/>
    <x v="1"/>
    <n v="3000000"/>
  </r>
  <r>
    <x v="1"/>
    <x v="11"/>
    <x v="11"/>
    <x v="0"/>
    <s v="Proyectos de Inversión"/>
    <x v="58"/>
    <x v="240"/>
    <x v="153"/>
    <x v="302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5000000"/>
    <n v="0"/>
    <n v="0"/>
    <n v="5000000"/>
    <n v="4000000"/>
    <m/>
    <x v="1"/>
    <n v="4000000"/>
  </r>
  <r>
    <x v="1"/>
    <x v="11"/>
    <x v="11"/>
    <x v="0"/>
    <s v="Proyectos de Inversión"/>
    <x v="58"/>
    <x v="240"/>
    <x v="172"/>
    <x v="321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600000"/>
    <n v="18400000"/>
    <n v="0"/>
    <n v="25000000"/>
    <n v="3000000"/>
    <m/>
    <x v="1"/>
    <n v="3000000"/>
  </r>
  <r>
    <x v="1"/>
    <x v="11"/>
    <x v="11"/>
    <x v="0"/>
    <s v="Proyectos de Inversión"/>
    <x v="58"/>
    <x v="240"/>
    <x v="154"/>
    <x v="303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9500000"/>
    <n v="0"/>
    <n v="0"/>
    <n v="9500000"/>
    <n v="3000000"/>
    <m/>
    <x v="1"/>
    <n v="3000000"/>
  </r>
  <r>
    <x v="1"/>
    <x v="11"/>
    <x v="11"/>
    <x v="0"/>
    <s v="Proyectos de Inversión"/>
    <x v="58"/>
    <x v="240"/>
    <x v="173"/>
    <x v="322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9000000"/>
    <n v="0"/>
    <n v="0"/>
    <n v="9000000"/>
    <n v="4000000"/>
    <m/>
    <x v="1"/>
    <n v="4000000"/>
  </r>
  <r>
    <x v="1"/>
    <x v="11"/>
    <x v="11"/>
    <x v="0"/>
    <s v="Proyectos de Inversión"/>
    <x v="58"/>
    <x v="240"/>
    <x v="174"/>
    <x v="323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"/>
    <n v="0"/>
    <n v="0"/>
    <n v="3000000"/>
    <n v="2000000"/>
    <m/>
    <x v="1"/>
    <n v="2000000"/>
  </r>
  <r>
    <x v="1"/>
    <x v="11"/>
    <x v="11"/>
    <x v="0"/>
    <s v="Proyectos de Inversión"/>
    <x v="58"/>
    <x v="240"/>
    <x v="155"/>
    <x v="304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"/>
    <n v="0"/>
    <n v="0"/>
    <n v="3000000"/>
    <n v="3000000"/>
    <m/>
    <x v="1"/>
    <n v="3000000"/>
  </r>
  <r>
    <x v="1"/>
    <x v="11"/>
    <x v="11"/>
    <x v="0"/>
    <s v="Proyectos de Inversión"/>
    <x v="58"/>
    <x v="240"/>
    <x v="175"/>
    <x v="324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5000000"/>
    <n v="0"/>
    <n v="0"/>
    <n v="5000000"/>
    <n v="3000000"/>
    <m/>
    <x v="1"/>
    <n v="3000000"/>
  </r>
  <r>
    <x v="1"/>
    <x v="11"/>
    <x v="11"/>
    <x v="0"/>
    <s v="Proyectos de Inversión"/>
    <x v="58"/>
    <x v="240"/>
    <x v="176"/>
    <x v="325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9000000"/>
    <n v="0"/>
    <n v="0"/>
    <n v="9000000"/>
    <n v="4000000"/>
    <m/>
    <x v="1"/>
    <n v="4000000"/>
  </r>
  <r>
    <x v="1"/>
    <x v="11"/>
    <x v="11"/>
    <x v="0"/>
    <s v="Proyectos de Inversión"/>
    <x v="58"/>
    <x v="240"/>
    <x v="156"/>
    <x v="305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9700000"/>
    <n v="0"/>
    <n v="0"/>
    <n v="9700000"/>
    <n v="4000000"/>
    <m/>
    <x v="1"/>
    <n v="4000000"/>
  </r>
  <r>
    <x v="1"/>
    <x v="11"/>
    <x v="11"/>
    <x v="0"/>
    <s v="Proyectos de Inversión"/>
    <x v="58"/>
    <x v="240"/>
    <x v="177"/>
    <x v="326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"/>
    <n v="0"/>
    <n v="0"/>
    <n v="3000000"/>
    <n v="3000000"/>
    <m/>
    <x v="1"/>
    <n v="3000000"/>
  </r>
  <r>
    <x v="1"/>
    <x v="11"/>
    <x v="11"/>
    <x v="0"/>
    <s v="Proyectos de Inversión"/>
    <x v="58"/>
    <x v="240"/>
    <x v="157"/>
    <x v="306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8500000"/>
    <n v="0"/>
    <n v="0"/>
    <n v="8500000"/>
    <n v="3000000"/>
    <m/>
    <x v="1"/>
    <n v="3000000"/>
  </r>
  <r>
    <x v="1"/>
    <x v="11"/>
    <x v="11"/>
    <x v="0"/>
    <s v="Proyectos de Inversión"/>
    <x v="58"/>
    <x v="240"/>
    <x v="178"/>
    <x v="327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5000000"/>
    <n v="0"/>
    <n v="0"/>
    <n v="5000000"/>
    <n v="2000000"/>
    <m/>
    <x v="1"/>
    <n v="2000000"/>
  </r>
  <r>
    <x v="1"/>
    <x v="11"/>
    <x v="11"/>
    <x v="0"/>
    <s v="Proyectos de Inversión"/>
    <x v="58"/>
    <x v="240"/>
    <x v="158"/>
    <x v="307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4200000"/>
    <n v="0"/>
    <n v="0"/>
    <n v="4200000"/>
    <n v="4000000"/>
    <m/>
    <x v="1"/>
    <n v="4000000"/>
  </r>
  <r>
    <x v="1"/>
    <x v="11"/>
    <x v="11"/>
    <x v="0"/>
    <s v="Proyectos de Inversión"/>
    <x v="58"/>
    <x v="240"/>
    <x v="159"/>
    <x v="308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3000000"/>
    <n v="0"/>
    <n v="0"/>
    <n v="3000000"/>
    <n v="4000000"/>
    <m/>
    <x v="1"/>
    <n v="4000000"/>
  </r>
  <r>
    <x v="1"/>
    <x v="11"/>
    <x v="11"/>
    <x v="0"/>
    <s v="Proyectos de Inversión"/>
    <x v="58"/>
    <x v="240"/>
    <x v="179"/>
    <x v="328"/>
    <n v="3"/>
    <s v="Desarrollo Económico"/>
    <n v="1"/>
    <s v="Comunicaciones y Transportes"/>
    <n v="1"/>
    <x v="37"/>
    <x v="6"/>
    <x v="75"/>
    <n v="2"/>
    <s v="Gasto de capital"/>
    <x v="0"/>
    <x v="0"/>
    <x v="0"/>
    <x v="0"/>
    <x v="1"/>
    <x v="0"/>
    <x v="0"/>
    <m/>
    <x v="0"/>
    <x v="0"/>
    <m/>
    <n v="6200000"/>
    <n v="0"/>
    <n v="0"/>
    <n v="6200000"/>
    <n v="3000000"/>
    <m/>
    <x v="1"/>
    <n v="3000000"/>
  </r>
  <r>
    <x v="1"/>
    <x v="11"/>
    <x v="11"/>
    <x v="0"/>
    <s v="Proyectos de Inversión"/>
    <x v="59"/>
    <x v="241"/>
    <x v="54"/>
    <x v="330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n v="23640000"/>
    <n v="0"/>
    <n v="0"/>
    <n v="23640000"/>
    <n v="1367900000"/>
    <m/>
    <x v="55"/>
    <n v="741900000"/>
  </r>
  <r>
    <x v="1"/>
    <x v="11"/>
    <x v="11"/>
    <x v="0"/>
    <s v="Proyectos de Inversión"/>
    <x v="59"/>
    <x v="241"/>
    <x v="164"/>
    <x v="313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n v="2933600000"/>
    <n v="0"/>
    <n v="0"/>
    <n v="2933600000"/>
    <n v="1444600000"/>
    <m/>
    <x v="1"/>
    <n v="1444600000"/>
  </r>
  <r>
    <x v="1"/>
    <x v="11"/>
    <x v="11"/>
    <x v="0"/>
    <s v="Proyectos de Inversión"/>
    <x v="59"/>
    <x v="241"/>
    <x v="165"/>
    <x v="314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n v="20000000"/>
    <n v="0"/>
    <n v="0"/>
    <n v="20000000"/>
    <n v="178000000"/>
    <m/>
    <x v="1"/>
    <n v="178000000"/>
  </r>
  <r>
    <x v="1"/>
    <x v="11"/>
    <x v="11"/>
    <x v="0"/>
    <s v="Proyectos de Inversión"/>
    <x v="59"/>
    <x v="241"/>
    <x v="167"/>
    <x v="316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m/>
    <n v="0"/>
    <n v="0"/>
    <m/>
    <n v="1208020000"/>
    <m/>
    <x v="1"/>
    <n v="1208020000"/>
  </r>
  <r>
    <x v="1"/>
    <x v="11"/>
    <x v="11"/>
    <x v="0"/>
    <s v="Proyectos de Inversión"/>
    <x v="59"/>
    <x v="241"/>
    <x v="152"/>
    <x v="301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n v="0"/>
    <n v="150000000"/>
    <n v="0"/>
    <n v="150000000"/>
    <m/>
    <m/>
    <x v="1"/>
    <n v="0"/>
  </r>
  <r>
    <x v="1"/>
    <x v="11"/>
    <x v="11"/>
    <x v="0"/>
    <s v="Proyectos de Inversión"/>
    <x v="59"/>
    <x v="241"/>
    <x v="170"/>
    <x v="319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n v="120000000"/>
    <n v="0"/>
    <n v="0"/>
    <n v="120000000"/>
    <n v="85000000"/>
    <m/>
    <x v="1"/>
    <n v="85000000"/>
  </r>
  <r>
    <x v="1"/>
    <x v="11"/>
    <x v="11"/>
    <x v="0"/>
    <s v="Proyectos de Inversión"/>
    <x v="59"/>
    <x v="241"/>
    <x v="153"/>
    <x v="302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m/>
    <m/>
    <m/>
    <m/>
    <n v="31500000"/>
    <m/>
    <x v="1"/>
    <n v="31500000"/>
  </r>
  <r>
    <x v="1"/>
    <x v="11"/>
    <x v="11"/>
    <x v="0"/>
    <s v="Proyectos de Inversión"/>
    <x v="59"/>
    <x v="241"/>
    <x v="172"/>
    <x v="321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n v="100000000"/>
    <n v="42000000"/>
    <n v="0"/>
    <n v="142000000"/>
    <n v="271420000"/>
    <m/>
    <x v="1"/>
    <n v="271420000"/>
  </r>
  <r>
    <x v="1"/>
    <x v="11"/>
    <x v="11"/>
    <x v="0"/>
    <s v="Proyectos de Inversión"/>
    <x v="59"/>
    <x v="241"/>
    <x v="173"/>
    <x v="322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m/>
    <m/>
    <m/>
    <m/>
    <n v="50000000"/>
    <m/>
    <x v="1"/>
    <n v="50000000"/>
  </r>
  <r>
    <x v="1"/>
    <x v="11"/>
    <x v="11"/>
    <x v="0"/>
    <s v="Proyectos de Inversión"/>
    <x v="59"/>
    <x v="241"/>
    <x v="156"/>
    <x v="305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m/>
    <m/>
    <m/>
    <m/>
    <n v="60000000"/>
    <m/>
    <x v="1"/>
    <n v="60000000"/>
  </r>
  <r>
    <x v="1"/>
    <x v="11"/>
    <x v="11"/>
    <x v="0"/>
    <s v="Proyectos de Inversión"/>
    <x v="59"/>
    <x v="241"/>
    <x v="157"/>
    <x v="306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m/>
    <m/>
    <m/>
    <m/>
    <n v="46360000"/>
    <m/>
    <x v="1"/>
    <n v="46360000"/>
  </r>
  <r>
    <x v="1"/>
    <x v="11"/>
    <x v="11"/>
    <x v="0"/>
    <s v="Proyectos de Inversión"/>
    <x v="59"/>
    <x v="241"/>
    <x v="144"/>
    <x v="290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n v="257111696"/>
    <n v="187000000"/>
    <n v="0"/>
    <n v="444111696"/>
    <n v="130000000"/>
    <m/>
    <x v="1"/>
    <n v="130000000"/>
  </r>
  <r>
    <x v="1"/>
    <x v="11"/>
    <x v="11"/>
    <x v="0"/>
    <s v="Proyectos de Inversión"/>
    <x v="60"/>
    <x v="242"/>
    <x v="54"/>
    <x v="330"/>
    <n v="3"/>
    <s v="Desarrollo Económico"/>
    <n v="1"/>
    <s v="Comunicaciones y Transportes"/>
    <n v="4"/>
    <x v="40"/>
    <x v="11"/>
    <x v="71"/>
    <n v="2"/>
    <s v="Gasto de capital"/>
    <x v="0"/>
    <x v="0"/>
    <x v="0"/>
    <x v="0"/>
    <x v="0"/>
    <x v="0"/>
    <x v="0"/>
    <m/>
    <x v="0"/>
    <x v="1"/>
    <m/>
    <n v="0"/>
    <n v="1000000000"/>
    <n v="0"/>
    <n v="1000000000"/>
    <n v="1000000000"/>
    <m/>
    <x v="1"/>
    <n v="1000000000"/>
  </r>
  <r>
    <x v="1"/>
    <x v="11"/>
    <x v="11"/>
    <x v="0"/>
    <s v="Proyectos de Inversión"/>
    <x v="61"/>
    <x v="243"/>
    <x v="38"/>
    <x v="345"/>
    <n v="3"/>
    <s v="Desarrollo Económico"/>
    <n v="1"/>
    <s v="Comunicaciones y Transportes"/>
    <n v="5"/>
    <x v="41"/>
    <x v="9"/>
    <x v="74"/>
    <n v="2"/>
    <s v="Gasto de capital"/>
    <x v="0"/>
    <x v="0"/>
    <x v="0"/>
    <x v="0"/>
    <x v="0"/>
    <x v="0"/>
    <x v="0"/>
    <m/>
    <x v="0"/>
    <x v="0"/>
    <m/>
    <n v="3000000000"/>
    <n v="0"/>
    <n v="0"/>
    <n v="3000000000"/>
    <n v="5743000000"/>
    <m/>
    <x v="1"/>
    <n v="5743000000"/>
  </r>
  <r>
    <x v="1"/>
    <x v="11"/>
    <x v="11"/>
    <x v="0"/>
    <s v="Proyectos de Inversión"/>
    <x v="61"/>
    <x v="243"/>
    <x v="101"/>
    <x v="335"/>
    <n v="3"/>
    <s v="Desarrollo Económico"/>
    <n v="1"/>
    <s v="Comunicaciones y Transportes"/>
    <n v="5"/>
    <x v="41"/>
    <x v="9"/>
    <x v="74"/>
    <n v="2"/>
    <s v="Gasto de capital"/>
    <x v="0"/>
    <x v="0"/>
    <x v="0"/>
    <x v="0"/>
    <x v="0"/>
    <x v="0"/>
    <x v="0"/>
    <m/>
    <x v="0"/>
    <x v="0"/>
    <m/>
    <n v="1500000000"/>
    <n v="0"/>
    <n v="0"/>
    <n v="1500000000"/>
    <m/>
    <m/>
    <x v="1"/>
    <n v="0"/>
  </r>
  <r>
    <x v="1"/>
    <x v="11"/>
    <x v="11"/>
    <x v="2"/>
    <s v="Apoyo al proceso presupuestario y para mejorar la eficiencia institucional"/>
    <x v="2"/>
    <x v="34"/>
    <x v="9"/>
    <x v="346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3871673"/>
    <n v="0"/>
    <n v="-106878"/>
    <n v="23764795"/>
    <n v="5835000"/>
    <m/>
    <x v="1"/>
    <n v="5835000"/>
  </r>
  <r>
    <x v="1"/>
    <x v="11"/>
    <x v="11"/>
    <x v="2"/>
    <s v="Apoyo al proceso presupuestario y para mejorar la eficiencia institucional"/>
    <x v="2"/>
    <x v="34"/>
    <x v="9"/>
    <x v="346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600000"/>
    <n v="0"/>
    <n v="0"/>
    <n v="600000"/>
    <m/>
    <m/>
    <x v="1"/>
    <n v="0"/>
  </r>
  <r>
    <x v="1"/>
    <x v="11"/>
    <x v="11"/>
    <x v="2"/>
    <s v="Apoyo al proceso presupuestario y para mejorar la eficiencia institucional"/>
    <x v="2"/>
    <x v="34"/>
    <x v="3"/>
    <x v="101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63979654"/>
    <n v="0"/>
    <n v="-1779154"/>
    <n v="62200500"/>
    <n v="26713943"/>
    <m/>
    <x v="1"/>
    <n v="26713943"/>
  </r>
  <r>
    <x v="1"/>
    <x v="11"/>
    <x v="11"/>
    <x v="2"/>
    <s v="Apoyo al proceso presupuestario y para mejorar la eficiencia institucional"/>
    <x v="2"/>
    <x v="34"/>
    <x v="3"/>
    <x v="101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3829694"/>
    <n v="0"/>
    <n v="0"/>
    <n v="3829694"/>
    <m/>
    <m/>
    <x v="1"/>
    <n v="0"/>
  </r>
  <r>
    <x v="1"/>
    <x v="11"/>
    <x v="11"/>
    <x v="2"/>
    <s v="Apoyo al proceso presupuestario y para mejorar la eficiencia institucional"/>
    <x v="2"/>
    <x v="34"/>
    <x v="22"/>
    <x v="93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78773645"/>
    <n v="0"/>
    <n v="-451591"/>
    <n v="78322054"/>
    <n v="121000000"/>
    <m/>
    <x v="1"/>
    <n v="121000000"/>
  </r>
  <r>
    <x v="1"/>
    <x v="11"/>
    <x v="11"/>
    <x v="2"/>
    <s v="Apoyo al proceso presupuestario y para mejorar la eficiencia institucional"/>
    <x v="2"/>
    <x v="34"/>
    <x v="22"/>
    <x v="93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18895975"/>
    <n v="0"/>
    <n v="0"/>
    <n v="18895975"/>
    <n v="15000000"/>
    <m/>
    <x v="1"/>
    <n v="15000000"/>
  </r>
  <r>
    <x v="1"/>
    <x v="11"/>
    <x v="11"/>
    <x v="2"/>
    <s v="Apoyo al proceso presupuestario y para mejorar la eficiencia institucional"/>
    <x v="2"/>
    <x v="34"/>
    <x v="21"/>
    <x v="347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9359119"/>
    <n v="0"/>
    <n v="-203340"/>
    <n v="29155779"/>
    <n v="435500"/>
    <m/>
    <x v="1"/>
    <n v="435500"/>
  </r>
  <r>
    <x v="1"/>
    <x v="11"/>
    <x v="11"/>
    <x v="2"/>
    <s v="Apoyo al proceso presupuestario y para mejorar la eficiencia institucional"/>
    <x v="2"/>
    <x v="34"/>
    <x v="21"/>
    <x v="347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100000"/>
    <n v="0"/>
    <n v="0"/>
    <n v="100000"/>
    <m/>
    <m/>
    <x v="1"/>
    <n v="0"/>
  </r>
  <r>
    <x v="1"/>
    <x v="11"/>
    <x v="11"/>
    <x v="2"/>
    <s v="Apoyo al proceso presupuestario y para mejorar la eficiencia institucional"/>
    <x v="2"/>
    <x v="34"/>
    <x v="74"/>
    <x v="348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5271783"/>
    <n v="0"/>
    <n v="-191989"/>
    <n v="15079794"/>
    <n v="1800000"/>
    <m/>
    <x v="1"/>
    <n v="1800000"/>
  </r>
  <r>
    <x v="1"/>
    <x v="11"/>
    <x v="11"/>
    <x v="2"/>
    <s v="Apoyo al proceso presupuestario y para mejorar la eficiencia institucional"/>
    <x v="2"/>
    <x v="34"/>
    <x v="74"/>
    <x v="348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50000"/>
    <n v="0"/>
    <n v="0"/>
    <n v="450000"/>
    <m/>
    <m/>
    <x v="1"/>
    <n v="0"/>
  </r>
  <r>
    <x v="1"/>
    <x v="11"/>
    <x v="11"/>
    <x v="2"/>
    <s v="Apoyo al proceso presupuestario y para mejorar la eficiencia institucional"/>
    <x v="2"/>
    <x v="34"/>
    <x v="72"/>
    <x v="349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1805734"/>
    <n v="0"/>
    <n v="-271651"/>
    <n v="21534083"/>
    <n v="9600000"/>
    <m/>
    <x v="1"/>
    <n v="9600000"/>
  </r>
  <r>
    <x v="1"/>
    <x v="11"/>
    <x v="11"/>
    <x v="2"/>
    <s v="Apoyo al proceso presupuestario y para mejorar la eficiencia institucional"/>
    <x v="2"/>
    <x v="34"/>
    <x v="72"/>
    <x v="349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59603"/>
    <n v="0"/>
    <n v="0"/>
    <n v="59603"/>
    <m/>
    <m/>
    <x v="1"/>
    <n v="0"/>
  </r>
  <r>
    <x v="1"/>
    <x v="11"/>
    <x v="11"/>
    <x v="2"/>
    <s v="Apoyo al proceso presupuestario y para mejorar la eficiencia institucional"/>
    <x v="2"/>
    <x v="34"/>
    <x v="162"/>
    <x v="311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5503168"/>
    <n v="0"/>
    <n v="-1237369"/>
    <n v="14265799"/>
    <n v="12298314"/>
    <m/>
    <x v="1"/>
    <n v="12298314"/>
  </r>
  <r>
    <x v="1"/>
    <x v="11"/>
    <x v="11"/>
    <x v="2"/>
    <s v="Apoyo al proceso presupuestario y para mejorar la eficiencia institucional"/>
    <x v="2"/>
    <x v="34"/>
    <x v="162"/>
    <x v="311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47"/>
    <x v="296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4064014"/>
    <n v="0"/>
    <n v="-1946940"/>
    <n v="22117074"/>
    <n v="20981445"/>
    <m/>
    <x v="1"/>
    <n v="20981445"/>
  </r>
  <r>
    <x v="1"/>
    <x v="11"/>
    <x v="11"/>
    <x v="2"/>
    <s v="Apoyo al proceso presupuestario y para mejorar la eficiencia institucional"/>
    <x v="2"/>
    <x v="34"/>
    <x v="147"/>
    <x v="296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48"/>
    <x v="297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0187948"/>
    <n v="0"/>
    <n v="-2312552"/>
    <n v="17875396"/>
    <n v="18563403"/>
    <m/>
    <x v="1"/>
    <n v="18563403"/>
  </r>
  <r>
    <x v="1"/>
    <x v="11"/>
    <x v="11"/>
    <x v="2"/>
    <s v="Apoyo al proceso presupuestario y para mejorar la eficiencia institucional"/>
    <x v="2"/>
    <x v="34"/>
    <x v="148"/>
    <x v="297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49"/>
    <x v="298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3202712"/>
    <n v="0"/>
    <n v="-1374304"/>
    <n v="21828408"/>
    <n v="21793946"/>
    <m/>
    <x v="1"/>
    <n v="21793946"/>
  </r>
  <r>
    <x v="1"/>
    <x v="11"/>
    <x v="11"/>
    <x v="2"/>
    <s v="Apoyo al proceso presupuestario y para mejorar la eficiencia institucional"/>
    <x v="2"/>
    <x v="34"/>
    <x v="149"/>
    <x v="298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63"/>
    <x v="312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9263969"/>
    <n v="0"/>
    <n v="-1307325"/>
    <n v="17956644"/>
    <n v="17714984"/>
    <m/>
    <x v="1"/>
    <n v="17714984"/>
  </r>
  <r>
    <x v="1"/>
    <x v="11"/>
    <x v="11"/>
    <x v="2"/>
    <s v="Apoyo al proceso presupuestario y para mejorar la eficiencia institucional"/>
    <x v="2"/>
    <x v="34"/>
    <x v="163"/>
    <x v="312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670100"/>
    <n v="0"/>
    <n v="0"/>
    <n v="670100"/>
    <n v="225000"/>
    <m/>
    <x v="1"/>
    <n v="225000"/>
  </r>
  <r>
    <x v="1"/>
    <x v="11"/>
    <x v="11"/>
    <x v="2"/>
    <s v="Apoyo al proceso presupuestario y para mejorar la eficiencia institucional"/>
    <x v="2"/>
    <x v="34"/>
    <x v="164"/>
    <x v="313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8485862"/>
    <n v="0"/>
    <n v="-1224624"/>
    <n v="17261238"/>
    <n v="13732589"/>
    <m/>
    <x v="1"/>
    <n v="13732589"/>
  </r>
  <r>
    <x v="1"/>
    <x v="11"/>
    <x v="11"/>
    <x v="2"/>
    <s v="Apoyo al proceso presupuestario y para mejorar la eficiencia institucional"/>
    <x v="2"/>
    <x v="34"/>
    <x v="164"/>
    <x v="313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50"/>
    <x v="299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8996157"/>
    <n v="0"/>
    <n v="-2439256"/>
    <n v="26556901"/>
    <n v="25822942"/>
    <m/>
    <x v="1"/>
    <n v="25822942"/>
  </r>
  <r>
    <x v="1"/>
    <x v="11"/>
    <x v="11"/>
    <x v="2"/>
    <s v="Apoyo al proceso presupuestario y para mejorar la eficiencia institucional"/>
    <x v="2"/>
    <x v="34"/>
    <x v="150"/>
    <x v="299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65"/>
    <x v="314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9916067"/>
    <n v="0"/>
    <n v="-1969579"/>
    <n v="17946488"/>
    <n v="17006003"/>
    <m/>
    <x v="1"/>
    <n v="17006003"/>
  </r>
  <r>
    <x v="1"/>
    <x v="11"/>
    <x v="11"/>
    <x v="2"/>
    <s v="Apoyo al proceso presupuestario y para mejorar la eficiencia institucional"/>
    <x v="2"/>
    <x v="34"/>
    <x v="165"/>
    <x v="314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66"/>
    <x v="315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6737785"/>
    <n v="0"/>
    <n v="-1547362"/>
    <n v="15190423"/>
    <n v="14839509"/>
    <m/>
    <x v="1"/>
    <n v="14839509"/>
  </r>
  <r>
    <x v="1"/>
    <x v="11"/>
    <x v="11"/>
    <x v="2"/>
    <s v="Apoyo al proceso presupuestario y para mejorar la eficiencia institucional"/>
    <x v="2"/>
    <x v="34"/>
    <x v="166"/>
    <x v="315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67"/>
    <x v="316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6614868"/>
    <n v="0"/>
    <n v="-1215556"/>
    <n v="15399312"/>
    <n v="15894610"/>
    <m/>
    <x v="1"/>
    <n v="15894610"/>
  </r>
  <r>
    <x v="1"/>
    <x v="11"/>
    <x v="11"/>
    <x v="2"/>
    <s v="Apoyo al proceso presupuestario y para mejorar la eficiencia institucional"/>
    <x v="2"/>
    <x v="34"/>
    <x v="167"/>
    <x v="316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51"/>
    <x v="300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33930762"/>
    <n v="0"/>
    <n v="-3343434"/>
    <n v="30587328"/>
    <n v="33260642"/>
    <m/>
    <x v="1"/>
    <n v="33260642"/>
  </r>
  <r>
    <x v="1"/>
    <x v="11"/>
    <x v="11"/>
    <x v="2"/>
    <s v="Apoyo al proceso presupuestario y para mejorar la eficiencia institucional"/>
    <x v="2"/>
    <x v="34"/>
    <x v="151"/>
    <x v="300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68"/>
    <x v="317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3740025"/>
    <n v="0"/>
    <n v="-1575519"/>
    <n v="22164506"/>
    <n v="21619540"/>
    <m/>
    <x v="1"/>
    <n v="21619540"/>
  </r>
  <r>
    <x v="1"/>
    <x v="11"/>
    <x v="11"/>
    <x v="2"/>
    <s v="Apoyo al proceso presupuestario y para mejorar la eficiencia institucional"/>
    <x v="2"/>
    <x v="34"/>
    <x v="168"/>
    <x v="317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52"/>
    <x v="301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5384527"/>
    <n v="0"/>
    <n v="-2859050"/>
    <n v="22525477"/>
    <n v="21422303"/>
    <m/>
    <x v="1"/>
    <n v="21422303"/>
  </r>
  <r>
    <x v="1"/>
    <x v="11"/>
    <x v="11"/>
    <x v="2"/>
    <s v="Apoyo al proceso presupuestario y para mejorar la eficiencia institucional"/>
    <x v="2"/>
    <x v="34"/>
    <x v="152"/>
    <x v="301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69"/>
    <x v="318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8967124"/>
    <n v="0"/>
    <n v="-1761575"/>
    <n v="17205549"/>
    <n v="15917870"/>
    <m/>
    <x v="1"/>
    <n v="15917870"/>
  </r>
  <r>
    <x v="1"/>
    <x v="11"/>
    <x v="11"/>
    <x v="2"/>
    <s v="Apoyo al proceso presupuestario y para mejorar la eficiencia institucional"/>
    <x v="2"/>
    <x v="34"/>
    <x v="169"/>
    <x v="318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70"/>
    <x v="319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4747575"/>
    <n v="0"/>
    <n v="-2314515"/>
    <n v="22433060"/>
    <n v="23345436"/>
    <m/>
    <x v="1"/>
    <n v="23345436"/>
  </r>
  <r>
    <x v="1"/>
    <x v="11"/>
    <x v="11"/>
    <x v="2"/>
    <s v="Apoyo al proceso presupuestario y para mejorar la eficiencia institucional"/>
    <x v="2"/>
    <x v="34"/>
    <x v="170"/>
    <x v="319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350000"/>
    <n v="0"/>
    <n v="0"/>
    <n v="350000"/>
    <m/>
    <m/>
    <x v="1"/>
    <n v="0"/>
  </r>
  <r>
    <x v="1"/>
    <x v="11"/>
    <x v="11"/>
    <x v="2"/>
    <s v="Apoyo al proceso presupuestario y para mejorar la eficiencia institucional"/>
    <x v="2"/>
    <x v="34"/>
    <x v="171"/>
    <x v="320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6742039"/>
    <n v="0"/>
    <n v="-571250"/>
    <n v="16170789"/>
    <n v="14590802"/>
    <m/>
    <x v="1"/>
    <n v="14590802"/>
  </r>
  <r>
    <x v="1"/>
    <x v="11"/>
    <x v="11"/>
    <x v="2"/>
    <s v="Apoyo al proceso presupuestario y para mejorar la eficiencia institucional"/>
    <x v="2"/>
    <x v="34"/>
    <x v="171"/>
    <x v="320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53"/>
    <x v="302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9273017"/>
    <n v="0"/>
    <n v="-1629215"/>
    <n v="17643802"/>
    <n v="16812678"/>
    <m/>
    <x v="1"/>
    <n v="16812678"/>
  </r>
  <r>
    <x v="1"/>
    <x v="11"/>
    <x v="11"/>
    <x v="2"/>
    <s v="Apoyo al proceso presupuestario y para mejorar la eficiencia institucional"/>
    <x v="2"/>
    <x v="34"/>
    <x v="153"/>
    <x v="302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350000"/>
    <n v="0"/>
    <n v="0"/>
    <n v="350000"/>
    <m/>
    <m/>
    <x v="1"/>
    <n v="0"/>
  </r>
  <r>
    <x v="1"/>
    <x v="11"/>
    <x v="11"/>
    <x v="2"/>
    <s v="Apoyo al proceso presupuestario y para mejorar la eficiencia institucional"/>
    <x v="2"/>
    <x v="34"/>
    <x v="172"/>
    <x v="321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0845429"/>
    <n v="0"/>
    <n v="-1104773"/>
    <n v="19740656"/>
    <n v="28422982"/>
    <m/>
    <x v="1"/>
    <n v="28422982"/>
  </r>
  <r>
    <x v="1"/>
    <x v="11"/>
    <x v="11"/>
    <x v="2"/>
    <s v="Apoyo al proceso presupuestario y para mejorar la eficiencia institucional"/>
    <x v="2"/>
    <x v="34"/>
    <x v="172"/>
    <x v="321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65000"/>
    <n v="0"/>
    <n v="0"/>
    <n v="65000"/>
    <m/>
    <m/>
    <x v="1"/>
    <n v="0"/>
  </r>
  <r>
    <x v="1"/>
    <x v="11"/>
    <x v="11"/>
    <x v="2"/>
    <s v="Apoyo al proceso presupuestario y para mejorar la eficiencia institucional"/>
    <x v="2"/>
    <x v="34"/>
    <x v="154"/>
    <x v="303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9486602"/>
    <n v="0"/>
    <n v="-2486358"/>
    <n v="27000244"/>
    <n v="23545164"/>
    <m/>
    <x v="1"/>
    <n v="23545164"/>
  </r>
  <r>
    <x v="1"/>
    <x v="11"/>
    <x v="11"/>
    <x v="2"/>
    <s v="Apoyo al proceso presupuestario y para mejorar la eficiencia institucional"/>
    <x v="2"/>
    <x v="34"/>
    <x v="154"/>
    <x v="303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73"/>
    <x v="322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5626563"/>
    <n v="0"/>
    <n v="-1259383"/>
    <n v="14367180"/>
    <n v="13106372"/>
    <m/>
    <x v="1"/>
    <n v="13106372"/>
  </r>
  <r>
    <x v="1"/>
    <x v="11"/>
    <x v="11"/>
    <x v="2"/>
    <s v="Apoyo al proceso presupuestario y para mejorar la eficiencia institucional"/>
    <x v="2"/>
    <x v="34"/>
    <x v="173"/>
    <x v="322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74"/>
    <x v="323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4971168"/>
    <n v="0"/>
    <n v="-1528898"/>
    <n v="13442270"/>
    <n v="13215369"/>
    <m/>
    <x v="1"/>
    <n v="13215369"/>
  </r>
  <r>
    <x v="1"/>
    <x v="11"/>
    <x v="11"/>
    <x v="2"/>
    <s v="Apoyo al proceso presupuestario y para mejorar la eficiencia institucional"/>
    <x v="2"/>
    <x v="34"/>
    <x v="174"/>
    <x v="323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65000"/>
    <n v="0"/>
    <n v="0"/>
    <n v="65000"/>
    <m/>
    <m/>
    <x v="1"/>
    <n v="0"/>
  </r>
  <r>
    <x v="1"/>
    <x v="11"/>
    <x v="11"/>
    <x v="2"/>
    <s v="Apoyo al proceso presupuestario y para mejorar la eficiencia institucional"/>
    <x v="2"/>
    <x v="34"/>
    <x v="155"/>
    <x v="304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0653394"/>
    <n v="0"/>
    <n v="-1427701"/>
    <n v="19225693"/>
    <n v="24004342"/>
    <m/>
    <x v="1"/>
    <n v="24004342"/>
  </r>
  <r>
    <x v="1"/>
    <x v="11"/>
    <x v="11"/>
    <x v="2"/>
    <s v="Apoyo al proceso presupuestario y para mejorar la eficiencia institucional"/>
    <x v="2"/>
    <x v="34"/>
    <x v="155"/>
    <x v="304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n v="1079200"/>
    <m/>
    <x v="1"/>
    <n v="1079200"/>
  </r>
  <r>
    <x v="1"/>
    <x v="11"/>
    <x v="11"/>
    <x v="2"/>
    <s v="Apoyo al proceso presupuestario y para mejorar la eficiencia institucional"/>
    <x v="2"/>
    <x v="34"/>
    <x v="175"/>
    <x v="324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0036270"/>
    <n v="0"/>
    <n v="-1789838"/>
    <n v="18246432"/>
    <n v="17729552"/>
    <m/>
    <x v="1"/>
    <n v="17729552"/>
  </r>
  <r>
    <x v="1"/>
    <x v="11"/>
    <x v="11"/>
    <x v="2"/>
    <s v="Apoyo al proceso presupuestario y para mejorar la eficiencia institucional"/>
    <x v="2"/>
    <x v="34"/>
    <x v="175"/>
    <x v="324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76"/>
    <x v="325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2767733"/>
    <n v="0"/>
    <n v="-1340290"/>
    <n v="21427443"/>
    <n v="20719277"/>
    <m/>
    <x v="1"/>
    <n v="20719277"/>
  </r>
  <r>
    <x v="1"/>
    <x v="11"/>
    <x v="11"/>
    <x v="2"/>
    <s v="Apoyo al proceso presupuestario y para mejorar la eficiencia institucional"/>
    <x v="2"/>
    <x v="34"/>
    <x v="176"/>
    <x v="325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56"/>
    <x v="305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2186395"/>
    <n v="0"/>
    <n v="-1488626"/>
    <n v="20697769"/>
    <n v="18964895"/>
    <m/>
    <x v="1"/>
    <n v="18964895"/>
  </r>
  <r>
    <x v="1"/>
    <x v="11"/>
    <x v="11"/>
    <x v="2"/>
    <s v="Apoyo al proceso presupuestario y para mejorar la eficiencia institucional"/>
    <x v="2"/>
    <x v="34"/>
    <x v="156"/>
    <x v="305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77"/>
    <x v="326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8930653"/>
    <n v="0"/>
    <n v="-913230"/>
    <n v="18017423"/>
    <n v="16673888"/>
    <m/>
    <x v="1"/>
    <n v="16673888"/>
  </r>
  <r>
    <x v="1"/>
    <x v="11"/>
    <x v="11"/>
    <x v="2"/>
    <s v="Apoyo al proceso presupuestario y para mejorar la eficiencia institucional"/>
    <x v="2"/>
    <x v="34"/>
    <x v="177"/>
    <x v="326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57"/>
    <x v="306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4838760"/>
    <n v="0"/>
    <n v="-1685752"/>
    <n v="23153008"/>
    <n v="22476636"/>
    <m/>
    <x v="1"/>
    <n v="22476636"/>
  </r>
  <r>
    <x v="1"/>
    <x v="11"/>
    <x v="11"/>
    <x v="2"/>
    <s v="Apoyo al proceso presupuestario y para mejorar la eficiencia institucional"/>
    <x v="2"/>
    <x v="34"/>
    <x v="157"/>
    <x v="306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78"/>
    <x v="327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3989904"/>
    <n v="0"/>
    <n v="-1033075"/>
    <n v="12956829"/>
    <n v="13446831"/>
    <m/>
    <x v="1"/>
    <n v="13446831"/>
  </r>
  <r>
    <x v="1"/>
    <x v="11"/>
    <x v="11"/>
    <x v="2"/>
    <s v="Apoyo al proceso presupuestario y para mejorar la eficiencia institucional"/>
    <x v="2"/>
    <x v="34"/>
    <x v="178"/>
    <x v="327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58"/>
    <x v="307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36553238"/>
    <n v="0"/>
    <n v="-3242890"/>
    <n v="33310348"/>
    <n v="34866709"/>
    <m/>
    <x v="1"/>
    <n v="34866709"/>
  </r>
  <r>
    <x v="1"/>
    <x v="11"/>
    <x v="11"/>
    <x v="2"/>
    <s v="Apoyo al proceso presupuestario y para mejorar la eficiencia institucional"/>
    <x v="2"/>
    <x v="34"/>
    <x v="158"/>
    <x v="307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n v="21180000"/>
    <m/>
    <x v="1"/>
    <n v="21180000"/>
  </r>
  <r>
    <x v="1"/>
    <x v="11"/>
    <x v="11"/>
    <x v="2"/>
    <s v="Apoyo al proceso presupuestario y para mejorar la eficiencia institucional"/>
    <x v="2"/>
    <x v="34"/>
    <x v="159"/>
    <x v="308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9807705"/>
    <n v="0"/>
    <n v="-2293496"/>
    <n v="17514209"/>
    <n v="15751059"/>
    <m/>
    <x v="1"/>
    <n v="15751059"/>
  </r>
  <r>
    <x v="1"/>
    <x v="11"/>
    <x v="11"/>
    <x v="2"/>
    <s v="Apoyo al proceso presupuestario y para mejorar la eficiencia institucional"/>
    <x v="2"/>
    <x v="34"/>
    <x v="159"/>
    <x v="308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179"/>
    <x v="328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7411541"/>
    <n v="0"/>
    <n v="-1601800"/>
    <n v="15809741"/>
    <n v="12793778"/>
    <m/>
    <x v="1"/>
    <n v="12793778"/>
  </r>
  <r>
    <x v="1"/>
    <x v="11"/>
    <x v="11"/>
    <x v="2"/>
    <s v="Apoyo al proceso presupuestario y para mejorar la eficiencia institucional"/>
    <x v="2"/>
    <x v="34"/>
    <x v="179"/>
    <x v="328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15000"/>
    <n v="0"/>
    <n v="0"/>
    <n v="415000"/>
    <m/>
    <m/>
    <x v="1"/>
    <n v="0"/>
  </r>
  <r>
    <x v="1"/>
    <x v="11"/>
    <x v="11"/>
    <x v="2"/>
    <s v="Apoyo al proceso presupuestario y para mejorar la eficiencia institucional"/>
    <x v="2"/>
    <x v="34"/>
    <x v="62"/>
    <x v="119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82850979"/>
    <n v="0"/>
    <n v="0"/>
    <n v="82850979"/>
    <n v="68747316"/>
    <m/>
    <x v="1"/>
    <n v="68747316"/>
  </r>
  <r>
    <x v="1"/>
    <x v="11"/>
    <x v="11"/>
    <x v="2"/>
    <s v="Apoyo al proceso presupuestario y para mejorar la eficiencia institucional"/>
    <x v="2"/>
    <x v="34"/>
    <x v="62"/>
    <x v="119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406000"/>
    <n v="0"/>
    <n v="0"/>
    <n v="406000"/>
    <m/>
    <m/>
    <x v="1"/>
    <n v="0"/>
  </r>
  <r>
    <x v="1"/>
    <x v="11"/>
    <x v="11"/>
    <x v="2"/>
    <s v="Apoyo al proceso presupuestario y para mejorar la eficiencia institucional"/>
    <x v="2"/>
    <x v="34"/>
    <x v="63"/>
    <x v="69"/>
    <n v="3"/>
    <s v="Desarrollo Económico"/>
    <n v="1"/>
    <s v="Comunicaciones y Transportes"/>
    <n v="6"/>
    <x v="14"/>
    <x v="3"/>
    <x v="12"/>
    <n v="1"/>
    <s v="Gasto corriente"/>
    <x v="0"/>
    <x v="1"/>
    <x v="0"/>
    <x v="0"/>
    <x v="0"/>
    <x v="0"/>
    <x v="0"/>
    <m/>
    <x v="0"/>
    <x v="0"/>
    <m/>
    <n v="293336711"/>
    <n v="0"/>
    <n v="0"/>
    <n v="293336711"/>
    <n v="8941400"/>
    <m/>
    <x v="1"/>
    <n v="8941400"/>
  </r>
  <r>
    <x v="1"/>
    <x v="11"/>
    <x v="11"/>
    <x v="2"/>
    <s v="Apoyo al proceso presupuestario y para mejorar la eficiencia institucional"/>
    <x v="2"/>
    <x v="34"/>
    <x v="63"/>
    <x v="69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487010200"/>
    <n v="0"/>
    <n v="-35275715"/>
    <n v="451734485"/>
    <n v="556050502"/>
    <m/>
    <x v="1"/>
    <n v="556050502"/>
  </r>
  <r>
    <x v="1"/>
    <x v="11"/>
    <x v="11"/>
    <x v="2"/>
    <s v="Apoyo al proceso presupuestario y para mejorar la eficiencia institucional"/>
    <x v="2"/>
    <x v="34"/>
    <x v="64"/>
    <x v="350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78528616"/>
    <n v="0"/>
    <n v="-1304751"/>
    <n v="77223865"/>
    <n v="78644020"/>
    <m/>
    <x v="1"/>
    <n v="78644020"/>
  </r>
  <r>
    <x v="1"/>
    <x v="11"/>
    <x v="11"/>
    <x v="2"/>
    <s v="Apoyo al proceso presupuestario y para mejorar la eficiencia institucional"/>
    <x v="2"/>
    <x v="34"/>
    <x v="87"/>
    <x v="351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7830389"/>
    <n v="0"/>
    <n v="-180636"/>
    <n v="27649753"/>
    <n v="24934502"/>
    <m/>
    <x v="1"/>
    <n v="24934502"/>
  </r>
  <r>
    <x v="1"/>
    <x v="11"/>
    <x v="11"/>
    <x v="2"/>
    <s v="Apoyo al proceso presupuestario y para mejorar la eficiencia institucional"/>
    <x v="2"/>
    <x v="34"/>
    <x v="57"/>
    <x v="293"/>
    <n v="3"/>
    <s v="Desarrollo Económico"/>
    <n v="1"/>
    <s v="Comunicaciones y Transportes"/>
    <n v="6"/>
    <x v="14"/>
    <x v="3"/>
    <x v="12"/>
    <n v="1"/>
    <s v="Gasto corriente"/>
    <x v="0"/>
    <x v="1"/>
    <x v="0"/>
    <x v="1"/>
    <x v="0"/>
    <x v="0"/>
    <x v="0"/>
    <m/>
    <x v="0"/>
    <x v="0"/>
    <m/>
    <n v="721700"/>
    <n v="0"/>
    <n v="0"/>
    <n v="721700"/>
    <n v="698613"/>
    <m/>
    <x v="1"/>
    <n v="698613"/>
  </r>
  <r>
    <x v="1"/>
    <x v="11"/>
    <x v="11"/>
    <x v="2"/>
    <s v="Apoyo al proceso presupuestario y para mejorar la eficiencia institucional"/>
    <x v="2"/>
    <x v="34"/>
    <x v="57"/>
    <x v="293"/>
    <n v="3"/>
    <s v="Desarrollo Económico"/>
    <n v="1"/>
    <s v="Comunicaciones y Transportes"/>
    <n v="6"/>
    <x v="14"/>
    <x v="3"/>
    <x v="12"/>
    <n v="1"/>
    <s v="Gasto corriente"/>
    <x v="0"/>
    <x v="0"/>
    <x v="0"/>
    <x v="1"/>
    <x v="0"/>
    <x v="0"/>
    <x v="0"/>
    <m/>
    <x v="0"/>
    <x v="0"/>
    <m/>
    <n v="10819610"/>
    <n v="0"/>
    <n v="0"/>
    <n v="10819610"/>
    <n v="9459139"/>
    <m/>
    <x v="1"/>
    <n v="9459139"/>
  </r>
  <r>
    <x v="1"/>
    <x v="11"/>
    <x v="11"/>
    <x v="2"/>
    <s v="Apoyo al proceso presupuestario y para mejorar la eficiencia institucional"/>
    <x v="2"/>
    <x v="34"/>
    <x v="32"/>
    <x v="289"/>
    <n v="3"/>
    <s v="Desarrollo Económico"/>
    <n v="1"/>
    <s v="Comunicaciones y Transportes"/>
    <n v="3"/>
    <x v="39"/>
    <x v="3"/>
    <x v="12"/>
    <n v="1"/>
    <s v="Gasto corriente"/>
    <x v="0"/>
    <x v="1"/>
    <x v="0"/>
    <x v="0"/>
    <x v="0"/>
    <x v="0"/>
    <x v="0"/>
    <m/>
    <x v="0"/>
    <x v="0"/>
    <m/>
    <n v="8002074"/>
    <n v="0"/>
    <n v="0"/>
    <n v="8002074"/>
    <n v="7855080"/>
    <m/>
    <x v="1"/>
    <n v="7855080"/>
  </r>
  <r>
    <x v="1"/>
    <x v="11"/>
    <x v="11"/>
    <x v="2"/>
    <s v="Apoyo al proceso presupuestario y para mejorar la eficiencia institucional"/>
    <x v="2"/>
    <x v="34"/>
    <x v="32"/>
    <x v="289"/>
    <n v="3"/>
    <s v="Desarrollo Económico"/>
    <n v="1"/>
    <s v="Comunicaciones y Transportes"/>
    <n v="3"/>
    <x v="39"/>
    <x v="3"/>
    <x v="12"/>
    <n v="1"/>
    <s v="Gasto corriente"/>
    <x v="0"/>
    <x v="0"/>
    <x v="0"/>
    <x v="0"/>
    <x v="0"/>
    <x v="0"/>
    <x v="0"/>
    <m/>
    <x v="0"/>
    <x v="0"/>
    <m/>
    <n v="158745062"/>
    <n v="0"/>
    <n v="0"/>
    <n v="158745062"/>
    <n v="138882399"/>
    <m/>
    <x v="1"/>
    <n v="138882399"/>
  </r>
  <r>
    <x v="1"/>
    <x v="11"/>
    <x v="11"/>
    <x v="2"/>
    <s v="Apoyo al proceso presupuestario y para mejorar la eficiencia institucional"/>
    <x v="2"/>
    <x v="34"/>
    <x v="40"/>
    <x v="333"/>
    <n v="3"/>
    <s v="Desarrollo Económico"/>
    <n v="1"/>
    <s v="Comunicaciones y Transportes"/>
    <n v="6"/>
    <x v="14"/>
    <x v="3"/>
    <x v="12"/>
    <n v="1"/>
    <s v="Gasto corriente"/>
    <x v="0"/>
    <x v="1"/>
    <x v="0"/>
    <x v="0"/>
    <x v="0"/>
    <x v="0"/>
    <x v="0"/>
    <m/>
    <x v="0"/>
    <x v="0"/>
    <m/>
    <n v="521763"/>
    <n v="0"/>
    <n v="0"/>
    <n v="521763"/>
    <n v="472599"/>
    <m/>
    <x v="1"/>
    <n v="472599"/>
  </r>
  <r>
    <x v="1"/>
    <x v="11"/>
    <x v="11"/>
    <x v="2"/>
    <s v="Apoyo al proceso presupuestario y para mejorar la eficiencia institucional"/>
    <x v="2"/>
    <x v="34"/>
    <x v="40"/>
    <x v="333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7866916"/>
    <n v="0"/>
    <n v="0"/>
    <n v="27866916"/>
    <n v="25996342"/>
    <m/>
    <x v="1"/>
    <n v="25996342"/>
  </r>
  <r>
    <x v="1"/>
    <x v="11"/>
    <x v="11"/>
    <x v="2"/>
    <s v="Apoyo al proceso presupuestario y para mejorar la eficiencia institucional"/>
    <x v="2"/>
    <x v="34"/>
    <x v="143"/>
    <x v="288"/>
    <n v="3"/>
    <s v="Desarrollo Económico"/>
    <n v="1"/>
    <s v="Comunicaciones y Transportes"/>
    <n v="2"/>
    <x v="38"/>
    <x v="3"/>
    <x v="12"/>
    <n v="1"/>
    <s v="Gasto corriente"/>
    <x v="0"/>
    <x v="0"/>
    <x v="0"/>
    <x v="0"/>
    <x v="0"/>
    <x v="0"/>
    <x v="0"/>
    <m/>
    <x v="0"/>
    <x v="0"/>
    <m/>
    <n v="911507"/>
    <n v="0"/>
    <n v="-70000"/>
    <n v="841507"/>
    <n v="740526"/>
    <m/>
    <x v="1"/>
    <n v="740526"/>
  </r>
  <r>
    <x v="1"/>
    <x v="11"/>
    <x v="11"/>
    <x v="2"/>
    <s v="Apoyo al proceso presupuestario y para mejorar la eficiencia institucional"/>
    <x v="2"/>
    <x v="34"/>
    <x v="144"/>
    <x v="290"/>
    <n v="3"/>
    <s v="Desarrollo Económico"/>
    <n v="1"/>
    <s v="Comunicaciones y Transportes"/>
    <n v="4"/>
    <x v="40"/>
    <x v="3"/>
    <x v="12"/>
    <n v="1"/>
    <s v="Gasto corriente"/>
    <x v="0"/>
    <x v="0"/>
    <x v="0"/>
    <x v="0"/>
    <x v="0"/>
    <x v="0"/>
    <x v="0"/>
    <m/>
    <x v="0"/>
    <x v="0"/>
    <m/>
    <n v="10450000"/>
    <n v="0"/>
    <n v="-408157"/>
    <n v="10041843"/>
    <n v="8836821"/>
    <m/>
    <x v="1"/>
    <n v="8836821"/>
  </r>
  <r>
    <x v="1"/>
    <x v="11"/>
    <x v="11"/>
    <x v="2"/>
    <s v="Apoyo al proceso presupuestario y para mejorar la eficiencia institucional"/>
    <x v="2"/>
    <x v="34"/>
    <x v="142"/>
    <x v="287"/>
    <n v="3"/>
    <s v="Desarrollo Económico"/>
    <n v="1"/>
    <s v="Comunicaciones y Transportes"/>
    <n v="2"/>
    <x v="38"/>
    <x v="3"/>
    <x v="12"/>
    <n v="1"/>
    <s v="Gasto corriente"/>
    <x v="0"/>
    <x v="0"/>
    <x v="0"/>
    <x v="0"/>
    <x v="0"/>
    <x v="0"/>
    <x v="0"/>
    <m/>
    <x v="0"/>
    <x v="0"/>
    <m/>
    <n v="3551963"/>
    <n v="0"/>
    <n v="-200000"/>
    <n v="3351963"/>
    <n v="2949727"/>
    <m/>
    <x v="1"/>
    <n v="2949727"/>
  </r>
  <r>
    <x v="1"/>
    <x v="11"/>
    <x v="11"/>
    <x v="2"/>
    <s v="Apoyo al proceso presupuestario y para mejorar la eficiencia institucional"/>
    <x v="2"/>
    <x v="34"/>
    <x v="145"/>
    <x v="291"/>
    <n v="3"/>
    <s v="Desarrollo Económico"/>
    <n v="1"/>
    <s v="Comunicaciones y Transportes"/>
    <n v="5"/>
    <x v="41"/>
    <x v="3"/>
    <x v="12"/>
    <n v="1"/>
    <s v="Gasto corriente"/>
    <x v="0"/>
    <x v="0"/>
    <x v="0"/>
    <x v="0"/>
    <x v="0"/>
    <x v="0"/>
    <x v="0"/>
    <m/>
    <x v="0"/>
    <x v="0"/>
    <m/>
    <n v="67090528"/>
    <n v="0"/>
    <n v="-3000000"/>
    <n v="64090528"/>
    <n v="53999664"/>
    <m/>
    <x v="1"/>
    <n v="53999664"/>
  </r>
  <r>
    <x v="1"/>
    <x v="11"/>
    <x v="11"/>
    <x v="2"/>
    <s v="Apoyo al proceso presupuestario y para mejorar la eficiencia institucional"/>
    <x v="2"/>
    <x v="34"/>
    <x v="146"/>
    <x v="292"/>
    <n v="3"/>
    <s v="Desarrollo Económico"/>
    <n v="1"/>
    <s v="Comunicaciones y Transportes"/>
    <n v="5"/>
    <x v="41"/>
    <x v="3"/>
    <x v="12"/>
    <n v="1"/>
    <s v="Gasto corriente"/>
    <x v="0"/>
    <x v="0"/>
    <x v="0"/>
    <x v="0"/>
    <x v="0"/>
    <x v="0"/>
    <x v="0"/>
    <m/>
    <x v="0"/>
    <x v="0"/>
    <m/>
    <n v="7038600"/>
    <n v="0"/>
    <n v="-1370000"/>
    <n v="5668600"/>
    <n v="4984975"/>
    <m/>
    <x v="1"/>
    <n v="4984975"/>
  </r>
  <r>
    <x v="1"/>
    <x v="11"/>
    <x v="11"/>
    <x v="3"/>
    <s v="Apoyo a la función pública y al mejoramiento de la gestión"/>
    <x v="2"/>
    <x v="42"/>
    <x v="23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71318375"/>
    <n v="0"/>
    <n v="-422304"/>
    <n v="70896071"/>
    <n v="48538113"/>
    <m/>
    <x v="1"/>
    <n v="48538113"/>
  </r>
  <r>
    <x v="1"/>
    <x v="11"/>
    <x v="11"/>
    <x v="3"/>
    <s v="Apoyo a la función pública y al mejoramiento de la gestión"/>
    <x v="2"/>
    <x v="42"/>
    <x v="152"/>
    <x v="30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06877"/>
    <n v="0"/>
    <n v="0"/>
    <n v="106877"/>
    <n v="80385"/>
    <m/>
    <x v="1"/>
    <n v="80385"/>
  </r>
  <r>
    <x v="1"/>
    <x v="11"/>
    <x v="11"/>
    <x v="3"/>
    <s v="Apoyo a la función pública y al mejoramiento de la gestión"/>
    <x v="2"/>
    <x v="42"/>
    <x v="172"/>
    <x v="32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08547"/>
    <n v="0"/>
    <n v="0"/>
    <n v="208547"/>
    <n v="157104"/>
    <m/>
    <x v="1"/>
    <n v="157104"/>
  </r>
  <r>
    <x v="1"/>
    <x v="11"/>
    <x v="11"/>
    <x v="3"/>
    <s v="Apoyo a la función pública y al mejoramiento de la gestión"/>
    <x v="2"/>
    <x v="42"/>
    <x v="173"/>
    <x v="32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02942"/>
    <n v="0"/>
    <n v="-106878"/>
    <n v="496064"/>
    <n v="374356"/>
    <m/>
    <x v="1"/>
    <n v="374356"/>
  </r>
  <r>
    <x v="1"/>
    <x v="11"/>
    <x v="11"/>
    <x v="3"/>
    <s v="Apoyo a la función pública y al mejoramiento de la gestión"/>
    <x v="2"/>
    <x v="42"/>
    <x v="177"/>
    <x v="32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22003"/>
    <n v="0"/>
    <n v="0"/>
    <n v="222003"/>
    <n v="166573"/>
    <m/>
    <x v="1"/>
    <n v="166573"/>
  </r>
  <r>
    <x v="1"/>
    <x v="11"/>
    <x v="11"/>
    <x v="3"/>
    <s v="Apoyo a la función pública y al mejoramiento de la gestión"/>
    <x v="2"/>
    <x v="42"/>
    <x v="32"/>
    <x v="289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77698"/>
    <n v="0"/>
    <n v="0"/>
    <n v="277698"/>
    <n v="277698"/>
    <m/>
    <x v="1"/>
    <n v="277698"/>
  </r>
  <r>
    <x v="1"/>
    <x v="11"/>
    <x v="11"/>
    <x v="3"/>
    <s v="Apoyo a la función pública y al mejoramiento de la gestión"/>
    <x v="2"/>
    <x v="42"/>
    <x v="32"/>
    <x v="28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967545"/>
    <n v="0"/>
    <n v="0"/>
    <n v="6967545"/>
    <n v="6967545"/>
    <m/>
    <x v="1"/>
    <n v="6967545"/>
  </r>
  <r>
    <x v="1"/>
    <x v="11"/>
    <x v="11"/>
    <x v="3"/>
    <s v="Apoyo a la función pública y al mejoramiento de la gestión"/>
    <x v="2"/>
    <x v="42"/>
    <x v="40"/>
    <x v="333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312734"/>
    <n v="0"/>
    <n v="0"/>
    <n v="312734"/>
    <n v="312393"/>
    <m/>
    <x v="1"/>
    <n v="312393"/>
  </r>
  <r>
    <x v="1"/>
    <x v="11"/>
    <x v="11"/>
    <x v="3"/>
    <s v="Apoyo a la función pública y al mejoramiento de la gestión"/>
    <x v="2"/>
    <x v="42"/>
    <x v="40"/>
    <x v="33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4180859"/>
    <n v="0"/>
    <n v="0"/>
    <n v="14180859"/>
    <n v="14181200"/>
    <m/>
    <x v="1"/>
    <n v="14181200"/>
  </r>
  <r>
    <x v="1"/>
    <x v="11"/>
    <x v="11"/>
    <x v="3"/>
    <s v="Apoyo a la función pública y al mejoramiento de la gestión"/>
    <x v="2"/>
    <x v="42"/>
    <x v="143"/>
    <x v="28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967087"/>
    <n v="0"/>
    <n v="-100000"/>
    <n v="867087"/>
    <n v="867087"/>
    <m/>
    <x v="1"/>
    <n v="867087"/>
  </r>
  <r>
    <x v="1"/>
    <x v="11"/>
    <x v="11"/>
    <x v="3"/>
    <s v="Apoyo a la función pública y al mejoramiento de la gestión"/>
    <x v="2"/>
    <x v="42"/>
    <x v="144"/>
    <x v="29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509233"/>
    <n v="0"/>
    <n v="-158224"/>
    <n v="2351009"/>
    <n v="2344120"/>
    <m/>
    <x v="1"/>
    <n v="2344120"/>
  </r>
  <r>
    <x v="1"/>
    <x v="11"/>
    <x v="11"/>
    <x v="3"/>
    <s v="Apoyo a la función pública y al mejoramiento de la gestión"/>
    <x v="2"/>
    <x v="42"/>
    <x v="142"/>
    <x v="28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667563"/>
    <n v="0"/>
    <n v="-100000"/>
    <n v="2567563"/>
    <n v="2567563"/>
    <m/>
    <x v="1"/>
    <n v="2567563"/>
  </r>
  <r>
    <x v="1"/>
    <x v="11"/>
    <x v="11"/>
    <x v="3"/>
    <s v="Apoyo a la función pública y al mejoramiento de la gestión"/>
    <x v="2"/>
    <x v="42"/>
    <x v="145"/>
    <x v="29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295078"/>
    <n v="0"/>
    <n v="0"/>
    <n v="1295078"/>
    <n v="1295078"/>
    <m/>
    <x v="1"/>
    <n v="1295078"/>
  </r>
  <r>
    <x v="1"/>
    <x v="11"/>
    <x v="11"/>
    <x v="3"/>
    <s v="Apoyo a la función pública y al mejoramiento de la gestión"/>
    <x v="32"/>
    <x v="121"/>
    <x v="63"/>
    <x v="6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m/>
    <m/>
    <m/>
    <m/>
    <n v="27000000"/>
    <m/>
    <x v="1"/>
    <n v="27000000"/>
  </r>
  <r>
    <x v="1"/>
    <x v="11"/>
    <x v="11"/>
    <x v="3"/>
    <s v="Apoyo a la función pública y al mejoramiento de la gestión"/>
    <x v="32"/>
    <x v="121"/>
    <x v="63"/>
    <x v="69"/>
    <n v="1"/>
    <s v="Gobierno"/>
    <n v="8"/>
    <s v="Administración Pública"/>
    <n v="3"/>
    <x v="6"/>
    <x v="3"/>
    <x v="12"/>
    <n v="1"/>
    <s v="Gasto corriente"/>
    <x v="0"/>
    <x v="0"/>
    <x v="0"/>
    <x v="0"/>
    <x v="0"/>
    <x v="0"/>
    <x v="0"/>
    <m/>
    <x v="0"/>
    <x v="0"/>
    <m/>
    <n v="27289583"/>
    <n v="0"/>
    <n v="0"/>
    <n v="27289583"/>
    <m/>
    <m/>
    <x v="1"/>
    <n v="0"/>
  </r>
  <r>
    <x v="1"/>
    <x v="11"/>
    <x v="11"/>
    <x v="3"/>
    <s v="Apoyo a la función pública y al mejoramiento de la gestión"/>
    <x v="32"/>
    <x v="121"/>
    <x v="57"/>
    <x v="293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280000"/>
    <n v="0"/>
    <n v="0"/>
    <n v="280000"/>
    <n v="245000"/>
    <m/>
    <x v="1"/>
    <n v="245000"/>
  </r>
  <r>
    <x v="1"/>
    <x v="11"/>
    <x v="11"/>
    <x v="3"/>
    <s v="Apoyo a la función pública y al mejoramiento de la gestión"/>
    <x v="32"/>
    <x v="121"/>
    <x v="40"/>
    <x v="33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426852"/>
    <n v="0"/>
    <n v="0"/>
    <n v="3426852"/>
    <n v="1528726"/>
    <m/>
    <x v="1"/>
    <n v="1528726"/>
  </r>
  <r>
    <x v="1"/>
    <x v="11"/>
    <x v="11"/>
    <x v="5"/>
    <s v="Planeación, seguimiento y evaluación de políticas públicas"/>
    <x v="2"/>
    <x v="244"/>
    <x v="1"/>
    <x v="7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7968336"/>
    <n v="0"/>
    <n v="0"/>
    <n v="27968336"/>
    <n v="38315327"/>
    <m/>
    <x v="1"/>
    <n v="38315327"/>
  </r>
  <r>
    <x v="1"/>
    <x v="11"/>
    <x v="11"/>
    <x v="5"/>
    <s v="Planeación, seguimiento y evaluación de políticas públicas"/>
    <x v="2"/>
    <x v="244"/>
    <x v="1"/>
    <x v="78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127100"/>
    <n v="0"/>
    <n v="0"/>
    <n v="127100"/>
    <m/>
    <m/>
    <x v="1"/>
    <n v="0"/>
  </r>
  <r>
    <x v="1"/>
    <x v="11"/>
    <x v="11"/>
    <x v="5"/>
    <s v="Planeación, seguimiento y evaluación de políticas públicas"/>
    <x v="2"/>
    <x v="244"/>
    <x v="9"/>
    <x v="346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264586200"/>
    <n v="0"/>
    <n v="-32900000"/>
    <n v="231686200"/>
    <m/>
    <m/>
    <x v="1"/>
    <n v="0"/>
  </r>
  <r>
    <x v="1"/>
    <x v="11"/>
    <x v="11"/>
    <x v="5"/>
    <s v="Planeación, seguimiento y evaluación de políticas públicas"/>
    <x v="2"/>
    <x v="244"/>
    <x v="9"/>
    <x v="346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m/>
    <m/>
    <m/>
    <m/>
    <n v="13503019"/>
    <m/>
    <x v="1"/>
    <n v="13503019"/>
  </r>
  <r>
    <x v="1"/>
    <x v="11"/>
    <x v="11"/>
    <x v="5"/>
    <s v="Planeación, seguimiento y evaluación de políticas públicas"/>
    <x v="2"/>
    <x v="244"/>
    <x v="3"/>
    <x v="10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m/>
    <m/>
    <m/>
    <m/>
    <n v="47481747"/>
    <m/>
    <x v="1"/>
    <n v="47481747"/>
  </r>
  <r>
    <x v="1"/>
    <x v="11"/>
    <x v="11"/>
    <x v="5"/>
    <s v="Planeación, seguimiento y evaluación de políticas públicas"/>
    <x v="2"/>
    <x v="244"/>
    <x v="22"/>
    <x v="9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m/>
    <m/>
    <m/>
    <m/>
    <n v="18714688"/>
    <m/>
    <x v="1"/>
    <n v="18714688"/>
  </r>
  <r>
    <x v="1"/>
    <x v="11"/>
    <x v="11"/>
    <x v="5"/>
    <s v="Planeación, seguimiento y evaluación de políticas públicas"/>
    <x v="2"/>
    <x v="244"/>
    <x v="21"/>
    <x v="347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1888552"/>
    <n v="0"/>
    <n v="0"/>
    <n v="1888552"/>
    <m/>
    <m/>
    <x v="1"/>
    <n v="0"/>
  </r>
  <r>
    <x v="1"/>
    <x v="11"/>
    <x v="11"/>
    <x v="5"/>
    <s v="Planeación, seguimiento y evaluación de políticas públicas"/>
    <x v="2"/>
    <x v="244"/>
    <x v="21"/>
    <x v="347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m/>
    <m/>
    <m/>
    <m/>
    <n v="22207623"/>
    <m/>
    <x v="1"/>
    <n v="22207623"/>
  </r>
  <r>
    <x v="1"/>
    <x v="11"/>
    <x v="11"/>
    <x v="5"/>
    <s v="Planeación, seguimiento y evaluación de políticas públicas"/>
    <x v="2"/>
    <x v="244"/>
    <x v="0"/>
    <x v="352"/>
    <n v="3"/>
    <s v="Desarrollo Económico"/>
    <n v="1"/>
    <s v="Comunicaciones y Transportes"/>
    <n v="1"/>
    <x v="37"/>
    <x v="9"/>
    <x v="74"/>
    <n v="1"/>
    <s v="Gasto corriente"/>
    <x v="0"/>
    <x v="0"/>
    <x v="0"/>
    <x v="0"/>
    <x v="0"/>
    <x v="0"/>
    <x v="0"/>
    <m/>
    <x v="0"/>
    <x v="0"/>
    <m/>
    <n v="20537945"/>
    <n v="0"/>
    <n v="-213756"/>
    <n v="20324189"/>
    <n v="19984575"/>
    <m/>
    <x v="1"/>
    <n v="19984575"/>
  </r>
  <r>
    <x v="1"/>
    <x v="11"/>
    <x v="11"/>
    <x v="5"/>
    <s v="Planeación, seguimiento y evaluación de políticas públicas"/>
    <x v="2"/>
    <x v="244"/>
    <x v="7"/>
    <x v="353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1"/>
    <m/>
    <x v="0"/>
    <x v="0"/>
    <m/>
    <n v="32646524"/>
    <n v="0"/>
    <n v="-90319"/>
    <n v="32556205"/>
    <n v="31714651"/>
    <m/>
    <x v="1"/>
    <n v="31714651"/>
  </r>
  <r>
    <x v="1"/>
    <x v="11"/>
    <x v="11"/>
    <x v="5"/>
    <s v="Planeación, seguimiento y evaluación de políticas públicas"/>
    <x v="2"/>
    <x v="244"/>
    <x v="38"/>
    <x v="34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34462088"/>
    <n v="0"/>
    <n v="-191989"/>
    <n v="134270099"/>
    <n v="139685136"/>
    <m/>
    <x v="1"/>
    <n v="139685136"/>
  </r>
  <r>
    <x v="1"/>
    <x v="11"/>
    <x v="11"/>
    <x v="5"/>
    <s v="Planeación, seguimiento y evaluación de políticas públicas"/>
    <x v="2"/>
    <x v="244"/>
    <x v="56"/>
    <x v="33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94695357"/>
    <n v="0"/>
    <n v="-1184354"/>
    <n v="93511003"/>
    <n v="87166588"/>
    <m/>
    <x v="1"/>
    <n v="87166588"/>
  </r>
  <r>
    <x v="1"/>
    <x v="11"/>
    <x v="11"/>
    <x v="5"/>
    <s v="Planeación, seguimiento y evaluación de políticas públicas"/>
    <x v="2"/>
    <x v="244"/>
    <x v="187"/>
    <x v="35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2953840"/>
    <n v="0"/>
    <n v="0"/>
    <n v="12953840"/>
    <n v="12971236"/>
    <m/>
    <x v="1"/>
    <n v="12971236"/>
  </r>
  <r>
    <x v="1"/>
    <x v="11"/>
    <x v="11"/>
    <x v="5"/>
    <s v="Planeación, seguimiento y evaluación de políticas públicas"/>
    <x v="2"/>
    <x v="244"/>
    <x v="187"/>
    <x v="354"/>
    <n v="3"/>
    <s v="Desarrollo Económico"/>
    <n v="1"/>
    <s v="Comunicaciones y Transportes"/>
    <n v="5"/>
    <x v="41"/>
    <x v="9"/>
    <x v="74"/>
    <n v="2"/>
    <s v="Gasto de capital"/>
    <x v="0"/>
    <x v="0"/>
    <x v="0"/>
    <x v="0"/>
    <x v="0"/>
    <x v="0"/>
    <x v="0"/>
    <m/>
    <x v="0"/>
    <x v="0"/>
    <m/>
    <m/>
    <n v="0"/>
    <n v="0"/>
    <m/>
    <n v="14000000"/>
    <m/>
    <x v="1"/>
    <n v="14000000"/>
  </r>
  <r>
    <x v="1"/>
    <x v="11"/>
    <x v="11"/>
    <x v="5"/>
    <s v="Planeación, seguimiento y evaluación de políticas públicas"/>
    <x v="2"/>
    <x v="244"/>
    <x v="101"/>
    <x v="33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894401"/>
    <n v="0"/>
    <n v="0"/>
    <n v="4894401"/>
    <n v="5896854"/>
    <m/>
    <x v="1"/>
    <n v="5896854"/>
  </r>
  <r>
    <x v="1"/>
    <x v="11"/>
    <x v="11"/>
    <x v="5"/>
    <s v="Planeación, seguimiento y evaluación de políticas públicas"/>
    <x v="2"/>
    <x v="244"/>
    <x v="58"/>
    <x v="355"/>
    <n v="3"/>
    <s v="Desarrollo Económico"/>
    <n v="1"/>
    <s v="Comunicaciones y Transportes"/>
    <n v="2"/>
    <x v="38"/>
    <x v="9"/>
    <x v="74"/>
    <n v="1"/>
    <s v="Gasto corriente"/>
    <x v="0"/>
    <x v="0"/>
    <x v="0"/>
    <x v="0"/>
    <x v="0"/>
    <x v="0"/>
    <x v="0"/>
    <m/>
    <x v="0"/>
    <x v="0"/>
    <m/>
    <n v="22391502"/>
    <n v="0"/>
    <n v="-383976"/>
    <n v="22007526"/>
    <n v="22293618"/>
    <m/>
    <x v="1"/>
    <n v="22293618"/>
  </r>
  <r>
    <x v="1"/>
    <x v="11"/>
    <x v="11"/>
    <x v="5"/>
    <s v="Planeación, seguimiento y evaluación de políticas públicas"/>
    <x v="2"/>
    <x v="244"/>
    <x v="81"/>
    <x v="356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29684017"/>
    <n v="0"/>
    <n v="-196500"/>
    <n v="29487517"/>
    <n v="26323801"/>
    <m/>
    <x v="1"/>
    <n v="26323801"/>
  </r>
  <r>
    <x v="1"/>
    <x v="11"/>
    <x v="11"/>
    <x v="5"/>
    <s v="Planeación, seguimiento y evaluación de políticas públicas"/>
    <x v="2"/>
    <x v="244"/>
    <x v="74"/>
    <x v="348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m/>
    <m/>
    <m/>
    <m/>
    <n v="10243706"/>
    <m/>
    <x v="1"/>
    <n v="10243706"/>
  </r>
  <r>
    <x v="1"/>
    <x v="11"/>
    <x v="11"/>
    <x v="5"/>
    <s v="Planeación, seguimiento y evaluación de políticas públicas"/>
    <x v="2"/>
    <x v="244"/>
    <x v="72"/>
    <x v="34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m/>
    <m/>
    <m/>
    <m/>
    <n v="9971761"/>
    <m/>
    <x v="1"/>
    <n v="9971761"/>
  </r>
  <r>
    <x v="1"/>
    <x v="11"/>
    <x v="11"/>
    <x v="5"/>
    <s v="Planeación, seguimiento y evaluación de políticas públicas"/>
    <x v="2"/>
    <x v="244"/>
    <x v="162"/>
    <x v="311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46970"/>
    <n v="0"/>
    <n v="0"/>
    <n v="146970"/>
    <n v="127807"/>
    <m/>
    <x v="1"/>
    <n v="127807"/>
  </r>
  <r>
    <x v="1"/>
    <x v="11"/>
    <x v="11"/>
    <x v="5"/>
    <s v="Planeación, seguimiento y evaluación de políticas públicas"/>
    <x v="2"/>
    <x v="244"/>
    <x v="162"/>
    <x v="31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583982"/>
    <n v="0"/>
    <n v="-106878"/>
    <n v="1477104"/>
    <n v="2143390"/>
    <m/>
    <x v="1"/>
    <n v="2143390"/>
  </r>
  <r>
    <x v="1"/>
    <x v="11"/>
    <x v="11"/>
    <x v="5"/>
    <s v="Planeación, seguimiento y evaluación de políticas públicas"/>
    <x v="2"/>
    <x v="244"/>
    <x v="147"/>
    <x v="296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79280"/>
    <n v="0"/>
    <n v="0"/>
    <n v="179280"/>
    <n v="156584"/>
    <m/>
    <x v="1"/>
    <n v="156584"/>
  </r>
  <r>
    <x v="1"/>
    <x v="11"/>
    <x v="11"/>
    <x v="5"/>
    <s v="Planeación, seguimiento y evaluación de políticas públicas"/>
    <x v="2"/>
    <x v="244"/>
    <x v="147"/>
    <x v="29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803457"/>
    <n v="0"/>
    <n v="-113239"/>
    <n v="3690218"/>
    <n v="2962543"/>
    <m/>
    <x v="1"/>
    <n v="2962543"/>
  </r>
  <r>
    <x v="1"/>
    <x v="11"/>
    <x v="11"/>
    <x v="5"/>
    <s v="Planeación, seguimiento y evaluación de políticas públicas"/>
    <x v="2"/>
    <x v="244"/>
    <x v="148"/>
    <x v="297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71180"/>
    <n v="0"/>
    <n v="0"/>
    <n v="171180"/>
    <n v="129623"/>
    <m/>
    <x v="1"/>
    <n v="129623"/>
  </r>
  <r>
    <x v="1"/>
    <x v="11"/>
    <x v="11"/>
    <x v="5"/>
    <s v="Planeación, seguimiento y evaluación de políticas públicas"/>
    <x v="2"/>
    <x v="244"/>
    <x v="148"/>
    <x v="29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204542"/>
    <n v="0"/>
    <n v="-222003"/>
    <n v="1982539"/>
    <n v="2106040"/>
    <m/>
    <x v="1"/>
    <n v="2106040"/>
  </r>
  <r>
    <x v="1"/>
    <x v="11"/>
    <x v="11"/>
    <x v="5"/>
    <s v="Planeación, seguimiento y evaluación de políticas públicas"/>
    <x v="2"/>
    <x v="244"/>
    <x v="149"/>
    <x v="298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60380"/>
    <n v="0"/>
    <n v="0"/>
    <n v="160380"/>
    <n v="140856"/>
    <m/>
    <x v="1"/>
    <n v="140856"/>
  </r>
  <r>
    <x v="1"/>
    <x v="11"/>
    <x v="11"/>
    <x v="5"/>
    <s v="Planeación, seguimiento y evaluación de políticas públicas"/>
    <x v="2"/>
    <x v="244"/>
    <x v="149"/>
    <x v="29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844522"/>
    <n v="0"/>
    <n v="-108764"/>
    <n v="1735758"/>
    <n v="1897414"/>
    <m/>
    <x v="1"/>
    <n v="1897414"/>
  </r>
  <r>
    <x v="1"/>
    <x v="11"/>
    <x v="11"/>
    <x v="5"/>
    <s v="Planeación, seguimiento y evaluación de políticas públicas"/>
    <x v="2"/>
    <x v="244"/>
    <x v="163"/>
    <x v="312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209700"/>
    <n v="0"/>
    <n v="0"/>
    <n v="209700"/>
    <n v="168247"/>
    <m/>
    <x v="1"/>
    <n v="168247"/>
  </r>
  <r>
    <x v="1"/>
    <x v="11"/>
    <x v="11"/>
    <x v="5"/>
    <s v="Planeación, seguimiento y evaluación de políticas públicas"/>
    <x v="2"/>
    <x v="244"/>
    <x v="163"/>
    <x v="31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070299"/>
    <n v="0"/>
    <n v="-490855"/>
    <n v="2579444"/>
    <n v="2639035"/>
    <m/>
    <x v="1"/>
    <n v="2639035"/>
  </r>
  <r>
    <x v="1"/>
    <x v="11"/>
    <x v="11"/>
    <x v="5"/>
    <s v="Planeación, seguimiento y evaluación de políticas públicas"/>
    <x v="2"/>
    <x v="244"/>
    <x v="164"/>
    <x v="313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33200"/>
    <n v="0"/>
    <n v="0"/>
    <n v="133200"/>
    <n v="126164"/>
    <m/>
    <x v="1"/>
    <n v="126164"/>
  </r>
  <r>
    <x v="1"/>
    <x v="11"/>
    <x v="11"/>
    <x v="5"/>
    <s v="Planeación, seguimiento y evaluación de políticas públicas"/>
    <x v="2"/>
    <x v="244"/>
    <x v="164"/>
    <x v="31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430795"/>
    <n v="0"/>
    <n v="0"/>
    <n v="1430795"/>
    <n v="1662544"/>
    <m/>
    <x v="1"/>
    <n v="1662544"/>
  </r>
  <r>
    <x v="1"/>
    <x v="11"/>
    <x v="11"/>
    <x v="5"/>
    <s v="Planeación, seguimiento y evaluación de políticas públicas"/>
    <x v="2"/>
    <x v="244"/>
    <x v="150"/>
    <x v="299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53000"/>
    <n v="0"/>
    <n v="0"/>
    <n v="153000"/>
    <n v="141028"/>
    <m/>
    <x v="1"/>
    <n v="141028"/>
  </r>
  <r>
    <x v="1"/>
    <x v="11"/>
    <x v="11"/>
    <x v="5"/>
    <s v="Planeación, seguimiento y evaluación de políticas públicas"/>
    <x v="2"/>
    <x v="244"/>
    <x v="150"/>
    <x v="299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684273"/>
    <n v="0"/>
    <n v="0"/>
    <n v="1684273"/>
    <n v="1627842"/>
    <m/>
    <x v="1"/>
    <n v="1627842"/>
  </r>
  <r>
    <x v="1"/>
    <x v="11"/>
    <x v="11"/>
    <x v="5"/>
    <s v="Planeación, seguimiento y evaluación de políticas públicas"/>
    <x v="2"/>
    <x v="244"/>
    <x v="165"/>
    <x v="314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66590"/>
    <n v="0"/>
    <n v="0"/>
    <n v="166590"/>
    <n v="156497"/>
    <m/>
    <x v="1"/>
    <n v="156497"/>
  </r>
  <r>
    <x v="1"/>
    <x v="11"/>
    <x v="11"/>
    <x v="5"/>
    <s v="Planeación, seguimiento y evaluación de políticas públicas"/>
    <x v="2"/>
    <x v="244"/>
    <x v="165"/>
    <x v="31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918955"/>
    <n v="0"/>
    <n v="-289400"/>
    <n v="3629555"/>
    <n v="3844883"/>
    <m/>
    <x v="1"/>
    <n v="3844883"/>
  </r>
  <r>
    <x v="1"/>
    <x v="11"/>
    <x v="11"/>
    <x v="5"/>
    <s v="Planeación, seguimiento y evaluación de políticas públicas"/>
    <x v="2"/>
    <x v="244"/>
    <x v="166"/>
    <x v="315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45800"/>
    <n v="0"/>
    <n v="0"/>
    <n v="145800"/>
    <n v="135930"/>
    <m/>
    <x v="1"/>
    <n v="135930"/>
  </r>
  <r>
    <x v="1"/>
    <x v="11"/>
    <x v="11"/>
    <x v="5"/>
    <s v="Planeación, seguimiento y evaluación de políticas públicas"/>
    <x v="2"/>
    <x v="244"/>
    <x v="166"/>
    <x v="31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722268"/>
    <n v="0"/>
    <n v="-315426"/>
    <n v="3406842"/>
    <n v="3605042"/>
    <m/>
    <x v="1"/>
    <n v="3605042"/>
  </r>
  <r>
    <x v="1"/>
    <x v="11"/>
    <x v="11"/>
    <x v="5"/>
    <s v="Planeación, seguimiento y evaluación de políticas públicas"/>
    <x v="2"/>
    <x v="244"/>
    <x v="167"/>
    <x v="316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61100"/>
    <n v="0"/>
    <n v="0"/>
    <n v="161100"/>
    <n v="138609"/>
    <m/>
    <x v="1"/>
    <n v="138609"/>
  </r>
  <r>
    <x v="1"/>
    <x v="11"/>
    <x v="11"/>
    <x v="5"/>
    <s v="Planeación, seguimiento y evaluación de políticas públicas"/>
    <x v="2"/>
    <x v="244"/>
    <x v="167"/>
    <x v="31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998650"/>
    <n v="0"/>
    <n v="-298866"/>
    <n v="1699784"/>
    <n v="1675696"/>
    <m/>
    <x v="1"/>
    <n v="1675696"/>
  </r>
  <r>
    <x v="1"/>
    <x v="11"/>
    <x v="11"/>
    <x v="5"/>
    <s v="Planeación, seguimiento y evaluación de políticas públicas"/>
    <x v="2"/>
    <x v="244"/>
    <x v="151"/>
    <x v="300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47600"/>
    <n v="0"/>
    <n v="0"/>
    <n v="147600"/>
    <n v="134720"/>
    <m/>
    <x v="1"/>
    <n v="134720"/>
  </r>
  <r>
    <x v="1"/>
    <x v="11"/>
    <x v="11"/>
    <x v="5"/>
    <s v="Planeación, seguimiento y evaluación de políticas públicas"/>
    <x v="2"/>
    <x v="244"/>
    <x v="151"/>
    <x v="300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682167"/>
    <n v="0"/>
    <n v="-90319"/>
    <n v="2591848"/>
    <n v="2505668"/>
    <m/>
    <x v="1"/>
    <n v="2505668"/>
  </r>
  <r>
    <x v="1"/>
    <x v="11"/>
    <x v="11"/>
    <x v="5"/>
    <s v="Planeación, seguimiento y evaluación de políticas públicas"/>
    <x v="2"/>
    <x v="244"/>
    <x v="168"/>
    <x v="317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33200"/>
    <n v="0"/>
    <n v="0"/>
    <n v="133200"/>
    <n v="124609"/>
    <m/>
    <x v="1"/>
    <n v="124609"/>
  </r>
  <r>
    <x v="1"/>
    <x v="11"/>
    <x v="11"/>
    <x v="5"/>
    <s v="Planeación, seguimiento y evaluación de políticas públicas"/>
    <x v="2"/>
    <x v="244"/>
    <x v="168"/>
    <x v="31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852098"/>
    <n v="0"/>
    <n v="0"/>
    <n v="1852098"/>
    <n v="1664403"/>
    <m/>
    <x v="1"/>
    <n v="1664403"/>
  </r>
  <r>
    <x v="1"/>
    <x v="11"/>
    <x v="11"/>
    <x v="5"/>
    <s v="Planeación, seguimiento y evaluación de políticas públicas"/>
    <x v="2"/>
    <x v="244"/>
    <x v="152"/>
    <x v="301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98900"/>
    <n v="0"/>
    <n v="0"/>
    <n v="198900"/>
    <n v="155718"/>
    <m/>
    <x v="1"/>
    <n v="155718"/>
  </r>
  <r>
    <x v="1"/>
    <x v="11"/>
    <x v="11"/>
    <x v="5"/>
    <s v="Planeación, seguimiento y evaluación de políticas públicas"/>
    <x v="2"/>
    <x v="244"/>
    <x v="152"/>
    <x v="30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597136"/>
    <n v="0"/>
    <n v="-90319"/>
    <n v="2506817"/>
    <n v="2466895"/>
    <m/>
    <x v="1"/>
    <n v="2466895"/>
  </r>
  <r>
    <x v="1"/>
    <x v="11"/>
    <x v="11"/>
    <x v="5"/>
    <s v="Planeación, seguimiento y evaluación de políticas públicas"/>
    <x v="2"/>
    <x v="244"/>
    <x v="169"/>
    <x v="318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319500"/>
    <n v="0"/>
    <n v="0"/>
    <n v="319500"/>
    <n v="190284"/>
    <m/>
    <x v="1"/>
    <n v="190284"/>
  </r>
  <r>
    <x v="1"/>
    <x v="11"/>
    <x v="11"/>
    <x v="5"/>
    <s v="Planeación, seguimiento y evaluación de políticas públicas"/>
    <x v="2"/>
    <x v="244"/>
    <x v="169"/>
    <x v="31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057257"/>
    <n v="0"/>
    <n v="0"/>
    <n v="4057257"/>
    <n v="3860337"/>
    <m/>
    <x v="1"/>
    <n v="3860337"/>
  </r>
  <r>
    <x v="1"/>
    <x v="11"/>
    <x v="11"/>
    <x v="5"/>
    <s v="Planeación, seguimiento y evaluación de políticas públicas"/>
    <x v="2"/>
    <x v="244"/>
    <x v="170"/>
    <x v="319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66500"/>
    <n v="0"/>
    <n v="0"/>
    <n v="166500"/>
    <n v="149324"/>
    <m/>
    <x v="1"/>
    <n v="149324"/>
  </r>
  <r>
    <x v="1"/>
    <x v="11"/>
    <x v="11"/>
    <x v="5"/>
    <s v="Planeación, seguimiento y evaluación de políticas públicas"/>
    <x v="2"/>
    <x v="244"/>
    <x v="170"/>
    <x v="319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108901"/>
    <n v="0"/>
    <n v="0"/>
    <n v="2108901"/>
    <n v="2125086"/>
    <m/>
    <x v="1"/>
    <n v="2125086"/>
  </r>
  <r>
    <x v="1"/>
    <x v="11"/>
    <x v="11"/>
    <x v="5"/>
    <s v="Planeación, seguimiento y evaluación de políticas públicas"/>
    <x v="2"/>
    <x v="244"/>
    <x v="171"/>
    <x v="320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72800"/>
    <n v="0"/>
    <n v="0"/>
    <n v="172800"/>
    <n v="133598"/>
    <m/>
    <x v="1"/>
    <n v="133598"/>
  </r>
  <r>
    <x v="1"/>
    <x v="11"/>
    <x v="11"/>
    <x v="5"/>
    <s v="Planeación, seguimiento y evaluación de políticas públicas"/>
    <x v="2"/>
    <x v="244"/>
    <x v="171"/>
    <x v="320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858364"/>
    <n v="0"/>
    <n v="0"/>
    <n v="1858364"/>
    <n v="2079348"/>
    <m/>
    <x v="1"/>
    <n v="2079348"/>
  </r>
  <r>
    <x v="1"/>
    <x v="11"/>
    <x v="11"/>
    <x v="5"/>
    <s v="Planeación, seguimiento y evaluación de políticas públicas"/>
    <x v="2"/>
    <x v="244"/>
    <x v="153"/>
    <x v="302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32300"/>
    <n v="0"/>
    <n v="0"/>
    <n v="132300"/>
    <n v="123659"/>
    <m/>
    <x v="1"/>
    <n v="123659"/>
  </r>
  <r>
    <x v="1"/>
    <x v="11"/>
    <x v="11"/>
    <x v="5"/>
    <s v="Planeación, seguimiento y evaluación de políticas públicas"/>
    <x v="2"/>
    <x v="244"/>
    <x v="153"/>
    <x v="30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154611"/>
    <n v="0"/>
    <n v="0"/>
    <n v="1154611"/>
    <n v="1136357"/>
    <m/>
    <x v="1"/>
    <n v="1136357"/>
  </r>
  <r>
    <x v="1"/>
    <x v="11"/>
    <x v="11"/>
    <x v="5"/>
    <s v="Planeación, seguimiento y evaluación de políticas públicas"/>
    <x v="2"/>
    <x v="244"/>
    <x v="172"/>
    <x v="321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57950"/>
    <n v="0"/>
    <n v="0"/>
    <n v="157950"/>
    <n v="130054"/>
    <m/>
    <x v="1"/>
    <n v="130054"/>
  </r>
  <r>
    <x v="1"/>
    <x v="11"/>
    <x v="11"/>
    <x v="5"/>
    <s v="Planeación, seguimiento y evaluación de políticas públicas"/>
    <x v="2"/>
    <x v="244"/>
    <x v="172"/>
    <x v="321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942601"/>
    <n v="0"/>
    <n v="-106878"/>
    <n v="2835723"/>
    <n v="2731633"/>
    <m/>
    <x v="1"/>
    <n v="2731633"/>
  </r>
  <r>
    <x v="1"/>
    <x v="11"/>
    <x v="11"/>
    <x v="5"/>
    <s v="Planeación, seguimiento y evaluación de políticas públicas"/>
    <x v="2"/>
    <x v="244"/>
    <x v="154"/>
    <x v="303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44000"/>
    <n v="0"/>
    <n v="0"/>
    <n v="144000"/>
    <n v="94192"/>
    <m/>
    <x v="1"/>
    <n v="94192"/>
  </r>
  <r>
    <x v="1"/>
    <x v="11"/>
    <x v="11"/>
    <x v="5"/>
    <s v="Planeación, seguimiento y evaluación de políticas públicas"/>
    <x v="2"/>
    <x v="244"/>
    <x v="154"/>
    <x v="30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886959"/>
    <n v="0"/>
    <n v="0"/>
    <n v="886959"/>
    <n v="1142577"/>
    <m/>
    <x v="1"/>
    <n v="1142577"/>
  </r>
  <r>
    <x v="1"/>
    <x v="11"/>
    <x v="11"/>
    <x v="5"/>
    <s v="Planeación, seguimiento y evaluación de políticas públicas"/>
    <x v="2"/>
    <x v="244"/>
    <x v="173"/>
    <x v="322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43100"/>
    <n v="0"/>
    <n v="0"/>
    <n v="143100"/>
    <n v="127202"/>
    <m/>
    <x v="1"/>
    <n v="127202"/>
  </r>
  <r>
    <x v="1"/>
    <x v="11"/>
    <x v="11"/>
    <x v="5"/>
    <s v="Planeación, seguimiento y evaluación de políticas públicas"/>
    <x v="2"/>
    <x v="244"/>
    <x v="173"/>
    <x v="322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121617"/>
    <n v="0"/>
    <n v="0"/>
    <n v="2121617"/>
    <n v="2635312"/>
    <m/>
    <x v="1"/>
    <n v="2635312"/>
  </r>
  <r>
    <x v="1"/>
    <x v="11"/>
    <x v="11"/>
    <x v="5"/>
    <s v="Planeación, seguimiento y evaluación de políticas públicas"/>
    <x v="2"/>
    <x v="244"/>
    <x v="174"/>
    <x v="323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23300"/>
    <n v="0"/>
    <n v="0"/>
    <n v="123300"/>
    <n v="118387"/>
    <m/>
    <x v="1"/>
    <n v="118387"/>
  </r>
  <r>
    <x v="1"/>
    <x v="11"/>
    <x v="11"/>
    <x v="5"/>
    <s v="Planeación, seguimiento y evaluación de políticas públicas"/>
    <x v="2"/>
    <x v="244"/>
    <x v="174"/>
    <x v="323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907449"/>
    <n v="0"/>
    <n v="0"/>
    <n v="1907449"/>
    <n v="1668003"/>
    <m/>
    <x v="1"/>
    <n v="1668003"/>
  </r>
  <r>
    <x v="1"/>
    <x v="11"/>
    <x v="11"/>
    <x v="5"/>
    <s v="Planeación, seguimiento y evaluación de políticas públicas"/>
    <x v="2"/>
    <x v="244"/>
    <x v="155"/>
    <x v="304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265500"/>
    <n v="0"/>
    <n v="0"/>
    <n v="265500"/>
    <n v="151397"/>
    <m/>
    <x v="1"/>
    <n v="151397"/>
  </r>
  <r>
    <x v="1"/>
    <x v="11"/>
    <x v="11"/>
    <x v="5"/>
    <s v="Planeación, seguimiento y evaluación de políticas públicas"/>
    <x v="2"/>
    <x v="244"/>
    <x v="155"/>
    <x v="30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772700"/>
    <n v="0"/>
    <n v="0"/>
    <n v="1772700"/>
    <n v="1698618"/>
    <m/>
    <x v="1"/>
    <n v="1698618"/>
  </r>
  <r>
    <x v="1"/>
    <x v="11"/>
    <x v="11"/>
    <x v="5"/>
    <s v="Planeación, seguimiento y evaluación de políticas públicas"/>
    <x v="2"/>
    <x v="244"/>
    <x v="175"/>
    <x v="324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48500"/>
    <n v="0"/>
    <n v="0"/>
    <n v="148500"/>
    <n v="132646"/>
    <m/>
    <x v="1"/>
    <n v="132646"/>
  </r>
  <r>
    <x v="1"/>
    <x v="11"/>
    <x v="11"/>
    <x v="5"/>
    <s v="Planeación, seguimiento y evaluación de políticas públicas"/>
    <x v="2"/>
    <x v="244"/>
    <x v="175"/>
    <x v="32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962373"/>
    <n v="0"/>
    <n v="-106878"/>
    <n v="2855495"/>
    <n v="3080037"/>
    <m/>
    <x v="1"/>
    <n v="3080037"/>
  </r>
  <r>
    <x v="1"/>
    <x v="11"/>
    <x v="11"/>
    <x v="5"/>
    <s v="Planeación, seguimiento y evaluación de políticas públicas"/>
    <x v="2"/>
    <x v="244"/>
    <x v="176"/>
    <x v="325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70820"/>
    <n v="0"/>
    <n v="0"/>
    <n v="170820"/>
    <n v="144917"/>
    <m/>
    <x v="1"/>
    <n v="144917"/>
  </r>
  <r>
    <x v="1"/>
    <x v="11"/>
    <x v="11"/>
    <x v="5"/>
    <s v="Planeación, seguimiento y evaluación de políticas públicas"/>
    <x v="2"/>
    <x v="244"/>
    <x v="176"/>
    <x v="32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3198234"/>
    <n v="0"/>
    <n v="-94482"/>
    <n v="3103752"/>
    <n v="3089343"/>
    <m/>
    <x v="1"/>
    <n v="3089343"/>
  </r>
  <r>
    <x v="1"/>
    <x v="11"/>
    <x v="11"/>
    <x v="5"/>
    <s v="Planeación, seguimiento y evaluación de políticas públicas"/>
    <x v="2"/>
    <x v="244"/>
    <x v="156"/>
    <x v="305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20624"/>
    <n v="0"/>
    <n v="0"/>
    <n v="120624"/>
    <m/>
    <m/>
    <x v="1"/>
    <n v="0"/>
  </r>
  <r>
    <x v="1"/>
    <x v="11"/>
    <x v="11"/>
    <x v="5"/>
    <s v="Planeación, seguimiento y evaluación de políticas públicas"/>
    <x v="2"/>
    <x v="244"/>
    <x v="156"/>
    <x v="305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74600"/>
    <n v="0"/>
    <n v="0"/>
    <n v="174600"/>
    <n v="154767"/>
    <m/>
    <x v="1"/>
    <n v="154767"/>
  </r>
  <r>
    <x v="1"/>
    <x v="11"/>
    <x v="11"/>
    <x v="5"/>
    <s v="Planeación, seguimiento y evaluación de políticas públicas"/>
    <x v="2"/>
    <x v="244"/>
    <x v="156"/>
    <x v="305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311416"/>
    <n v="0"/>
    <n v="-101670"/>
    <n v="4209746"/>
    <n v="3924397"/>
    <m/>
    <x v="1"/>
    <n v="3924397"/>
  </r>
  <r>
    <x v="1"/>
    <x v="11"/>
    <x v="11"/>
    <x v="5"/>
    <s v="Planeación, seguimiento y evaluación de políticas públicas"/>
    <x v="2"/>
    <x v="244"/>
    <x v="177"/>
    <x v="326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41300"/>
    <n v="0"/>
    <n v="0"/>
    <n v="141300"/>
    <n v="135670"/>
    <m/>
    <x v="1"/>
    <n v="135670"/>
  </r>
  <r>
    <x v="1"/>
    <x v="11"/>
    <x v="11"/>
    <x v="5"/>
    <s v="Planeación, seguimiento y evaluación de políticas públicas"/>
    <x v="2"/>
    <x v="244"/>
    <x v="177"/>
    <x v="32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679016"/>
    <n v="0"/>
    <n v="-100928"/>
    <n v="1578088"/>
    <n v="1747560"/>
    <m/>
    <x v="1"/>
    <n v="1747560"/>
  </r>
  <r>
    <x v="1"/>
    <x v="11"/>
    <x v="11"/>
    <x v="5"/>
    <s v="Planeación, seguimiento y evaluación de políticas públicas"/>
    <x v="2"/>
    <x v="244"/>
    <x v="157"/>
    <x v="306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23300"/>
    <n v="0"/>
    <n v="0"/>
    <n v="123300"/>
    <n v="114932"/>
    <m/>
    <x v="1"/>
    <n v="114932"/>
  </r>
  <r>
    <x v="1"/>
    <x v="11"/>
    <x v="11"/>
    <x v="5"/>
    <s v="Planeación, seguimiento y evaluación de políticas públicas"/>
    <x v="2"/>
    <x v="244"/>
    <x v="157"/>
    <x v="306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045525"/>
    <n v="0"/>
    <n v="0"/>
    <n v="2045525"/>
    <n v="2012535"/>
    <m/>
    <x v="1"/>
    <n v="2012535"/>
  </r>
  <r>
    <x v="1"/>
    <x v="11"/>
    <x v="11"/>
    <x v="5"/>
    <s v="Planeación, seguimiento y evaluación de políticas públicas"/>
    <x v="2"/>
    <x v="244"/>
    <x v="178"/>
    <x v="327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243000"/>
    <n v="0"/>
    <n v="0"/>
    <n v="243000"/>
    <n v="159176"/>
    <m/>
    <x v="1"/>
    <n v="159176"/>
  </r>
  <r>
    <x v="1"/>
    <x v="11"/>
    <x v="11"/>
    <x v="5"/>
    <s v="Planeación, seguimiento y evaluación de políticas públicas"/>
    <x v="2"/>
    <x v="244"/>
    <x v="178"/>
    <x v="32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1339209"/>
    <n v="0"/>
    <n v="0"/>
    <n v="1339209"/>
    <n v="1220489"/>
    <m/>
    <x v="1"/>
    <n v="1220489"/>
  </r>
  <r>
    <x v="1"/>
    <x v="11"/>
    <x v="11"/>
    <x v="5"/>
    <s v="Planeación, seguimiento y evaluación de políticas públicas"/>
    <x v="2"/>
    <x v="244"/>
    <x v="158"/>
    <x v="307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400230"/>
    <n v="0"/>
    <n v="0"/>
    <n v="400230"/>
    <n v="165052"/>
    <m/>
    <x v="1"/>
    <n v="165052"/>
  </r>
  <r>
    <x v="1"/>
    <x v="11"/>
    <x v="11"/>
    <x v="5"/>
    <s v="Planeación, seguimiento y evaluación de políticas públicas"/>
    <x v="2"/>
    <x v="244"/>
    <x v="158"/>
    <x v="307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4736137"/>
    <n v="0"/>
    <n v="0"/>
    <n v="4736137"/>
    <n v="4861895"/>
    <m/>
    <x v="1"/>
    <n v="4861895"/>
  </r>
  <r>
    <x v="1"/>
    <x v="11"/>
    <x v="11"/>
    <x v="5"/>
    <s v="Planeación, seguimiento y evaluación de políticas públicas"/>
    <x v="2"/>
    <x v="244"/>
    <x v="159"/>
    <x v="308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143100"/>
    <n v="0"/>
    <n v="0"/>
    <n v="143100"/>
    <n v="134459"/>
    <m/>
    <x v="1"/>
    <n v="134459"/>
  </r>
  <r>
    <x v="1"/>
    <x v="11"/>
    <x v="11"/>
    <x v="5"/>
    <s v="Planeación, seguimiento y evaluación de políticas públicas"/>
    <x v="2"/>
    <x v="244"/>
    <x v="159"/>
    <x v="30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360336"/>
    <n v="0"/>
    <n v="0"/>
    <n v="2360336"/>
    <n v="2103620"/>
    <m/>
    <x v="1"/>
    <n v="2103620"/>
  </r>
  <r>
    <x v="1"/>
    <x v="11"/>
    <x v="11"/>
    <x v="5"/>
    <s v="Planeación, seguimiento y evaluación de políticas públicas"/>
    <x v="2"/>
    <x v="244"/>
    <x v="179"/>
    <x v="328"/>
    <n v="3"/>
    <s v="Desarrollo Económico"/>
    <n v="1"/>
    <s v="Comunicaciones y Transportes"/>
    <n v="3"/>
    <x v="39"/>
    <x v="9"/>
    <x v="74"/>
    <n v="1"/>
    <s v="Gasto corriente"/>
    <x v="0"/>
    <x v="0"/>
    <x v="0"/>
    <x v="0"/>
    <x v="0"/>
    <x v="0"/>
    <x v="0"/>
    <m/>
    <x v="0"/>
    <x v="0"/>
    <m/>
    <n v="220500"/>
    <n v="0"/>
    <n v="0"/>
    <n v="220500"/>
    <n v="138263"/>
    <m/>
    <x v="1"/>
    <n v="138263"/>
  </r>
  <r>
    <x v="1"/>
    <x v="11"/>
    <x v="11"/>
    <x v="5"/>
    <s v="Planeación, seguimiento y evaluación de políticas públicas"/>
    <x v="2"/>
    <x v="244"/>
    <x v="179"/>
    <x v="328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2223388"/>
    <n v="0"/>
    <n v="0"/>
    <n v="2223388"/>
    <n v="2354780"/>
    <m/>
    <x v="1"/>
    <n v="2354780"/>
  </r>
  <r>
    <x v="1"/>
    <x v="11"/>
    <x v="11"/>
    <x v="5"/>
    <s v="Planeación, seguimiento y evaluación de políticas públicas"/>
    <x v="2"/>
    <x v="244"/>
    <x v="61"/>
    <x v="3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6348766"/>
    <n v="0"/>
    <n v="-400536"/>
    <n v="25948230"/>
    <n v="25175788"/>
    <m/>
    <x v="1"/>
    <n v="25175788"/>
  </r>
  <r>
    <x v="1"/>
    <x v="11"/>
    <x v="11"/>
    <x v="5"/>
    <s v="Planeación, seguimiento y evaluación de políticas públicas"/>
    <x v="2"/>
    <x v="244"/>
    <x v="61"/>
    <x v="39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396822"/>
    <n v="0"/>
    <n v="0"/>
    <n v="396822"/>
    <m/>
    <m/>
    <x v="1"/>
    <n v="0"/>
  </r>
  <r>
    <x v="1"/>
    <x v="11"/>
    <x v="11"/>
    <x v="5"/>
    <s v="Planeación, seguimiento y evaluación de políticas públicas"/>
    <x v="2"/>
    <x v="244"/>
    <x v="62"/>
    <x v="11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24615593"/>
    <n v="0"/>
    <n v="-7500000"/>
    <n v="17115593"/>
    <m/>
    <m/>
    <x v="1"/>
    <n v="0"/>
  </r>
  <r>
    <x v="1"/>
    <x v="11"/>
    <x v="11"/>
    <x v="5"/>
    <s v="Planeación, seguimiento y evaluación de políticas públicas"/>
    <x v="2"/>
    <x v="244"/>
    <x v="63"/>
    <x v="69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48697647"/>
    <n v="0"/>
    <n v="0"/>
    <n v="48697647"/>
    <m/>
    <m/>
    <x v="1"/>
    <n v="0"/>
  </r>
  <r>
    <x v="1"/>
    <x v="11"/>
    <x v="11"/>
    <x v="5"/>
    <s v="Planeación, seguimiento y evaluación de políticas públicas"/>
    <x v="2"/>
    <x v="244"/>
    <x v="63"/>
    <x v="69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4132793"/>
    <n v="0"/>
    <n v="0"/>
    <n v="14132793"/>
    <n v="73540954"/>
    <m/>
    <x v="1"/>
    <n v="73540954"/>
  </r>
  <r>
    <x v="1"/>
    <x v="11"/>
    <x v="11"/>
    <x v="5"/>
    <s v="Planeación, seguimiento y evaluación de políticas públicas"/>
    <x v="2"/>
    <x v="244"/>
    <x v="64"/>
    <x v="350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52518338"/>
    <n v="0"/>
    <n v="0"/>
    <n v="52518338"/>
    <m/>
    <m/>
    <x v="1"/>
    <n v="0"/>
  </r>
  <r>
    <x v="1"/>
    <x v="11"/>
    <x v="11"/>
    <x v="5"/>
    <s v="Planeación, seguimiento y evaluación de políticas públicas"/>
    <x v="2"/>
    <x v="244"/>
    <x v="64"/>
    <x v="350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71764994"/>
    <n v="0"/>
    <n v="-32306916"/>
    <n v="39458078"/>
    <n v="215985368"/>
    <m/>
    <x v="1"/>
    <n v="215985368"/>
  </r>
  <r>
    <x v="1"/>
    <x v="11"/>
    <x v="11"/>
    <x v="5"/>
    <s v="Planeación, seguimiento y evaluación de políticas públicas"/>
    <x v="2"/>
    <x v="244"/>
    <x v="64"/>
    <x v="350"/>
    <n v="3"/>
    <s v="Desarrollo Económico"/>
    <n v="1"/>
    <s v="Comunicaciones y Transportes"/>
    <n v="6"/>
    <x v="14"/>
    <x v="9"/>
    <x v="74"/>
    <n v="2"/>
    <s v="Gasto de capital"/>
    <x v="0"/>
    <x v="0"/>
    <x v="0"/>
    <x v="0"/>
    <x v="0"/>
    <x v="0"/>
    <x v="0"/>
    <m/>
    <x v="0"/>
    <x v="0"/>
    <m/>
    <n v="202815230"/>
    <n v="0"/>
    <n v="0"/>
    <n v="202815230"/>
    <n v="128515800"/>
    <m/>
    <x v="1"/>
    <n v="128515800"/>
  </r>
  <r>
    <x v="1"/>
    <x v="11"/>
    <x v="11"/>
    <x v="5"/>
    <s v="Planeación, seguimiento y evaluación de políticas públicas"/>
    <x v="2"/>
    <x v="244"/>
    <x v="87"/>
    <x v="351"/>
    <n v="3"/>
    <s v="Desarrollo Económico"/>
    <n v="1"/>
    <s v="Comunicaciones y Transportes"/>
    <n v="6"/>
    <x v="14"/>
    <x v="3"/>
    <x v="12"/>
    <n v="1"/>
    <s v="Gasto corriente"/>
    <x v="0"/>
    <x v="0"/>
    <x v="0"/>
    <x v="0"/>
    <x v="0"/>
    <x v="0"/>
    <x v="0"/>
    <m/>
    <x v="0"/>
    <x v="0"/>
    <m/>
    <n v="422696552"/>
    <n v="0"/>
    <n v="0"/>
    <n v="422696552"/>
    <m/>
    <m/>
    <x v="1"/>
    <n v="0"/>
  </r>
  <r>
    <x v="1"/>
    <x v="11"/>
    <x v="11"/>
    <x v="5"/>
    <s v="Planeación, seguimiento y evaluación de políticas públicas"/>
    <x v="2"/>
    <x v="244"/>
    <x v="87"/>
    <x v="351"/>
    <n v="3"/>
    <s v="Desarrollo Económico"/>
    <n v="1"/>
    <s v="Comunicaciones y Transportes"/>
    <n v="6"/>
    <x v="14"/>
    <x v="3"/>
    <x v="12"/>
    <n v="2"/>
    <s v="Gasto de capital"/>
    <x v="0"/>
    <x v="0"/>
    <x v="0"/>
    <x v="0"/>
    <x v="0"/>
    <x v="0"/>
    <x v="0"/>
    <m/>
    <x v="0"/>
    <x v="0"/>
    <m/>
    <n v="100320"/>
    <n v="0"/>
    <n v="0"/>
    <n v="100320"/>
    <m/>
    <m/>
    <x v="1"/>
    <n v="0"/>
  </r>
  <r>
    <x v="1"/>
    <x v="11"/>
    <x v="11"/>
    <x v="5"/>
    <s v="Planeación, seguimiento y evaluación de políticas públicas"/>
    <x v="2"/>
    <x v="244"/>
    <x v="87"/>
    <x v="351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169025446"/>
    <n v="0"/>
    <n v="0"/>
    <n v="169025446"/>
    <n v="532204000"/>
    <m/>
    <x v="1"/>
    <n v="532204000"/>
  </r>
  <r>
    <x v="1"/>
    <x v="11"/>
    <x v="11"/>
    <x v="1"/>
    <s v="Específicos"/>
    <x v="8"/>
    <x v="245"/>
    <x v="52"/>
    <x v="286"/>
    <n v="3"/>
    <s v="Desarrollo Económico"/>
    <n v="1"/>
    <s v="Comunicaciones y Transportes"/>
    <n v="1"/>
    <x v="37"/>
    <x v="1"/>
    <x v="68"/>
    <n v="1"/>
    <s v="Gasto corriente"/>
    <x v="0"/>
    <x v="0"/>
    <x v="0"/>
    <x v="0"/>
    <x v="0"/>
    <x v="0"/>
    <x v="0"/>
    <m/>
    <x v="0"/>
    <x v="0"/>
    <m/>
    <n v="435000"/>
    <n v="0"/>
    <n v="0"/>
    <n v="435000"/>
    <n v="435000"/>
    <m/>
    <x v="1"/>
    <n v="435000"/>
  </r>
  <r>
    <x v="1"/>
    <x v="11"/>
    <x v="11"/>
    <x v="1"/>
    <s v="Específicos"/>
    <x v="8"/>
    <x v="245"/>
    <x v="53"/>
    <x v="329"/>
    <n v="3"/>
    <s v="Desarrollo Económico"/>
    <n v="1"/>
    <s v="Comunicaciones y Transportes"/>
    <n v="3"/>
    <x v="39"/>
    <x v="4"/>
    <x v="70"/>
    <n v="1"/>
    <s v="Gasto corriente"/>
    <x v="0"/>
    <x v="0"/>
    <x v="0"/>
    <x v="0"/>
    <x v="0"/>
    <x v="0"/>
    <x v="0"/>
    <m/>
    <x v="0"/>
    <x v="0"/>
    <m/>
    <n v="19638070"/>
    <n v="0"/>
    <n v="0"/>
    <n v="19638070"/>
    <n v="25000000"/>
    <m/>
    <x v="1"/>
    <n v="25000000"/>
  </r>
  <r>
    <x v="1"/>
    <x v="11"/>
    <x v="11"/>
    <x v="1"/>
    <s v="Específicos"/>
    <x v="8"/>
    <x v="245"/>
    <x v="55"/>
    <x v="294"/>
    <n v="3"/>
    <s v="Desarrollo Económico"/>
    <n v="1"/>
    <s v="Comunicaciones y Transportes"/>
    <n v="6"/>
    <x v="14"/>
    <x v="9"/>
    <x v="74"/>
    <n v="1"/>
    <s v="Gasto corriente"/>
    <x v="0"/>
    <x v="0"/>
    <x v="0"/>
    <x v="0"/>
    <x v="0"/>
    <x v="0"/>
    <x v="0"/>
    <m/>
    <x v="0"/>
    <x v="0"/>
    <m/>
    <n v="300000"/>
    <n v="0"/>
    <n v="0"/>
    <n v="300000"/>
    <n v="200000"/>
    <m/>
    <x v="1"/>
    <n v="200000"/>
  </r>
  <r>
    <x v="1"/>
    <x v="11"/>
    <x v="11"/>
    <x v="1"/>
    <s v="Específicos"/>
    <x v="8"/>
    <x v="245"/>
    <x v="56"/>
    <x v="334"/>
    <n v="3"/>
    <s v="Desarrollo Económico"/>
    <n v="1"/>
    <s v="Comunicaciones y Transportes"/>
    <n v="5"/>
    <x v="41"/>
    <x v="9"/>
    <x v="74"/>
    <n v="1"/>
    <s v="Gasto corriente"/>
    <x v="0"/>
    <x v="0"/>
    <x v="0"/>
    <x v="0"/>
    <x v="0"/>
    <x v="0"/>
    <x v="0"/>
    <m/>
    <x v="0"/>
    <x v="0"/>
    <m/>
    <n v="5439500"/>
    <n v="0"/>
    <n v="0"/>
    <n v="5439500"/>
    <n v="4400000"/>
    <m/>
    <x v="1"/>
    <n v="4400000"/>
  </r>
  <r>
    <x v="1"/>
    <x v="11"/>
    <x v="11"/>
    <x v="1"/>
    <s v="Específicos"/>
    <x v="8"/>
    <x v="245"/>
    <x v="59"/>
    <x v="331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183000"/>
    <n v="0"/>
    <n v="0"/>
    <n v="183000"/>
    <n v="200000"/>
    <m/>
    <x v="1"/>
    <n v="200000"/>
  </r>
  <r>
    <x v="1"/>
    <x v="11"/>
    <x v="11"/>
    <x v="1"/>
    <s v="Específicos"/>
    <x v="8"/>
    <x v="245"/>
    <x v="85"/>
    <x v="295"/>
    <n v="3"/>
    <s v="Desarrollo Económico"/>
    <n v="1"/>
    <s v="Comunicaciones y Transportes"/>
    <n v="2"/>
    <x v="38"/>
    <x v="0"/>
    <x v="69"/>
    <n v="1"/>
    <s v="Gasto corriente"/>
    <x v="0"/>
    <x v="0"/>
    <x v="0"/>
    <x v="0"/>
    <x v="0"/>
    <x v="0"/>
    <x v="0"/>
    <m/>
    <x v="0"/>
    <x v="0"/>
    <m/>
    <n v="3250000"/>
    <n v="0"/>
    <n v="0"/>
    <n v="3250000"/>
    <n v="4000000"/>
    <m/>
    <x v="1"/>
    <n v="4000000"/>
  </r>
  <r>
    <x v="1"/>
    <x v="11"/>
    <x v="11"/>
    <x v="11"/>
    <s v="Sujetos a Reglas de Operación"/>
    <x v="62"/>
    <x v="246"/>
    <x v="4"/>
    <x v="332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795492"/>
    <n v="0"/>
    <n v="0"/>
    <n v="1795492"/>
    <m/>
    <m/>
    <x v="1"/>
    <n v="0"/>
  </r>
  <r>
    <x v="1"/>
    <x v="11"/>
    <x v="11"/>
    <x v="11"/>
    <s v="Sujetos a Reglas de Operación"/>
    <x v="62"/>
    <x v="246"/>
    <x v="4"/>
    <x v="332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38204508"/>
    <n v="0"/>
    <n v="0"/>
    <n v="338204508"/>
    <n v="340000000"/>
    <m/>
    <x v="1"/>
    <n v="340000000"/>
  </r>
  <r>
    <x v="1"/>
    <x v="11"/>
    <x v="11"/>
    <x v="11"/>
    <s v="Sujetos a Reglas de Operación"/>
    <x v="62"/>
    <x v="246"/>
    <x v="162"/>
    <x v="311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92944"/>
    <n v="0"/>
    <n v="0"/>
    <n v="92944"/>
    <m/>
    <m/>
    <x v="1"/>
    <n v="0"/>
  </r>
  <r>
    <x v="1"/>
    <x v="11"/>
    <x v="11"/>
    <x v="11"/>
    <s v="Sujetos a Reglas de Operación"/>
    <x v="62"/>
    <x v="246"/>
    <x v="162"/>
    <x v="311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7507056"/>
    <n v="0"/>
    <n v="0"/>
    <n v="17507056"/>
    <n v="12194740"/>
    <m/>
    <x v="56"/>
    <n v="308194740"/>
  </r>
  <r>
    <x v="1"/>
    <x v="11"/>
    <x v="11"/>
    <x v="11"/>
    <s v="Sujetos a Reglas de Operación"/>
    <x v="62"/>
    <x v="246"/>
    <x v="147"/>
    <x v="296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03504"/>
    <n v="0"/>
    <n v="0"/>
    <n v="103504"/>
    <m/>
    <m/>
    <x v="1"/>
    <n v="0"/>
  </r>
  <r>
    <x v="1"/>
    <x v="11"/>
    <x v="11"/>
    <x v="11"/>
    <s v="Sujetos a Reglas de Operación"/>
    <x v="62"/>
    <x v="246"/>
    <x v="147"/>
    <x v="296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9496496"/>
    <n v="0"/>
    <n v="0"/>
    <n v="19496496"/>
    <n v="13900000"/>
    <m/>
    <x v="1"/>
    <n v="13900000"/>
  </r>
  <r>
    <x v="1"/>
    <x v="11"/>
    <x v="11"/>
    <x v="11"/>
    <s v="Sujetos a Reglas de Operación"/>
    <x v="62"/>
    <x v="246"/>
    <x v="148"/>
    <x v="297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87134"/>
    <n v="0"/>
    <n v="0"/>
    <n v="87134"/>
    <m/>
    <m/>
    <x v="1"/>
    <n v="0"/>
  </r>
  <r>
    <x v="1"/>
    <x v="11"/>
    <x v="11"/>
    <x v="11"/>
    <s v="Sujetos a Reglas de Operación"/>
    <x v="62"/>
    <x v="246"/>
    <x v="148"/>
    <x v="297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6412866"/>
    <n v="0"/>
    <n v="0"/>
    <n v="16412866"/>
    <n v="11649950"/>
    <m/>
    <x v="1"/>
    <n v="11649950"/>
  </r>
  <r>
    <x v="1"/>
    <x v="11"/>
    <x v="11"/>
    <x v="11"/>
    <s v="Sujetos a Reglas de Operación"/>
    <x v="62"/>
    <x v="246"/>
    <x v="149"/>
    <x v="298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23045"/>
    <n v="0"/>
    <n v="0"/>
    <n v="123045"/>
    <m/>
    <m/>
    <x v="1"/>
    <n v="0"/>
  </r>
  <r>
    <x v="1"/>
    <x v="11"/>
    <x v="11"/>
    <x v="11"/>
    <s v="Sujetos a Reglas de Operación"/>
    <x v="62"/>
    <x v="246"/>
    <x v="149"/>
    <x v="298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3176955"/>
    <n v="0"/>
    <n v="0"/>
    <n v="23176955"/>
    <n v="16500000"/>
    <m/>
    <x v="1"/>
    <n v="16500000"/>
  </r>
  <r>
    <x v="1"/>
    <x v="11"/>
    <x v="11"/>
    <x v="11"/>
    <s v="Sujetos a Reglas de Operación"/>
    <x v="62"/>
    <x v="246"/>
    <x v="163"/>
    <x v="312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69518"/>
    <n v="0"/>
    <n v="0"/>
    <n v="169518"/>
    <m/>
    <m/>
    <x v="1"/>
    <n v="0"/>
  </r>
  <r>
    <x v="1"/>
    <x v="11"/>
    <x v="11"/>
    <x v="11"/>
    <s v="Sujetos a Reglas de Operación"/>
    <x v="62"/>
    <x v="246"/>
    <x v="163"/>
    <x v="312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1930482"/>
    <n v="0"/>
    <n v="0"/>
    <n v="31930482"/>
    <n v="59600000"/>
    <m/>
    <x v="1"/>
    <n v="59600000"/>
  </r>
  <r>
    <x v="1"/>
    <x v="11"/>
    <x v="11"/>
    <x v="11"/>
    <s v="Sujetos a Reglas de Operación"/>
    <x v="62"/>
    <x v="246"/>
    <x v="164"/>
    <x v="313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50506"/>
    <n v="0"/>
    <n v="0"/>
    <n v="150506"/>
    <m/>
    <m/>
    <x v="1"/>
    <n v="0"/>
  </r>
  <r>
    <x v="1"/>
    <x v="11"/>
    <x v="11"/>
    <x v="11"/>
    <s v="Sujetos a Reglas de Operación"/>
    <x v="62"/>
    <x v="246"/>
    <x v="164"/>
    <x v="313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8349494"/>
    <n v="0"/>
    <n v="0"/>
    <n v="28349494"/>
    <n v="31200000"/>
    <m/>
    <x v="1"/>
    <n v="31200000"/>
  </r>
  <r>
    <x v="1"/>
    <x v="11"/>
    <x v="11"/>
    <x v="11"/>
    <s v="Sujetos a Reglas de Operación"/>
    <x v="62"/>
    <x v="246"/>
    <x v="150"/>
    <x v="299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444128"/>
    <n v="0"/>
    <n v="0"/>
    <n v="444128"/>
    <m/>
    <m/>
    <x v="1"/>
    <n v="0"/>
  </r>
  <r>
    <x v="1"/>
    <x v="11"/>
    <x v="11"/>
    <x v="11"/>
    <s v="Sujetos a Reglas de Operación"/>
    <x v="62"/>
    <x v="246"/>
    <x v="150"/>
    <x v="299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83655872"/>
    <n v="0"/>
    <n v="0"/>
    <n v="83655872"/>
    <n v="22850000"/>
    <m/>
    <x v="1"/>
    <n v="22850000"/>
  </r>
  <r>
    <x v="1"/>
    <x v="11"/>
    <x v="11"/>
    <x v="11"/>
    <s v="Sujetos a Reglas de Operación"/>
    <x v="62"/>
    <x v="246"/>
    <x v="165"/>
    <x v="314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232889"/>
    <n v="0"/>
    <n v="0"/>
    <n v="232889"/>
    <m/>
    <m/>
    <x v="1"/>
    <n v="0"/>
  </r>
  <r>
    <x v="1"/>
    <x v="11"/>
    <x v="11"/>
    <x v="11"/>
    <s v="Sujetos a Reglas de Operación"/>
    <x v="62"/>
    <x v="246"/>
    <x v="165"/>
    <x v="314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3867111"/>
    <n v="0"/>
    <n v="0"/>
    <n v="43867111"/>
    <n v="20200000"/>
    <m/>
    <x v="1"/>
    <n v="20200000"/>
  </r>
  <r>
    <x v="1"/>
    <x v="11"/>
    <x v="11"/>
    <x v="11"/>
    <s v="Sujetos a Reglas de Operación"/>
    <x v="62"/>
    <x v="246"/>
    <x v="166"/>
    <x v="315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75327"/>
    <n v="0"/>
    <n v="0"/>
    <n v="175327"/>
    <m/>
    <m/>
    <x v="1"/>
    <n v="0"/>
  </r>
  <r>
    <x v="1"/>
    <x v="11"/>
    <x v="11"/>
    <x v="11"/>
    <s v="Sujetos a Reglas de Operación"/>
    <x v="62"/>
    <x v="246"/>
    <x v="166"/>
    <x v="315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3024673"/>
    <n v="0"/>
    <n v="0"/>
    <n v="33024673"/>
    <n v="23500000"/>
    <m/>
    <x v="1"/>
    <n v="23500000"/>
  </r>
  <r>
    <x v="1"/>
    <x v="11"/>
    <x v="11"/>
    <x v="11"/>
    <s v="Sujetos a Reglas de Operación"/>
    <x v="62"/>
    <x v="246"/>
    <x v="167"/>
    <x v="316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35719"/>
    <n v="0"/>
    <n v="0"/>
    <n v="135719"/>
    <m/>
    <m/>
    <x v="1"/>
    <n v="0"/>
  </r>
  <r>
    <x v="1"/>
    <x v="11"/>
    <x v="11"/>
    <x v="11"/>
    <s v="Sujetos a Reglas de Operación"/>
    <x v="62"/>
    <x v="246"/>
    <x v="167"/>
    <x v="316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5564281"/>
    <n v="0"/>
    <n v="0"/>
    <n v="25564281"/>
    <n v="18300000"/>
    <m/>
    <x v="1"/>
    <n v="18300000"/>
  </r>
  <r>
    <x v="1"/>
    <x v="11"/>
    <x v="11"/>
    <x v="11"/>
    <s v="Sujetos a Reglas de Operación"/>
    <x v="62"/>
    <x v="246"/>
    <x v="151"/>
    <x v="300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327416"/>
    <n v="-63370"/>
    <n v="0"/>
    <n v="264046"/>
    <m/>
    <m/>
    <x v="1"/>
    <n v="0"/>
  </r>
  <r>
    <x v="1"/>
    <x v="11"/>
    <x v="11"/>
    <x v="11"/>
    <s v="Sujetos a Reglas de Operación"/>
    <x v="62"/>
    <x v="246"/>
    <x v="151"/>
    <x v="300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61672584"/>
    <n v="-11936630"/>
    <n v="0"/>
    <n v="49735954"/>
    <n v="38950000"/>
    <m/>
    <x v="1"/>
    <n v="38950000"/>
  </r>
  <r>
    <x v="1"/>
    <x v="11"/>
    <x v="11"/>
    <x v="11"/>
    <s v="Sujetos a Reglas de Operación"/>
    <x v="62"/>
    <x v="246"/>
    <x v="168"/>
    <x v="317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348539"/>
    <n v="0"/>
    <n v="0"/>
    <n v="348539"/>
    <m/>
    <m/>
    <x v="1"/>
    <n v="0"/>
  </r>
  <r>
    <x v="1"/>
    <x v="11"/>
    <x v="11"/>
    <x v="11"/>
    <s v="Sujetos a Reglas de Operación"/>
    <x v="62"/>
    <x v="246"/>
    <x v="168"/>
    <x v="317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65651461"/>
    <n v="0"/>
    <n v="0"/>
    <n v="65651461"/>
    <n v="46800000"/>
    <m/>
    <x v="1"/>
    <n v="46800000"/>
  </r>
  <r>
    <x v="1"/>
    <x v="11"/>
    <x v="11"/>
    <x v="11"/>
    <s v="Sujetos a Reglas de Operación"/>
    <x v="62"/>
    <x v="246"/>
    <x v="152"/>
    <x v="301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247146"/>
    <n v="0"/>
    <n v="0"/>
    <n v="247146"/>
    <m/>
    <m/>
    <x v="1"/>
    <n v="0"/>
  </r>
  <r>
    <x v="1"/>
    <x v="11"/>
    <x v="11"/>
    <x v="11"/>
    <s v="Sujetos a Reglas de Operación"/>
    <x v="62"/>
    <x v="246"/>
    <x v="152"/>
    <x v="301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6552854"/>
    <n v="0"/>
    <n v="0"/>
    <n v="46552854"/>
    <n v="33200000"/>
    <m/>
    <x v="1"/>
    <n v="33200000"/>
  </r>
  <r>
    <x v="1"/>
    <x v="11"/>
    <x v="11"/>
    <x v="11"/>
    <s v="Sujetos a Reglas de Operación"/>
    <x v="62"/>
    <x v="246"/>
    <x v="169"/>
    <x v="318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96450"/>
    <n v="0"/>
    <n v="0"/>
    <n v="196450"/>
    <m/>
    <m/>
    <x v="1"/>
    <n v="0"/>
  </r>
  <r>
    <x v="1"/>
    <x v="11"/>
    <x v="11"/>
    <x v="11"/>
    <s v="Sujetos a Reglas de Operación"/>
    <x v="62"/>
    <x v="246"/>
    <x v="169"/>
    <x v="318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7003550"/>
    <n v="0"/>
    <n v="0"/>
    <n v="37003550"/>
    <n v="26399999"/>
    <m/>
    <x v="1"/>
    <n v="26399999"/>
  </r>
  <r>
    <x v="1"/>
    <x v="11"/>
    <x v="11"/>
    <x v="11"/>
    <s v="Sujetos a Reglas de Operación"/>
    <x v="62"/>
    <x v="246"/>
    <x v="170"/>
    <x v="319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425640"/>
    <n v="0"/>
    <n v="0"/>
    <n v="425640"/>
    <m/>
    <m/>
    <x v="1"/>
    <n v="0"/>
  </r>
  <r>
    <x v="1"/>
    <x v="11"/>
    <x v="11"/>
    <x v="11"/>
    <s v="Sujetos a Reglas de Operación"/>
    <x v="62"/>
    <x v="246"/>
    <x v="170"/>
    <x v="319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80174360"/>
    <n v="0"/>
    <n v="0"/>
    <n v="80174360"/>
    <n v="57150001"/>
    <m/>
    <x v="1"/>
    <n v="57150001"/>
  </r>
  <r>
    <x v="1"/>
    <x v="11"/>
    <x v="11"/>
    <x v="11"/>
    <s v="Sujetos a Reglas de Operación"/>
    <x v="62"/>
    <x v="246"/>
    <x v="171"/>
    <x v="320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41528"/>
    <n v="0"/>
    <n v="0"/>
    <n v="141528"/>
    <m/>
    <m/>
    <x v="1"/>
    <n v="0"/>
  </r>
  <r>
    <x v="1"/>
    <x v="11"/>
    <x v="11"/>
    <x v="11"/>
    <s v="Sujetos a Reglas de Operación"/>
    <x v="62"/>
    <x v="246"/>
    <x v="171"/>
    <x v="320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6658472"/>
    <n v="0"/>
    <n v="0"/>
    <n v="26658472"/>
    <n v="18900000"/>
    <m/>
    <x v="1"/>
    <n v="18900000"/>
  </r>
  <r>
    <x v="1"/>
    <x v="11"/>
    <x v="11"/>
    <x v="11"/>
    <s v="Sujetos a Reglas de Operación"/>
    <x v="62"/>
    <x v="246"/>
    <x v="153"/>
    <x v="302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87472"/>
    <n v="0"/>
    <n v="0"/>
    <n v="187472"/>
    <m/>
    <m/>
    <x v="1"/>
    <n v="0"/>
  </r>
  <r>
    <x v="1"/>
    <x v="11"/>
    <x v="11"/>
    <x v="11"/>
    <s v="Sujetos a Reglas de Operación"/>
    <x v="62"/>
    <x v="246"/>
    <x v="153"/>
    <x v="302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5312528"/>
    <n v="0"/>
    <n v="0"/>
    <n v="35312528"/>
    <n v="25200000"/>
    <m/>
    <x v="1"/>
    <n v="25200000"/>
  </r>
  <r>
    <x v="1"/>
    <x v="11"/>
    <x v="11"/>
    <x v="11"/>
    <s v="Sujetos a Reglas de Operación"/>
    <x v="62"/>
    <x v="246"/>
    <x v="172"/>
    <x v="321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69517"/>
    <n v="0"/>
    <n v="0"/>
    <n v="169517"/>
    <m/>
    <m/>
    <x v="1"/>
    <n v="0"/>
  </r>
  <r>
    <x v="1"/>
    <x v="11"/>
    <x v="11"/>
    <x v="11"/>
    <s v="Sujetos a Reglas de Operación"/>
    <x v="62"/>
    <x v="246"/>
    <x v="172"/>
    <x v="321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1930483"/>
    <n v="0"/>
    <n v="0"/>
    <n v="31930483"/>
    <n v="22800000"/>
    <m/>
    <x v="1"/>
    <n v="22800000"/>
  </r>
  <r>
    <x v="1"/>
    <x v="11"/>
    <x v="11"/>
    <x v="11"/>
    <s v="Sujetos a Reglas de Operación"/>
    <x v="62"/>
    <x v="246"/>
    <x v="154"/>
    <x v="303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573507"/>
    <n v="0"/>
    <n v="0"/>
    <n v="573507"/>
    <m/>
    <m/>
    <x v="1"/>
    <n v="0"/>
  </r>
  <r>
    <x v="1"/>
    <x v="11"/>
    <x v="11"/>
    <x v="11"/>
    <s v="Sujetos a Reglas de Operación"/>
    <x v="62"/>
    <x v="246"/>
    <x v="154"/>
    <x v="303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08026493"/>
    <n v="0"/>
    <n v="0"/>
    <n v="108026493"/>
    <n v="76950000"/>
    <m/>
    <x v="1"/>
    <n v="76950000"/>
  </r>
  <r>
    <x v="1"/>
    <x v="11"/>
    <x v="11"/>
    <x v="11"/>
    <s v="Sujetos a Reglas de Operación"/>
    <x v="62"/>
    <x v="246"/>
    <x v="173"/>
    <x v="322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426169"/>
    <n v="0"/>
    <n v="0"/>
    <n v="426169"/>
    <m/>
    <m/>
    <x v="1"/>
    <n v="0"/>
  </r>
  <r>
    <x v="1"/>
    <x v="11"/>
    <x v="11"/>
    <x v="11"/>
    <s v="Sujetos a Reglas de Operación"/>
    <x v="62"/>
    <x v="246"/>
    <x v="173"/>
    <x v="322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80273831"/>
    <n v="0"/>
    <n v="0"/>
    <n v="80273831"/>
    <n v="57255000"/>
    <m/>
    <x v="1"/>
    <n v="57255000"/>
  </r>
  <r>
    <x v="1"/>
    <x v="11"/>
    <x v="11"/>
    <x v="11"/>
    <s v="Sujetos a Reglas de Operación"/>
    <x v="62"/>
    <x v="246"/>
    <x v="174"/>
    <x v="323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99280"/>
    <n v="0"/>
    <n v="0"/>
    <n v="99280"/>
    <m/>
    <m/>
    <x v="1"/>
    <n v="0"/>
  </r>
  <r>
    <x v="1"/>
    <x v="11"/>
    <x v="11"/>
    <x v="11"/>
    <s v="Sujetos a Reglas de Operación"/>
    <x v="62"/>
    <x v="246"/>
    <x v="174"/>
    <x v="323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18700720"/>
    <n v="0"/>
    <n v="0"/>
    <n v="18700720"/>
    <n v="13300000"/>
    <m/>
    <x v="1"/>
    <n v="13300000"/>
  </r>
  <r>
    <x v="1"/>
    <x v="11"/>
    <x v="11"/>
    <x v="11"/>
    <s v="Sujetos a Reglas de Operación"/>
    <x v="62"/>
    <x v="246"/>
    <x v="155"/>
    <x v="304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69515"/>
    <n v="0"/>
    <n v="0"/>
    <n v="169515"/>
    <m/>
    <m/>
    <x v="1"/>
    <n v="0"/>
  </r>
  <r>
    <x v="1"/>
    <x v="11"/>
    <x v="11"/>
    <x v="11"/>
    <s v="Sujetos a Reglas de Operación"/>
    <x v="62"/>
    <x v="246"/>
    <x v="155"/>
    <x v="304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1930485"/>
    <n v="0"/>
    <n v="0"/>
    <n v="31930485"/>
    <n v="22800000"/>
    <m/>
    <x v="1"/>
    <n v="22800000"/>
  </r>
  <r>
    <x v="1"/>
    <x v="11"/>
    <x v="11"/>
    <x v="11"/>
    <s v="Sujetos a Reglas de Operación"/>
    <x v="62"/>
    <x v="246"/>
    <x v="175"/>
    <x v="324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228134"/>
    <n v="63370"/>
    <n v="0"/>
    <n v="291504"/>
    <m/>
    <m/>
    <x v="1"/>
    <n v="0"/>
  </r>
  <r>
    <x v="1"/>
    <x v="11"/>
    <x v="11"/>
    <x v="11"/>
    <s v="Sujetos a Reglas de Operación"/>
    <x v="62"/>
    <x v="246"/>
    <x v="175"/>
    <x v="324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2971866"/>
    <n v="6736630"/>
    <n v="0"/>
    <n v="49708496"/>
    <n v="35500000"/>
    <m/>
    <x v="1"/>
    <n v="35500000"/>
  </r>
  <r>
    <x v="1"/>
    <x v="11"/>
    <x v="11"/>
    <x v="11"/>
    <s v="Sujetos a Reglas de Operación"/>
    <x v="62"/>
    <x v="246"/>
    <x v="176"/>
    <x v="325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241336"/>
    <n v="0"/>
    <n v="0"/>
    <n v="241336"/>
    <m/>
    <m/>
    <x v="1"/>
    <n v="0"/>
  </r>
  <r>
    <x v="1"/>
    <x v="11"/>
    <x v="11"/>
    <x v="11"/>
    <s v="Sujetos a Reglas de Operación"/>
    <x v="62"/>
    <x v="246"/>
    <x v="176"/>
    <x v="325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5458664"/>
    <n v="0"/>
    <n v="0"/>
    <n v="45458664"/>
    <n v="32400000"/>
    <m/>
    <x v="1"/>
    <n v="32400000"/>
  </r>
  <r>
    <x v="1"/>
    <x v="11"/>
    <x v="11"/>
    <x v="11"/>
    <s v="Sujetos a Reglas de Operación"/>
    <x v="62"/>
    <x v="246"/>
    <x v="156"/>
    <x v="305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233415"/>
    <n v="0"/>
    <n v="0"/>
    <n v="233415"/>
    <m/>
    <m/>
    <x v="1"/>
    <n v="0"/>
  </r>
  <r>
    <x v="1"/>
    <x v="11"/>
    <x v="11"/>
    <x v="11"/>
    <s v="Sujetos a Reglas de Operación"/>
    <x v="62"/>
    <x v="246"/>
    <x v="156"/>
    <x v="305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3966585"/>
    <n v="0"/>
    <n v="0"/>
    <n v="43966585"/>
    <n v="31300000"/>
    <m/>
    <x v="1"/>
    <n v="31300000"/>
  </r>
  <r>
    <x v="1"/>
    <x v="11"/>
    <x v="11"/>
    <x v="11"/>
    <s v="Sujetos a Reglas de Operación"/>
    <x v="62"/>
    <x v="246"/>
    <x v="177"/>
    <x v="326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233943"/>
    <n v="0"/>
    <n v="0"/>
    <n v="233943"/>
    <m/>
    <m/>
    <x v="1"/>
    <n v="0"/>
  </r>
  <r>
    <x v="1"/>
    <x v="11"/>
    <x v="11"/>
    <x v="11"/>
    <s v="Sujetos a Reglas de Operación"/>
    <x v="62"/>
    <x v="246"/>
    <x v="177"/>
    <x v="326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4066057"/>
    <n v="0"/>
    <n v="0"/>
    <n v="44066057"/>
    <n v="31300000"/>
    <m/>
    <x v="1"/>
    <n v="31300000"/>
  </r>
  <r>
    <x v="1"/>
    <x v="11"/>
    <x v="11"/>
    <x v="11"/>
    <s v="Sujetos a Reglas de Operación"/>
    <x v="62"/>
    <x v="246"/>
    <x v="157"/>
    <x v="306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228662"/>
    <n v="0"/>
    <n v="0"/>
    <n v="228662"/>
    <m/>
    <m/>
    <x v="1"/>
    <n v="0"/>
  </r>
  <r>
    <x v="1"/>
    <x v="11"/>
    <x v="11"/>
    <x v="11"/>
    <s v="Sujetos a Reglas de Operación"/>
    <x v="62"/>
    <x v="246"/>
    <x v="157"/>
    <x v="306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3071338"/>
    <n v="0"/>
    <n v="0"/>
    <n v="43071338"/>
    <n v="30700308"/>
    <m/>
    <x v="1"/>
    <n v="30700308"/>
  </r>
  <r>
    <x v="1"/>
    <x v="11"/>
    <x v="11"/>
    <x v="11"/>
    <s v="Sujetos a Reglas de Operación"/>
    <x v="62"/>
    <x v="246"/>
    <x v="178"/>
    <x v="327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16179"/>
    <n v="0"/>
    <n v="0"/>
    <n v="116179"/>
    <m/>
    <m/>
    <x v="1"/>
    <n v="0"/>
  </r>
  <r>
    <x v="1"/>
    <x v="11"/>
    <x v="11"/>
    <x v="11"/>
    <s v="Sujetos a Reglas de Operación"/>
    <x v="62"/>
    <x v="246"/>
    <x v="178"/>
    <x v="327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21883821"/>
    <n v="0"/>
    <n v="0"/>
    <n v="21883821"/>
    <n v="15600000"/>
    <m/>
    <x v="1"/>
    <n v="15600000"/>
  </r>
  <r>
    <x v="1"/>
    <x v="11"/>
    <x v="11"/>
    <x v="11"/>
    <s v="Sujetos a Reglas de Operación"/>
    <x v="62"/>
    <x v="246"/>
    <x v="158"/>
    <x v="307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445704"/>
    <n v="-76044"/>
    <n v="0"/>
    <n v="369660"/>
    <m/>
    <m/>
    <x v="1"/>
    <n v="0"/>
  </r>
  <r>
    <x v="1"/>
    <x v="11"/>
    <x v="11"/>
    <x v="11"/>
    <s v="Sujetos a Reglas de Operación"/>
    <x v="62"/>
    <x v="246"/>
    <x v="158"/>
    <x v="307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83954296"/>
    <n v="-14323956"/>
    <n v="0"/>
    <n v="69630340"/>
    <n v="49600000"/>
    <m/>
    <x v="1"/>
    <n v="49600000"/>
  </r>
  <r>
    <x v="1"/>
    <x v="11"/>
    <x v="11"/>
    <x v="11"/>
    <s v="Sujetos a Reglas de Operación"/>
    <x v="62"/>
    <x v="246"/>
    <x v="159"/>
    <x v="308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233942"/>
    <n v="0"/>
    <n v="0"/>
    <n v="233942"/>
    <m/>
    <m/>
    <x v="1"/>
    <n v="0"/>
  </r>
  <r>
    <x v="1"/>
    <x v="11"/>
    <x v="11"/>
    <x v="11"/>
    <s v="Sujetos a Reglas de Operación"/>
    <x v="62"/>
    <x v="246"/>
    <x v="159"/>
    <x v="308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44066058"/>
    <n v="0"/>
    <n v="0"/>
    <n v="44066058"/>
    <n v="31300000"/>
    <m/>
    <x v="1"/>
    <n v="31300000"/>
  </r>
  <r>
    <x v="1"/>
    <x v="11"/>
    <x v="11"/>
    <x v="11"/>
    <s v="Sujetos a Reglas de Operación"/>
    <x v="62"/>
    <x v="246"/>
    <x v="179"/>
    <x v="328"/>
    <n v="3"/>
    <s v="Desarrollo Económico"/>
    <n v="1"/>
    <s v="Comunicaciones y Transportes"/>
    <n v="1"/>
    <x v="37"/>
    <x v="6"/>
    <x v="75"/>
    <n v="2"/>
    <s v="Gasto de capital"/>
    <x v="0"/>
    <x v="1"/>
    <x v="1"/>
    <x v="0"/>
    <x v="1"/>
    <x v="0"/>
    <x v="0"/>
    <m/>
    <x v="0"/>
    <x v="0"/>
    <m/>
    <n v="193807"/>
    <n v="76044"/>
    <n v="0"/>
    <n v="269851"/>
    <m/>
    <m/>
    <x v="1"/>
    <n v="0"/>
  </r>
  <r>
    <x v="1"/>
    <x v="11"/>
    <x v="11"/>
    <x v="11"/>
    <s v="Sujetos a Reglas de Operación"/>
    <x v="62"/>
    <x v="246"/>
    <x v="179"/>
    <x v="328"/>
    <n v="3"/>
    <s v="Desarrollo Económico"/>
    <n v="1"/>
    <s v="Comunicaciones y Transportes"/>
    <n v="1"/>
    <x v="37"/>
    <x v="6"/>
    <x v="75"/>
    <n v="2"/>
    <s v="Gasto de capital"/>
    <x v="0"/>
    <x v="0"/>
    <x v="1"/>
    <x v="0"/>
    <x v="1"/>
    <x v="0"/>
    <x v="0"/>
    <m/>
    <x v="0"/>
    <x v="0"/>
    <m/>
    <n v="36506193"/>
    <n v="14223956"/>
    <n v="0"/>
    <n v="50730149"/>
    <n v="32700002"/>
    <m/>
    <x v="1"/>
    <n v="32700002"/>
  </r>
  <r>
    <x v="1"/>
    <x v="11"/>
    <x v="11"/>
    <x v="7"/>
    <s v="Otros Subsidios"/>
    <x v="2"/>
    <x v="247"/>
    <x v="54"/>
    <x v="330"/>
    <n v="3"/>
    <s v="Desarrollo Económico"/>
    <n v="1"/>
    <s v="Comunicaciones y Transportes"/>
    <n v="4"/>
    <x v="40"/>
    <x v="11"/>
    <x v="71"/>
    <n v="1"/>
    <s v="Gasto corriente"/>
    <x v="0"/>
    <x v="0"/>
    <x v="0"/>
    <x v="0"/>
    <x v="0"/>
    <x v="0"/>
    <x v="0"/>
    <m/>
    <x v="0"/>
    <x v="0"/>
    <m/>
    <n v="15000000"/>
    <n v="0"/>
    <n v="0"/>
    <n v="15000000"/>
    <n v="11000000"/>
    <m/>
    <x v="1"/>
    <n v="11000000"/>
  </r>
  <r>
    <x v="1"/>
    <x v="12"/>
    <x v="12"/>
    <x v="8"/>
    <s v="Provisión de Bienes Públicos"/>
    <x v="3"/>
    <x v="248"/>
    <x v="188"/>
    <x v="357"/>
    <n v="3"/>
    <s v="Desarrollo Económico"/>
    <n v="4"/>
    <s v="Temas Empresariales"/>
    <n v="4"/>
    <x v="14"/>
    <x v="15"/>
    <x v="76"/>
    <n v="1"/>
    <s v="Gasto corriente"/>
    <x v="0"/>
    <x v="1"/>
    <x v="0"/>
    <x v="0"/>
    <x v="0"/>
    <x v="0"/>
    <x v="0"/>
    <m/>
    <x v="0"/>
    <x v="0"/>
    <m/>
    <n v="12434846"/>
    <n v="0"/>
    <n v="0"/>
    <n v="12434846"/>
    <n v="18537639"/>
    <m/>
    <x v="1"/>
    <n v="18537639"/>
  </r>
  <r>
    <x v="1"/>
    <x v="12"/>
    <x v="12"/>
    <x v="8"/>
    <s v="Provisión de Bienes Públicos"/>
    <x v="3"/>
    <x v="248"/>
    <x v="188"/>
    <x v="357"/>
    <n v="3"/>
    <s v="Desarrollo Económico"/>
    <n v="4"/>
    <s v="Temas Empresariales"/>
    <n v="4"/>
    <x v="14"/>
    <x v="15"/>
    <x v="76"/>
    <n v="1"/>
    <s v="Gasto corriente"/>
    <x v="0"/>
    <x v="0"/>
    <x v="0"/>
    <x v="0"/>
    <x v="0"/>
    <x v="0"/>
    <x v="0"/>
    <m/>
    <x v="0"/>
    <x v="0"/>
    <m/>
    <n v="322994590"/>
    <n v="0"/>
    <n v="-3237794"/>
    <n v="319756796"/>
    <n v="295371416"/>
    <m/>
    <x v="1"/>
    <n v="295371416"/>
  </r>
  <r>
    <x v="1"/>
    <x v="12"/>
    <x v="12"/>
    <x v="8"/>
    <s v="Provisión de Bienes Públicos"/>
    <x v="3"/>
    <x v="248"/>
    <x v="188"/>
    <x v="357"/>
    <n v="3"/>
    <s v="Desarrollo Económico"/>
    <n v="4"/>
    <s v="Temas Empresariales"/>
    <n v="4"/>
    <x v="14"/>
    <x v="15"/>
    <x v="76"/>
    <n v="2"/>
    <s v="Gasto de capital"/>
    <x v="0"/>
    <x v="0"/>
    <x v="0"/>
    <x v="0"/>
    <x v="0"/>
    <x v="0"/>
    <x v="0"/>
    <m/>
    <x v="0"/>
    <x v="0"/>
    <m/>
    <n v="17437082"/>
    <n v="0"/>
    <n v="-1180491"/>
    <n v="16256591"/>
    <m/>
    <m/>
    <x v="1"/>
    <n v="0"/>
  </r>
  <r>
    <x v="1"/>
    <x v="12"/>
    <x v="12"/>
    <x v="4"/>
    <s v="Prestación de Servicios Públicos"/>
    <x v="6"/>
    <x v="249"/>
    <x v="188"/>
    <x v="357"/>
    <n v="3"/>
    <s v="Desarrollo Económico"/>
    <n v="4"/>
    <s v="Temas Empresariales"/>
    <n v="4"/>
    <x v="14"/>
    <x v="15"/>
    <x v="76"/>
    <n v="1"/>
    <s v="Gasto corriente"/>
    <x v="0"/>
    <x v="1"/>
    <x v="0"/>
    <x v="0"/>
    <x v="0"/>
    <x v="0"/>
    <x v="0"/>
    <m/>
    <x v="0"/>
    <x v="0"/>
    <m/>
    <n v="14496574"/>
    <n v="0"/>
    <n v="0"/>
    <n v="14496574"/>
    <n v="15333944"/>
    <m/>
    <x v="1"/>
    <n v="15333944"/>
  </r>
  <r>
    <x v="1"/>
    <x v="12"/>
    <x v="12"/>
    <x v="4"/>
    <s v="Prestación de Servicios Públicos"/>
    <x v="6"/>
    <x v="249"/>
    <x v="188"/>
    <x v="357"/>
    <n v="3"/>
    <s v="Desarrollo Económico"/>
    <n v="4"/>
    <s v="Temas Empresariales"/>
    <n v="4"/>
    <x v="14"/>
    <x v="15"/>
    <x v="76"/>
    <n v="1"/>
    <s v="Gasto corriente"/>
    <x v="0"/>
    <x v="0"/>
    <x v="0"/>
    <x v="0"/>
    <x v="0"/>
    <x v="0"/>
    <x v="0"/>
    <m/>
    <x v="0"/>
    <x v="0"/>
    <m/>
    <n v="187877193"/>
    <n v="0"/>
    <n v="-8642340"/>
    <n v="179234853"/>
    <n v="185352058"/>
    <m/>
    <x v="1"/>
    <n v="185352058"/>
  </r>
  <r>
    <x v="1"/>
    <x v="12"/>
    <x v="12"/>
    <x v="4"/>
    <s v="Prestación de Servicios Públicos"/>
    <x v="7"/>
    <x v="250"/>
    <x v="189"/>
    <x v="358"/>
    <n v="3"/>
    <s v="Desarrollo Económico"/>
    <n v="4"/>
    <s v="Temas Empresariales"/>
    <n v="2"/>
    <x v="43"/>
    <x v="9"/>
    <x v="77"/>
    <n v="1"/>
    <s v="Gasto corriente"/>
    <x v="0"/>
    <x v="1"/>
    <x v="0"/>
    <x v="1"/>
    <x v="0"/>
    <x v="0"/>
    <x v="0"/>
    <m/>
    <x v="0"/>
    <x v="0"/>
    <m/>
    <n v="4975603"/>
    <n v="0"/>
    <n v="0"/>
    <n v="4975603"/>
    <n v="4238554"/>
    <m/>
    <x v="1"/>
    <n v="4238554"/>
  </r>
  <r>
    <x v="1"/>
    <x v="12"/>
    <x v="12"/>
    <x v="4"/>
    <s v="Prestación de Servicios Públicos"/>
    <x v="7"/>
    <x v="250"/>
    <x v="189"/>
    <x v="358"/>
    <n v="3"/>
    <s v="Desarrollo Económico"/>
    <n v="4"/>
    <s v="Temas Empresariales"/>
    <n v="2"/>
    <x v="43"/>
    <x v="9"/>
    <x v="77"/>
    <n v="1"/>
    <s v="Gasto corriente"/>
    <x v="0"/>
    <x v="0"/>
    <x v="0"/>
    <x v="1"/>
    <x v="0"/>
    <x v="0"/>
    <x v="0"/>
    <m/>
    <x v="0"/>
    <x v="0"/>
    <m/>
    <n v="131313335"/>
    <n v="0"/>
    <n v="-5072163"/>
    <n v="126241172"/>
    <n v="125956695"/>
    <m/>
    <x v="1"/>
    <n v="125956695"/>
  </r>
  <r>
    <x v="1"/>
    <x v="12"/>
    <x v="12"/>
    <x v="4"/>
    <s v="Prestación de Servicios Públicos"/>
    <x v="7"/>
    <x v="250"/>
    <x v="189"/>
    <x v="358"/>
    <n v="3"/>
    <s v="Desarrollo Económico"/>
    <n v="4"/>
    <s v="Temas Empresariales"/>
    <n v="2"/>
    <x v="43"/>
    <x v="9"/>
    <x v="77"/>
    <n v="2"/>
    <s v="Gasto de capital"/>
    <x v="0"/>
    <x v="0"/>
    <x v="0"/>
    <x v="1"/>
    <x v="0"/>
    <x v="0"/>
    <x v="0"/>
    <m/>
    <x v="0"/>
    <x v="0"/>
    <m/>
    <n v="152548180"/>
    <n v="0"/>
    <n v="-10324502"/>
    <n v="142223678"/>
    <n v="2378678"/>
    <m/>
    <x v="1"/>
    <n v="2378678"/>
  </r>
  <r>
    <x v="1"/>
    <x v="12"/>
    <x v="12"/>
    <x v="4"/>
    <s v="Prestación de Servicios Públicos"/>
    <x v="8"/>
    <x v="251"/>
    <x v="190"/>
    <x v="359"/>
    <n v="3"/>
    <s v="Desarrollo Económico"/>
    <n v="4"/>
    <s v="Temas Empresariales"/>
    <n v="4"/>
    <x v="14"/>
    <x v="10"/>
    <x v="78"/>
    <n v="1"/>
    <s v="Gasto corriente"/>
    <x v="0"/>
    <x v="1"/>
    <x v="0"/>
    <x v="1"/>
    <x v="0"/>
    <x v="0"/>
    <x v="0"/>
    <m/>
    <x v="0"/>
    <x v="0"/>
    <m/>
    <n v="10782703"/>
    <n v="0"/>
    <n v="0"/>
    <n v="10782703"/>
    <n v="12434038"/>
    <m/>
    <x v="1"/>
    <n v="12434038"/>
  </r>
  <r>
    <x v="1"/>
    <x v="12"/>
    <x v="12"/>
    <x v="4"/>
    <s v="Prestación de Servicios Públicos"/>
    <x v="8"/>
    <x v="251"/>
    <x v="190"/>
    <x v="359"/>
    <n v="3"/>
    <s v="Desarrollo Económico"/>
    <n v="4"/>
    <s v="Temas Empresariales"/>
    <n v="4"/>
    <x v="14"/>
    <x v="10"/>
    <x v="78"/>
    <n v="1"/>
    <s v="Gasto corriente"/>
    <x v="0"/>
    <x v="0"/>
    <x v="0"/>
    <x v="1"/>
    <x v="0"/>
    <x v="0"/>
    <x v="0"/>
    <m/>
    <x v="0"/>
    <x v="0"/>
    <m/>
    <n v="166043151"/>
    <n v="0"/>
    <n v="-6592233"/>
    <n v="159450918"/>
    <n v="152838483"/>
    <m/>
    <x v="1"/>
    <n v="152838483"/>
  </r>
  <r>
    <x v="1"/>
    <x v="12"/>
    <x v="12"/>
    <x v="4"/>
    <s v="Prestación de Servicios Públicos"/>
    <x v="10"/>
    <x v="252"/>
    <x v="191"/>
    <x v="360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025697"/>
    <n v="0"/>
    <n v="0"/>
    <n v="1025697"/>
    <n v="968388"/>
    <m/>
    <x v="1"/>
    <n v="968388"/>
  </r>
  <r>
    <x v="1"/>
    <x v="12"/>
    <x v="12"/>
    <x v="4"/>
    <s v="Prestación de Servicios Públicos"/>
    <x v="10"/>
    <x v="252"/>
    <x v="191"/>
    <x v="360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41340567"/>
    <n v="0"/>
    <n v="-2740685"/>
    <n v="38599882"/>
    <n v="24279614"/>
    <m/>
    <x v="1"/>
    <n v="24279614"/>
  </r>
  <r>
    <x v="1"/>
    <x v="12"/>
    <x v="12"/>
    <x v="4"/>
    <s v="Prestación de Servicios Públicos"/>
    <x v="10"/>
    <x v="252"/>
    <x v="191"/>
    <x v="360"/>
    <n v="3"/>
    <s v="Desarrollo Económico"/>
    <n v="4"/>
    <s v="Temas Empresariales"/>
    <n v="1"/>
    <x v="44"/>
    <x v="1"/>
    <x v="79"/>
    <n v="2"/>
    <s v="Gasto de capital"/>
    <x v="0"/>
    <x v="0"/>
    <x v="0"/>
    <x v="0"/>
    <x v="0"/>
    <x v="0"/>
    <x v="0"/>
    <m/>
    <x v="0"/>
    <x v="0"/>
    <m/>
    <n v="33172270"/>
    <n v="0"/>
    <n v="-506495"/>
    <n v="32665775"/>
    <m/>
    <m/>
    <x v="1"/>
    <n v="0"/>
  </r>
  <r>
    <x v="1"/>
    <x v="12"/>
    <x v="12"/>
    <x v="4"/>
    <s v="Prestación de Servicios Públicos"/>
    <x v="10"/>
    <x v="252"/>
    <x v="192"/>
    <x v="226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91638"/>
    <n v="0"/>
    <n v="0"/>
    <n v="391638"/>
    <n v="449193"/>
    <m/>
    <x v="1"/>
    <n v="449193"/>
  </r>
  <r>
    <x v="1"/>
    <x v="12"/>
    <x v="12"/>
    <x v="4"/>
    <s v="Prestación de Servicios Públicos"/>
    <x v="10"/>
    <x v="252"/>
    <x v="192"/>
    <x v="226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6536786"/>
    <n v="0"/>
    <n v="-221779"/>
    <n v="6315007"/>
    <n v="5881106"/>
    <m/>
    <x v="1"/>
    <n v="5881106"/>
  </r>
  <r>
    <x v="1"/>
    <x v="12"/>
    <x v="12"/>
    <x v="4"/>
    <s v="Prestación de Servicios Públicos"/>
    <x v="10"/>
    <x v="252"/>
    <x v="193"/>
    <x v="227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23045"/>
    <n v="0"/>
    <n v="0"/>
    <n v="223045"/>
    <n v="257975"/>
    <m/>
    <x v="1"/>
    <n v="257975"/>
  </r>
  <r>
    <x v="1"/>
    <x v="12"/>
    <x v="12"/>
    <x v="4"/>
    <s v="Prestación de Servicios Públicos"/>
    <x v="10"/>
    <x v="252"/>
    <x v="193"/>
    <x v="227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014161"/>
    <n v="0"/>
    <n v="-187038"/>
    <n v="4827123"/>
    <n v="4568429"/>
    <m/>
    <x v="1"/>
    <n v="4568429"/>
  </r>
  <r>
    <x v="1"/>
    <x v="12"/>
    <x v="12"/>
    <x v="4"/>
    <s v="Prestación de Servicios Públicos"/>
    <x v="10"/>
    <x v="252"/>
    <x v="194"/>
    <x v="228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96151"/>
    <n v="0"/>
    <n v="0"/>
    <n v="296151"/>
    <n v="312023"/>
    <m/>
    <x v="1"/>
    <n v="312023"/>
  </r>
  <r>
    <x v="1"/>
    <x v="12"/>
    <x v="12"/>
    <x v="4"/>
    <s v="Prestación de Servicios Públicos"/>
    <x v="10"/>
    <x v="252"/>
    <x v="194"/>
    <x v="228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901394"/>
    <n v="0"/>
    <n v="-164169"/>
    <n v="5737225"/>
    <n v="4965484"/>
    <m/>
    <x v="1"/>
    <n v="4965484"/>
  </r>
  <r>
    <x v="1"/>
    <x v="12"/>
    <x v="12"/>
    <x v="4"/>
    <s v="Prestación de Servicios Públicos"/>
    <x v="10"/>
    <x v="252"/>
    <x v="195"/>
    <x v="229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06222"/>
    <n v="0"/>
    <n v="0"/>
    <n v="206222"/>
    <n v="257542"/>
    <m/>
    <x v="1"/>
    <n v="257542"/>
  </r>
  <r>
    <x v="1"/>
    <x v="12"/>
    <x v="12"/>
    <x v="4"/>
    <s v="Prestación de Servicios Públicos"/>
    <x v="10"/>
    <x v="252"/>
    <x v="195"/>
    <x v="229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4240446"/>
    <n v="0"/>
    <n v="-138581"/>
    <n v="4101865"/>
    <n v="4053774"/>
    <m/>
    <x v="1"/>
    <n v="4053774"/>
  </r>
  <r>
    <x v="1"/>
    <x v="12"/>
    <x v="12"/>
    <x v="4"/>
    <s v="Prestación de Servicios Públicos"/>
    <x v="10"/>
    <x v="252"/>
    <x v="196"/>
    <x v="230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421513"/>
    <n v="0"/>
    <n v="0"/>
    <n v="421513"/>
    <n v="468026"/>
    <m/>
    <x v="1"/>
    <n v="468026"/>
  </r>
  <r>
    <x v="1"/>
    <x v="12"/>
    <x v="12"/>
    <x v="4"/>
    <s v="Prestación de Servicios Públicos"/>
    <x v="10"/>
    <x v="252"/>
    <x v="196"/>
    <x v="230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7652694"/>
    <n v="0"/>
    <n v="-211890"/>
    <n v="7440804"/>
    <n v="7142630"/>
    <m/>
    <x v="1"/>
    <n v="7142630"/>
  </r>
  <r>
    <x v="1"/>
    <x v="12"/>
    <x v="12"/>
    <x v="4"/>
    <s v="Prestación de Servicios Públicos"/>
    <x v="10"/>
    <x v="252"/>
    <x v="197"/>
    <x v="231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76123"/>
    <n v="0"/>
    <n v="0"/>
    <n v="276123"/>
    <n v="343720"/>
    <m/>
    <x v="1"/>
    <n v="343720"/>
  </r>
  <r>
    <x v="1"/>
    <x v="12"/>
    <x v="12"/>
    <x v="4"/>
    <s v="Prestación de Servicios Públicos"/>
    <x v="10"/>
    <x v="252"/>
    <x v="197"/>
    <x v="231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104481"/>
    <n v="0"/>
    <n v="-146315"/>
    <n v="4958166"/>
    <n v="5035380"/>
    <m/>
    <x v="1"/>
    <n v="5035380"/>
  </r>
  <r>
    <x v="1"/>
    <x v="12"/>
    <x v="12"/>
    <x v="4"/>
    <s v="Prestación de Servicios Públicos"/>
    <x v="10"/>
    <x v="252"/>
    <x v="198"/>
    <x v="232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21574"/>
    <n v="0"/>
    <n v="0"/>
    <n v="321574"/>
    <n v="398984"/>
    <m/>
    <x v="1"/>
    <n v="398984"/>
  </r>
  <r>
    <x v="1"/>
    <x v="12"/>
    <x v="12"/>
    <x v="4"/>
    <s v="Prestación de Servicios Públicos"/>
    <x v="10"/>
    <x v="252"/>
    <x v="198"/>
    <x v="232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654845"/>
    <n v="0"/>
    <n v="-168567"/>
    <n v="5486278"/>
    <n v="5361350"/>
    <m/>
    <x v="1"/>
    <n v="5361350"/>
  </r>
  <r>
    <x v="1"/>
    <x v="12"/>
    <x v="12"/>
    <x v="4"/>
    <s v="Prestación de Servicios Públicos"/>
    <x v="10"/>
    <x v="252"/>
    <x v="199"/>
    <x v="233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51401"/>
    <n v="0"/>
    <n v="0"/>
    <n v="351401"/>
    <n v="383932"/>
    <m/>
    <x v="1"/>
    <n v="383932"/>
  </r>
  <r>
    <x v="1"/>
    <x v="12"/>
    <x v="12"/>
    <x v="4"/>
    <s v="Prestación de Servicios Públicos"/>
    <x v="10"/>
    <x v="252"/>
    <x v="199"/>
    <x v="233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7220073"/>
    <n v="0"/>
    <n v="-206740"/>
    <n v="7013333"/>
    <n v="6830937"/>
    <m/>
    <x v="1"/>
    <n v="6830937"/>
  </r>
  <r>
    <x v="1"/>
    <x v="12"/>
    <x v="12"/>
    <x v="4"/>
    <s v="Prestación de Servicios Públicos"/>
    <x v="10"/>
    <x v="252"/>
    <x v="200"/>
    <x v="361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917552"/>
    <n v="0"/>
    <n v="0"/>
    <n v="917552"/>
    <n v="1143671"/>
    <m/>
    <x v="1"/>
    <n v="1143671"/>
  </r>
  <r>
    <x v="1"/>
    <x v="12"/>
    <x v="12"/>
    <x v="4"/>
    <s v="Prestación de Servicios Públicos"/>
    <x v="10"/>
    <x v="252"/>
    <x v="200"/>
    <x v="361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10847426"/>
    <n v="0"/>
    <n v="-373226"/>
    <n v="10474200"/>
    <n v="10590916"/>
    <m/>
    <x v="1"/>
    <n v="10590916"/>
  </r>
  <r>
    <x v="1"/>
    <x v="12"/>
    <x v="12"/>
    <x v="4"/>
    <s v="Prestación de Servicios Públicos"/>
    <x v="10"/>
    <x v="252"/>
    <x v="201"/>
    <x v="234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16125"/>
    <n v="0"/>
    <n v="0"/>
    <n v="316125"/>
    <n v="375652"/>
    <m/>
    <x v="1"/>
    <n v="375652"/>
  </r>
  <r>
    <x v="1"/>
    <x v="12"/>
    <x v="12"/>
    <x v="4"/>
    <s v="Prestación de Servicios Públicos"/>
    <x v="10"/>
    <x v="252"/>
    <x v="201"/>
    <x v="234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529446"/>
    <n v="0"/>
    <n v="-172707"/>
    <n v="5356739"/>
    <n v="5714973"/>
    <m/>
    <x v="1"/>
    <n v="5714973"/>
  </r>
  <r>
    <x v="1"/>
    <x v="12"/>
    <x v="12"/>
    <x v="4"/>
    <s v="Prestación de Servicios Públicos"/>
    <x v="10"/>
    <x v="252"/>
    <x v="202"/>
    <x v="235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60903"/>
    <n v="0"/>
    <n v="0"/>
    <n v="260903"/>
    <n v="324607"/>
    <m/>
    <x v="1"/>
    <n v="324607"/>
  </r>
  <r>
    <x v="1"/>
    <x v="12"/>
    <x v="12"/>
    <x v="4"/>
    <s v="Prestación de Servicios Públicos"/>
    <x v="10"/>
    <x v="252"/>
    <x v="202"/>
    <x v="235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167652"/>
    <n v="0"/>
    <n v="-135240"/>
    <n v="5032412"/>
    <n v="5210060"/>
    <m/>
    <x v="1"/>
    <n v="5210060"/>
  </r>
  <r>
    <x v="1"/>
    <x v="12"/>
    <x v="12"/>
    <x v="4"/>
    <s v="Prestación de Servicios Públicos"/>
    <x v="10"/>
    <x v="252"/>
    <x v="203"/>
    <x v="236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64396"/>
    <n v="0"/>
    <n v="0"/>
    <n v="264396"/>
    <n v="329290"/>
    <m/>
    <x v="1"/>
    <n v="329290"/>
  </r>
  <r>
    <x v="1"/>
    <x v="12"/>
    <x v="12"/>
    <x v="4"/>
    <s v="Prestación de Servicios Públicos"/>
    <x v="10"/>
    <x v="252"/>
    <x v="203"/>
    <x v="236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103952"/>
    <n v="0"/>
    <n v="-131662"/>
    <n v="4972290"/>
    <n v="5095331"/>
    <m/>
    <x v="1"/>
    <n v="5095331"/>
  </r>
  <r>
    <x v="1"/>
    <x v="12"/>
    <x v="12"/>
    <x v="4"/>
    <s v="Prestación de Servicios Públicos"/>
    <x v="10"/>
    <x v="252"/>
    <x v="204"/>
    <x v="237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99629"/>
    <n v="0"/>
    <n v="0"/>
    <n v="299629"/>
    <n v="405420"/>
    <m/>
    <x v="1"/>
    <n v="405420"/>
  </r>
  <r>
    <x v="1"/>
    <x v="12"/>
    <x v="12"/>
    <x v="4"/>
    <s v="Prestación de Servicios Públicos"/>
    <x v="10"/>
    <x v="252"/>
    <x v="204"/>
    <x v="237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4898851"/>
    <n v="0"/>
    <n v="-152193"/>
    <n v="4746658"/>
    <n v="5002141"/>
    <m/>
    <x v="1"/>
    <n v="5002141"/>
  </r>
  <r>
    <x v="1"/>
    <x v="12"/>
    <x v="12"/>
    <x v="4"/>
    <s v="Prestación de Servicios Públicos"/>
    <x v="10"/>
    <x v="252"/>
    <x v="205"/>
    <x v="238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561397"/>
    <n v="0"/>
    <n v="0"/>
    <n v="561397"/>
    <n v="677645"/>
    <m/>
    <x v="1"/>
    <n v="677645"/>
  </r>
  <r>
    <x v="1"/>
    <x v="12"/>
    <x v="12"/>
    <x v="4"/>
    <s v="Prestación de Servicios Públicos"/>
    <x v="10"/>
    <x v="252"/>
    <x v="205"/>
    <x v="238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9149187"/>
    <n v="0"/>
    <n v="-283367"/>
    <n v="8865820"/>
    <n v="9107699"/>
    <m/>
    <x v="1"/>
    <n v="9107699"/>
  </r>
  <r>
    <x v="1"/>
    <x v="12"/>
    <x v="12"/>
    <x v="4"/>
    <s v="Prestación de Servicios Públicos"/>
    <x v="10"/>
    <x v="252"/>
    <x v="206"/>
    <x v="362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405753"/>
    <n v="0"/>
    <n v="0"/>
    <n v="405753"/>
    <n v="468235"/>
    <m/>
    <x v="1"/>
    <n v="468235"/>
  </r>
  <r>
    <x v="1"/>
    <x v="12"/>
    <x v="12"/>
    <x v="4"/>
    <s v="Prestación de Servicios Públicos"/>
    <x v="10"/>
    <x v="252"/>
    <x v="206"/>
    <x v="362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7163877"/>
    <n v="0"/>
    <n v="-192974"/>
    <n v="6970903"/>
    <n v="6730584"/>
    <m/>
    <x v="1"/>
    <n v="6730584"/>
  </r>
  <r>
    <x v="1"/>
    <x v="12"/>
    <x v="12"/>
    <x v="4"/>
    <s v="Prestación de Servicios Públicos"/>
    <x v="10"/>
    <x v="252"/>
    <x v="207"/>
    <x v="240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486445"/>
    <n v="0"/>
    <n v="0"/>
    <n v="486445"/>
    <n v="584903"/>
    <m/>
    <x v="1"/>
    <n v="584903"/>
  </r>
  <r>
    <x v="1"/>
    <x v="12"/>
    <x v="12"/>
    <x v="4"/>
    <s v="Prestación de Servicios Públicos"/>
    <x v="10"/>
    <x v="252"/>
    <x v="207"/>
    <x v="240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7422949"/>
    <n v="0"/>
    <n v="-210374"/>
    <n v="7212575"/>
    <n v="7227340"/>
    <m/>
    <x v="1"/>
    <n v="7227340"/>
  </r>
  <r>
    <x v="1"/>
    <x v="12"/>
    <x v="12"/>
    <x v="4"/>
    <s v="Prestación de Servicios Públicos"/>
    <x v="10"/>
    <x v="252"/>
    <x v="208"/>
    <x v="241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54363"/>
    <n v="0"/>
    <n v="0"/>
    <n v="354363"/>
    <n v="438346"/>
    <m/>
    <x v="1"/>
    <n v="438346"/>
  </r>
  <r>
    <x v="1"/>
    <x v="12"/>
    <x v="12"/>
    <x v="4"/>
    <s v="Prestación de Servicios Públicos"/>
    <x v="10"/>
    <x v="252"/>
    <x v="208"/>
    <x v="241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244890"/>
    <n v="0"/>
    <n v="-161339"/>
    <n v="5083551"/>
    <n v="5161396"/>
    <m/>
    <x v="1"/>
    <n v="5161396"/>
  </r>
  <r>
    <x v="1"/>
    <x v="12"/>
    <x v="12"/>
    <x v="4"/>
    <s v="Prestación de Servicios Públicos"/>
    <x v="10"/>
    <x v="252"/>
    <x v="209"/>
    <x v="242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06200"/>
    <n v="0"/>
    <n v="0"/>
    <n v="206200"/>
    <n v="222733"/>
    <m/>
    <x v="1"/>
    <n v="222733"/>
  </r>
  <r>
    <x v="1"/>
    <x v="12"/>
    <x v="12"/>
    <x v="4"/>
    <s v="Prestación de Servicios Públicos"/>
    <x v="10"/>
    <x v="252"/>
    <x v="209"/>
    <x v="242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4384363"/>
    <n v="0"/>
    <n v="-126797"/>
    <n v="4257566"/>
    <n v="4126203"/>
    <m/>
    <x v="1"/>
    <n v="4126203"/>
  </r>
  <r>
    <x v="1"/>
    <x v="12"/>
    <x v="12"/>
    <x v="4"/>
    <s v="Prestación de Servicios Públicos"/>
    <x v="10"/>
    <x v="252"/>
    <x v="210"/>
    <x v="243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620024"/>
    <n v="0"/>
    <n v="0"/>
    <n v="620024"/>
    <n v="749071"/>
    <m/>
    <x v="1"/>
    <n v="749071"/>
  </r>
  <r>
    <x v="1"/>
    <x v="12"/>
    <x v="12"/>
    <x v="4"/>
    <s v="Prestación de Servicios Públicos"/>
    <x v="10"/>
    <x v="252"/>
    <x v="210"/>
    <x v="243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10395132"/>
    <n v="0"/>
    <n v="-288632"/>
    <n v="10106500"/>
    <n v="10025414"/>
    <m/>
    <x v="1"/>
    <n v="10025414"/>
  </r>
  <r>
    <x v="1"/>
    <x v="12"/>
    <x v="12"/>
    <x v="4"/>
    <s v="Prestación de Servicios Públicos"/>
    <x v="10"/>
    <x v="252"/>
    <x v="211"/>
    <x v="244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34244"/>
    <n v="0"/>
    <n v="0"/>
    <n v="334244"/>
    <n v="376533"/>
    <m/>
    <x v="1"/>
    <n v="376533"/>
  </r>
  <r>
    <x v="1"/>
    <x v="12"/>
    <x v="12"/>
    <x v="4"/>
    <s v="Prestación de Servicios Públicos"/>
    <x v="10"/>
    <x v="252"/>
    <x v="211"/>
    <x v="244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6434877"/>
    <n v="0"/>
    <n v="-189642"/>
    <n v="6245235"/>
    <n v="5730639"/>
    <m/>
    <x v="1"/>
    <n v="5730639"/>
  </r>
  <r>
    <x v="1"/>
    <x v="12"/>
    <x v="12"/>
    <x v="4"/>
    <s v="Prestación de Servicios Públicos"/>
    <x v="10"/>
    <x v="252"/>
    <x v="212"/>
    <x v="245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629194"/>
    <n v="0"/>
    <n v="0"/>
    <n v="629194"/>
    <n v="742820"/>
    <m/>
    <x v="1"/>
    <n v="742820"/>
  </r>
  <r>
    <x v="1"/>
    <x v="12"/>
    <x v="12"/>
    <x v="4"/>
    <s v="Prestación de Servicios Públicos"/>
    <x v="10"/>
    <x v="252"/>
    <x v="212"/>
    <x v="245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9762784"/>
    <n v="0"/>
    <n v="-263479"/>
    <n v="9499305"/>
    <n v="10100568"/>
    <m/>
    <x v="1"/>
    <n v="10100568"/>
  </r>
  <r>
    <x v="1"/>
    <x v="12"/>
    <x v="12"/>
    <x v="4"/>
    <s v="Prestación de Servicios Públicos"/>
    <x v="10"/>
    <x v="252"/>
    <x v="213"/>
    <x v="246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423011"/>
    <n v="0"/>
    <n v="0"/>
    <n v="423011"/>
    <n v="506467"/>
    <m/>
    <x v="1"/>
    <n v="506467"/>
  </r>
  <r>
    <x v="1"/>
    <x v="12"/>
    <x v="12"/>
    <x v="4"/>
    <s v="Prestación de Servicios Públicos"/>
    <x v="10"/>
    <x v="252"/>
    <x v="213"/>
    <x v="246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7447074"/>
    <n v="0"/>
    <n v="-215046"/>
    <n v="7232028"/>
    <n v="7372309"/>
    <m/>
    <x v="1"/>
    <n v="7372309"/>
  </r>
  <r>
    <x v="1"/>
    <x v="12"/>
    <x v="12"/>
    <x v="4"/>
    <s v="Prestación de Servicios Públicos"/>
    <x v="10"/>
    <x v="252"/>
    <x v="214"/>
    <x v="247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60592"/>
    <n v="0"/>
    <n v="0"/>
    <n v="160592"/>
    <n v="181482"/>
    <m/>
    <x v="1"/>
    <n v="181482"/>
  </r>
  <r>
    <x v="1"/>
    <x v="12"/>
    <x v="12"/>
    <x v="4"/>
    <s v="Prestación de Servicios Públicos"/>
    <x v="10"/>
    <x v="252"/>
    <x v="214"/>
    <x v="247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441082"/>
    <n v="0"/>
    <n v="-123864"/>
    <n v="3317218"/>
    <n v="2978674"/>
    <m/>
    <x v="1"/>
    <n v="2978674"/>
  </r>
  <r>
    <x v="1"/>
    <x v="12"/>
    <x v="12"/>
    <x v="4"/>
    <s v="Prestación de Servicios Públicos"/>
    <x v="10"/>
    <x v="252"/>
    <x v="215"/>
    <x v="248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08088"/>
    <n v="0"/>
    <n v="0"/>
    <n v="208088"/>
    <n v="261124"/>
    <m/>
    <x v="1"/>
    <n v="261124"/>
  </r>
  <r>
    <x v="1"/>
    <x v="12"/>
    <x v="12"/>
    <x v="4"/>
    <s v="Prestación de Servicios Públicos"/>
    <x v="10"/>
    <x v="252"/>
    <x v="215"/>
    <x v="248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174391"/>
    <n v="0"/>
    <n v="-135789"/>
    <n v="5038602"/>
    <n v="4944627"/>
    <m/>
    <x v="1"/>
    <n v="4944627"/>
  </r>
  <r>
    <x v="1"/>
    <x v="12"/>
    <x v="12"/>
    <x v="4"/>
    <s v="Prestación de Servicios Públicos"/>
    <x v="10"/>
    <x v="252"/>
    <x v="216"/>
    <x v="249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61765"/>
    <n v="0"/>
    <n v="0"/>
    <n v="361765"/>
    <n v="413854"/>
    <m/>
    <x v="1"/>
    <n v="413854"/>
  </r>
  <r>
    <x v="1"/>
    <x v="12"/>
    <x v="12"/>
    <x v="4"/>
    <s v="Prestación de Servicios Públicos"/>
    <x v="10"/>
    <x v="252"/>
    <x v="216"/>
    <x v="249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7158793"/>
    <n v="0"/>
    <n v="-197595"/>
    <n v="6961198"/>
    <n v="6373056"/>
    <m/>
    <x v="1"/>
    <n v="6373056"/>
  </r>
  <r>
    <x v="1"/>
    <x v="12"/>
    <x v="12"/>
    <x v="4"/>
    <s v="Prestación de Servicios Públicos"/>
    <x v="10"/>
    <x v="252"/>
    <x v="217"/>
    <x v="250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473800"/>
    <n v="0"/>
    <n v="0"/>
    <n v="473800"/>
    <n v="587787"/>
    <m/>
    <x v="1"/>
    <n v="587787"/>
  </r>
  <r>
    <x v="1"/>
    <x v="12"/>
    <x v="12"/>
    <x v="4"/>
    <s v="Prestación de Servicios Públicos"/>
    <x v="10"/>
    <x v="252"/>
    <x v="217"/>
    <x v="250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7916646"/>
    <n v="0"/>
    <n v="-242107"/>
    <n v="7674539"/>
    <n v="7878195"/>
    <m/>
    <x v="1"/>
    <n v="7878195"/>
  </r>
  <r>
    <x v="1"/>
    <x v="12"/>
    <x v="12"/>
    <x v="4"/>
    <s v="Prestación de Servicios Públicos"/>
    <x v="10"/>
    <x v="252"/>
    <x v="218"/>
    <x v="251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37405"/>
    <n v="0"/>
    <n v="0"/>
    <n v="237405"/>
    <n v="296767"/>
    <m/>
    <x v="1"/>
    <n v="296767"/>
  </r>
  <r>
    <x v="1"/>
    <x v="12"/>
    <x v="12"/>
    <x v="4"/>
    <s v="Prestación de Servicios Públicos"/>
    <x v="10"/>
    <x v="252"/>
    <x v="218"/>
    <x v="251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297510"/>
    <n v="0"/>
    <n v="-160915"/>
    <n v="5136595"/>
    <n v="5006040"/>
    <m/>
    <x v="1"/>
    <n v="5006040"/>
  </r>
  <r>
    <x v="1"/>
    <x v="12"/>
    <x v="12"/>
    <x v="4"/>
    <s v="Prestación de Servicios Públicos"/>
    <x v="10"/>
    <x v="252"/>
    <x v="219"/>
    <x v="252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59720"/>
    <n v="0"/>
    <n v="0"/>
    <n v="159720"/>
    <n v="162638"/>
    <m/>
    <x v="1"/>
    <n v="162638"/>
  </r>
  <r>
    <x v="1"/>
    <x v="12"/>
    <x v="12"/>
    <x v="4"/>
    <s v="Prestación de Servicios Públicos"/>
    <x v="10"/>
    <x v="252"/>
    <x v="219"/>
    <x v="252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710668"/>
    <n v="0"/>
    <n v="-113050"/>
    <n v="3597618"/>
    <n v="3190828"/>
    <m/>
    <x v="1"/>
    <n v="3190828"/>
  </r>
  <r>
    <x v="1"/>
    <x v="12"/>
    <x v="12"/>
    <x v="4"/>
    <s v="Prestación de Servicios Públicos"/>
    <x v="10"/>
    <x v="252"/>
    <x v="220"/>
    <x v="253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73644"/>
    <n v="0"/>
    <n v="0"/>
    <n v="273644"/>
    <n v="321747"/>
    <m/>
    <x v="1"/>
    <n v="321747"/>
  </r>
  <r>
    <x v="1"/>
    <x v="12"/>
    <x v="12"/>
    <x v="4"/>
    <s v="Prestación de Servicios Públicos"/>
    <x v="10"/>
    <x v="252"/>
    <x v="220"/>
    <x v="253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079492"/>
    <n v="0"/>
    <n v="-195924"/>
    <n v="4883568"/>
    <n v="4722022"/>
    <m/>
    <x v="1"/>
    <n v="4722022"/>
  </r>
  <r>
    <x v="1"/>
    <x v="12"/>
    <x v="12"/>
    <x v="4"/>
    <s v="Prestación de Servicios Públicos"/>
    <x v="10"/>
    <x v="252"/>
    <x v="221"/>
    <x v="254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86817"/>
    <n v="0"/>
    <n v="0"/>
    <n v="286817"/>
    <n v="338941"/>
    <m/>
    <x v="1"/>
    <n v="338941"/>
  </r>
  <r>
    <x v="1"/>
    <x v="12"/>
    <x v="12"/>
    <x v="4"/>
    <s v="Prestación de Servicios Públicos"/>
    <x v="10"/>
    <x v="252"/>
    <x v="221"/>
    <x v="254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194680"/>
    <n v="0"/>
    <n v="-160978"/>
    <n v="5033702"/>
    <n v="5073636"/>
    <m/>
    <x v="1"/>
    <n v="5073636"/>
  </r>
  <r>
    <x v="1"/>
    <x v="12"/>
    <x v="12"/>
    <x v="4"/>
    <s v="Prestación de Servicios Públicos"/>
    <x v="10"/>
    <x v="252"/>
    <x v="222"/>
    <x v="255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33440"/>
    <n v="0"/>
    <n v="0"/>
    <n v="333440"/>
    <n v="394486"/>
    <m/>
    <x v="1"/>
    <n v="394486"/>
  </r>
  <r>
    <x v="1"/>
    <x v="12"/>
    <x v="12"/>
    <x v="4"/>
    <s v="Prestación de Servicios Públicos"/>
    <x v="10"/>
    <x v="252"/>
    <x v="222"/>
    <x v="255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472944"/>
    <n v="0"/>
    <n v="-144634"/>
    <n v="5328310"/>
    <n v="5170870"/>
    <m/>
    <x v="1"/>
    <n v="5170870"/>
  </r>
  <r>
    <x v="1"/>
    <x v="12"/>
    <x v="12"/>
    <x v="4"/>
    <s v="Prestación de Servicios Públicos"/>
    <x v="10"/>
    <x v="252"/>
    <x v="223"/>
    <x v="256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20257"/>
    <n v="0"/>
    <n v="0"/>
    <n v="320257"/>
    <n v="341158"/>
    <m/>
    <x v="1"/>
    <n v="341158"/>
  </r>
  <r>
    <x v="1"/>
    <x v="12"/>
    <x v="12"/>
    <x v="4"/>
    <s v="Prestación de Servicios Públicos"/>
    <x v="10"/>
    <x v="252"/>
    <x v="223"/>
    <x v="256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879370"/>
    <n v="0"/>
    <n v="-204345"/>
    <n v="5675025"/>
    <n v="5637398"/>
    <m/>
    <x v="1"/>
    <n v="5637398"/>
  </r>
  <r>
    <x v="1"/>
    <x v="12"/>
    <x v="12"/>
    <x v="4"/>
    <s v="Prestación de Servicios Públicos"/>
    <x v="10"/>
    <x v="252"/>
    <x v="224"/>
    <x v="363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468977"/>
    <n v="0"/>
    <n v="0"/>
    <n v="468977"/>
    <n v="448585"/>
    <m/>
    <x v="1"/>
    <n v="448585"/>
  </r>
  <r>
    <x v="1"/>
    <x v="12"/>
    <x v="12"/>
    <x v="4"/>
    <s v="Prestación de Servicios Públicos"/>
    <x v="10"/>
    <x v="252"/>
    <x v="224"/>
    <x v="363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7756704"/>
    <n v="0"/>
    <n v="-194770"/>
    <n v="7561934"/>
    <n v="6131364"/>
    <m/>
    <x v="1"/>
    <n v="6131364"/>
  </r>
  <r>
    <x v="1"/>
    <x v="12"/>
    <x v="12"/>
    <x v="4"/>
    <s v="Prestación de Servicios Públicos"/>
    <x v="10"/>
    <x v="252"/>
    <x v="225"/>
    <x v="364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77025"/>
    <n v="0"/>
    <n v="0"/>
    <n v="177025"/>
    <n v="180328"/>
    <m/>
    <x v="1"/>
    <n v="180328"/>
  </r>
  <r>
    <x v="1"/>
    <x v="12"/>
    <x v="12"/>
    <x v="4"/>
    <s v="Prestación de Servicios Públicos"/>
    <x v="10"/>
    <x v="252"/>
    <x v="225"/>
    <x v="364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189771"/>
    <n v="0"/>
    <n v="-116152"/>
    <n v="3073619"/>
    <n v="2515162"/>
    <m/>
    <x v="1"/>
    <n v="2515162"/>
  </r>
  <r>
    <x v="1"/>
    <x v="12"/>
    <x v="12"/>
    <x v="4"/>
    <s v="Prestación de Servicios Públicos"/>
    <x v="10"/>
    <x v="252"/>
    <x v="226"/>
    <x v="365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02555"/>
    <n v="0"/>
    <n v="0"/>
    <n v="202555"/>
    <n v="250608"/>
    <m/>
    <x v="1"/>
    <n v="250608"/>
  </r>
  <r>
    <x v="1"/>
    <x v="12"/>
    <x v="12"/>
    <x v="4"/>
    <s v="Prestación de Servicios Públicos"/>
    <x v="10"/>
    <x v="252"/>
    <x v="226"/>
    <x v="365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514224"/>
    <n v="0"/>
    <n v="-96709"/>
    <n v="3417515"/>
    <n v="3335471"/>
    <m/>
    <x v="1"/>
    <n v="3335471"/>
  </r>
  <r>
    <x v="1"/>
    <x v="12"/>
    <x v="12"/>
    <x v="4"/>
    <s v="Prestación de Servicios Públicos"/>
    <x v="10"/>
    <x v="252"/>
    <x v="227"/>
    <x v="366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46170"/>
    <n v="0"/>
    <n v="0"/>
    <n v="146170"/>
    <n v="172013"/>
    <m/>
    <x v="1"/>
    <n v="172013"/>
  </r>
  <r>
    <x v="1"/>
    <x v="12"/>
    <x v="12"/>
    <x v="4"/>
    <s v="Prestación de Servicios Públicos"/>
    <x v="10"/>
    <x v="252"/>
    <x v="227"/>
    <x v="366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647691"/>
    <n v="0"/>
    <n v="-98036"/>
    <n v="2549655"/>
    <n v="2490565"/>
    <m/>
    <x v="1"/>
    <n v="2490565"/>
  </r>
  <r>
    <x v="1"/>
    <x v="12"/>
    <x v="12"/>
    <x v="4"/>
    <s v="Prestación de Servicios Públicos"/>
    <x v="10"/>
    <x v="252"/>
    <x v="228"/>
    <x v="367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354686"/>
    <n v="0"/>
    <n v="0"/>
    <n v="354686"/>
    <n v="401788"/>
    <m/>
    <x v="1"/>
    <n v="401788"/>
  </r>
  <r>
    <x v="1"/>
    <x v="12"/>
    <x v="12"/>
    <x v="4"/>
    <s v="Prestación de Servicios Públicos"/>
    <x v="10"/>
    <x v="252"/>
    <x v="228"/>
    <x v="367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5839786"/>
    <n v="0"/>
    <n v="-155565"/>
    <n v="5684221"/>
    <n v="5527106"/>
    <m/>
    <x v="1"/>
    <n v="5527106"/>
  </r>
  <r>
    <x v="1"/>
    <x v="12"/>
    <x v="12"/>
    <x v="4"/>
    <s v="Prestación de Servicios Públicos"/>
    <x v="10"/>
    <x v="252"/>
    <x v="229"/>
    <x v="368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57026"/>
    <n v="0"/>
    <n v="0"/>
    <n v="157026"/>
    <n v="184392"/>
    <m/>
    <x v="1"/>
    <n v="184392"/>
  </r>
  <r>
    <x v="1"/>
    <x v="12"/>
    <x v="12"/>
    <x v="4"/>
    <s v="Prestación de Servicios Públicos"/>
    <x v="10"/>
    <x v="252"/>
    <x v="229"/>
    <x v="368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448242"/>
    <n v="0"/>
    <n v="-134078"/>
    <n v="2314164"/>
    <n v="2302003"/>
    <m/>
    <x v="1"/>
    <n v="2302003"/>
  </r>
  <r>
    <x v="1"/>
    <x v="12"/>
    <x v="12"/>
    <x v="4"/>
    <s v="Prestación de Servicios Públicos"/>
    <x v="10"/>
    <x v="252"/>
    <x v="230"/>
    <x v="369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55953"/>
    <n v="0"/>
    <n v="0"/>
    <n v="155953"/>
    <n v="149093"/>
    <m/>
    <x v="1"/>
    <n v="149093"/>
  </r>
  <r>
    <x v="1"/>
    <x v="12"/>
    <x v="12"/>
    <x v="4"/>
    <s v="Prestación de Servicios Públicos"/>
    <x v="10"/>
    <x v="252"/>
    <x v="230"/>
    <x v="369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328117"/>
    <n v="0"/>
    <n v="-58760"/>
    <n v="2269357"/>
    <n v="1997159"/>
    <m/>
    <x v="1"/>
    <n v="1997159"/>
  </r>
  <r>
    <x v="1"/>
    <x v="12"/>
    <x v="12"/>
    <x v="4"/>
    <s v="Prestación de Servicios Públicos"/>
    <x v="10"/>
    <x v="252"/>
    <x v="231"/>
    <x v="370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51803"/>
    <n v="0"/>
    <n v="0"/>
    <n v="251803"/>
    <n v="294230"/>
    <m/>
    <x v="1"/>
    <n v="294230"/>
  </r>
  <r>
    <x v="1"/>
    <x v="12"/>
    <x v="12"/>
    <x v="4"/>
    <s v="Prestación de Servicios Públicos"/>
    <x v="10"/>
    <x v="252"/>
    <x v="231"/>
    <x v="370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001282"/>
    <n v="0"/>
    <n v="-139166"/>
    <n v="2862116"/>
    <n v="2912128"/>
    <m/>
    <x v="1"/>
    <n v="2912128"/>
  </r>
  <r>
    <x v="1"/>
    <x v="12"/>
    <x v="12"/>
    <x v="4"/>
    <s v="Prestación de Servicios Públicos"/>
    <x v="10"/>
    <x v="252"/>
    <x v="232"/>
    <x v="371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46876"/>
    <n v="0"/>
    <n v="0"/>
    <n v="146876"/>
    <n v="173150"/>
    <m/>
    <x v="1"/>
    <n v="173150"/>
  </r>
  <r>
    <x v="1"/>
    <x v="12"/>
    <x v="12"/>
    <x v="4"/>
    <s v="Prestación de Servicios Públicos"/>
    <x v="10"/>
    <x v="252"/>
    <x v="232"/>
    <x v="371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872509"/>
    <n v="0"/>
    <n v="-100677"/>
    <n v="2771832"/>
    <n v="2729413"/>
    <m/>
    <x v="1"/>
    <n v="2729413"/>
  </r>
  <r>
    <x v="1"/>
    <x v="12"/>
    <x v="12"/>
    <x v="4"/>
    <s v="Prestación de Servicios Públicos"/>
    <x v="10"/>
    <x v="252"/>
    <x v="233"/>
    <x v="372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28274"/>
    <n v="0"/>
    <n v="0"/>
    <n v="128274"/>
    <n v="150591"/>
    <m/>
    <x v="1"/>
    <n v="150591"/>
  </r>
  <r>
    <x v="1"/>
    <x v="12"/>
    <x v="12"/>
    <x v="4"/>
    <s v="Prestación de Servicios Públicos"/>
    <x v="10"/>
    <x v="252"/>
    <x v="233"/>
    <x v="372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192421"/>
    <n v="0"/>
    <n v="-93680"/>
    <n v="2098741"/>
    <n v="2118713"/>
    <m/>
    <x v="1"/>
    <n v="2118713"/>
  </r>
  <r>
    <x v="1"/>
    <x v="12"/>
    <x v="12"/>
    <x v="4"/>
    <s v="Prestación de Servicios Públicos"/>
    <x v="10"/>
    <x v="252"/>
    <x v="234"/>
    <x v="373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43483"/>
    <n v="0"/>
    <n v="0"/>
    <n v="143483"/>
    <n v="168916"/>
    <m/>
    <x v="1"/>
    <n v="168916"/>
  </r>
  <r>
    <x v="1"/>
    <x v="12"/>
    <x v="12"/>
    <x v="4"/>
    <s v="Prestación de Servicios Públicos"/>
    <x v="10"/>
    <x v="252"/>
    <x v="234"/>
    <x v="373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404321"/>
    <n v="0"/>
    <n v="-78632"/>
    <n v="2325689"/>
    <n v="2339681"/>
    <m/>
    <x v="1"/>
    <n v="2339681"/>
  </r>
  <r>
    <x v="1"/>
    <x v="12"/>
    <x v="12"/>
    <x v="4"/>
    <s v="Prestación de Servicios Públicos"/>
    <x v="10"/>
    <x v="252"/>
    <x v="235"/>
    <x v="374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30759"/>
    <n v="0"/>
    <n v="0"/>
    <n v="130759"/>
    <n v="153692"/>
    <m/>
    <x v="1"/>
    <n v="153692"/>
  </r>
  <r>
    <x v="1"/>
    <x v="12"/>
    <x v="12"/>
    <x v="4"/>
    <s v="Prestación de Servicios Públicos"/>
    <x v="10"/>
    <x v="252"/>
    <x v="235"/>
    <x v="374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077001"/>
    <n v="0"/>
    <n v="-51840"/>
    <n v="2025161"/>
    <n v="2026654"/>
    <m/>
    <x v="1"/>
    <n v="2026654"/>
  </r>
  <r>
    <x v="1"/>
    <x v="12"/>
    <x v="12"/>
    <x v="4"/>
    <s v="Prestación de Servicios Públicos"/>
    <x v="10"/>
    <x v="252"/>
    <x v="236"/>
    <x v="375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48653"/>
    <n v="0"/>
    <n v="0"/>
    <n v="148653"/>
    <n v="157106"/>
    <m/>
    <x v="1"/>
    <n v="157106"/>
  </r>
  <r>
    <x v="1"/>
    <x v="12"/>
    <x v="12"/>
    <x v="4"/>
    <s v="Prestación de Servicios Públicos"/>
    <x v="10"/>
    <x v="252"/>
    <x v="236"/>
    <x v="375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740749"/>
    <n v="0"/>
    <n v="-108485"/>
    <n v="2632264"/>
    <n v="2375324"/>
    <m/>
    <x v="1"/>
    <n v="2375324"/>
  </r>
  <r>
    <x v="1"/>
    <x v="12"/>
    <x v="12"/>
    <x v="4"/>
    <s v="Prestación de Servicios Públicos"/>
    <x v="10"/>
    <x v="252"/>
    <x v="237"/>
    <x v="376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03082"/>
    <n v="0"/>
    <n v="0"/>
    <n v="103082"/>
    <n v="69457"/>
    <m/>
    <x v="1"/>
    <n v="69457"/>
  </r>
  <r>
    <x v="1"/>
    <x v="12"/>
    <x v="12"/>
    <x v="4"/>
    <s v="Prestación de Servicios Públicos"/>
    <x v="10"/>
    <x v="252"/>
    <x v="237"/>
    <x v="376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274389"/>
    <n v="0"/>
    <n v="-98257"/>
    <n v="2176132"/>
    <n v="1564141"/>
    <m/>
    <x v="1"/>
    <n v="1564141"/>
  </r>
  <r>
    <x v="1"/>
    <x v="12"/>
    <x v="12"/>
    <x v="4"/>
    <s v="Prestación de Servicios Públicos"/>
    <x v="10"/>
    <x v="252"/>
    <x v="238"/>
    <x v="377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09662"/>
    <n v="0"/>
    <n v="0"/>
    <n v="209662"/>
    <n v="229595"/>
    <m/>
    <x v="1"/>
    <n v="229595"/>
  </r>
  <r>
    <x v="1"/>
    <x v="12"/>
    <x v="12"/>
    <x v="4"/>
    <s v="Prestación de Servicios Públicos"/>
    <x v="10"/>
    <x v="252"/>
    <x v="238"/>
    <x v="377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881149"/>
    <n v="0"/>
    <n v="-107745"/>
    <n v="3773404"/>
    <n v="3435171"/>
    <m/>
    <x v="1"/>
    <n v="3435171"/>
  </r>
  <r>
    <x v="1"/>
    <x v="12"/>
    <x v="12"/>
    <x v="4"/>
    <s v="Prestación de Servicios Públicos"/>
    <x v="10"/>
    <x v="252"/>
    <x v="239"/>
    <x v="378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32028"/>
    <n v="0"/>
    <n v="0"/>
    <n v="132028"/>
    <n v="155018"/>
    <m/>
    <x v="1"/>
    <n v="155018"/>
  </r>
  <r>
    <x v="1"/>
    <x v="12"/>
    <x v="12"/>
    <x v="4"/>
    <s v="Prestación de Servicios Públicos"/>
    <x v="10"/>
    <x v="252"/>
    <x v="239"/>
    <x v="378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331229"/>
    <n v="0"/>
    <n v="-56915"/>
    <n v="2274314"/>
    <n v="2236247"/>
    <m/>
    <x v="1"/>
    <n v="2236247"/>
  </r>
  <r>
    <x v="1"/>
    <x v="12"/>
    <x v="12"/>
    <x v="4"/>
    <s v="Prestación de Servicios Públicos"/>
    <x v="10"/>
    <x v="252"/>
    <x v="240"/>
    <x v="379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16502"/>
    <n v="0"/>
    <n v="0"/>
    <n v="116502"/>
    <n v="152691"/>
    <m/>
    <x v="1"/>
    <n v="152691"/>
  </r>
  <r>
    <x v="1"/>
    <x v="12"/>
    <x v="12"/>
    <x v="4"/>
    <s v="Prestación de Servicios Públicos"/>
    <x v="10"/>
    <x v="252"/>
    <x v="240"/>
    <x v="379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090024"/>
    <n v="0"/>
    <n v="-57643"/>
    <n v="2032381"/>
    <n v="2183706"/>
    <m/>
    <x v="1"/>
    <n v="2183706"/>
  </r>
  <r>
    <x v="1"/>
    <x v="12"/>
    <x v="12"/>
    <x v="4"/>
    <s v="Prestación de Servicios Públicos"/>
    <x v="10"/>
    <x v="252"/>
    <x v="241"/>
    <x v="380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45921"/>
    <n v="0"/>
    <n v="0"/>
    <n v="145921"/>
    <n v="170930"/>
    <m/>
    <x v="1"/>
    <n v="170930"/>
  </r>
  <r>
    <x v="1"/>
    <x v="12"/>
    <x v="12"/>
    <x v="4"/>
    <s v="Prestación de Servicios Públicos"/>
    <x v="10"/>
    <x v="252"/>
    <x v="241"/>
    <x v="380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372939"/>
    <n v="0"/>
    <n v="-55495"/>
    <n v="2317444"/>
    <n v="2300268"/>
    <m/>
    <x v="1"/>
    <n v="2300268"/>
  </r>
  <r>
    <x v="1"/>
    <x v="12"/>
    <x v="12"/>
    <x v="4"/>
    <s v="Prestación de Servicios Públicos"/>
    <x v="10"/>
    <x v="252"/>
    <x v="242"/>
    <x v="381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218704"/>
    <n v="0"/>
    <n v="0"/>
    <n v="218704"/>
    <n v="241840"/>
    <m/>
    <x v="1"/>
    <n v="241840"/>
  </r>
  <r>
    <x v="1"/>
    <x v="12"/>
    <x v="12"/>
    <x v="4"/>
    <s v="Prestación de Servicios Públicos"/>
    <x v="10"/>
    <x v="252"/>
    <x v="242"/>
    <x v="381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4305554"/>
    <n v="0"/>
    <n v="-190863"/>
    <n v="4114691"/>
    <n v="3788619"/>
    <m/>
    <x v="1"/>
    <n v="3788619"/>
  </r>
  <r>
    <x v="1"/>
    <x v="12"/>
    <x v="12"/>
    <x v="9"/>
    <s v="Promoción y fomento"/>
    <x v="2"/>
    <x v="253"/>
    <x v="243"/>
    <x v="382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636252"/>
    <n v="0"/>
    <n v="0"/>
    <n v="636252"/>
    <n v="691528"/>
    <m/>
    <x v="1"/>
    <n v="691528"/>
  </r>
  <r>
    <x v="1"/>
    <x v="12"/>
    <x v="12"/>
    <x v="9"/>
    <s v="Promoción y fomento"/>
    <x v="2"/>
    <x v="253"/>
    <x v="243"/>
    <x v="382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1699343"/>
    <n v="0"/>
    <n v="-1011510"/>
    <n v="20687833"/>
    <n v="20396069"/>
    <m/>
    <x v="1"/>
    <n v="20396069"/>
  </r>
  <r>
    <x v="1"/>
    <x v="12"/>
    <x v="12"/>
    <x v="9"/>
    <s v="Promoción y fomento"/>
    <x v="2"/>
    <x v="253"/>
    <x v="244"/>
    <x v="383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134151"/>
    <n v="0"/>
    <n v="0"/>
    <n v="1134151"/>
    <n v="1251794"/>
    <m/>
    <x v="1"/>
    <n v="1251794"/>
  </r>
  <r>
    <x v="1"/>
    <x v="12"/>
    <x v="12"/>
    <x v="9"/>
    <s v="Promoción y fomento"/>
    <x v="2"/>
    <x v="253"/>
    <x v="244"/>
    <x v="383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0459555"/>
    <n v="0"/>
    <n v="-1218306"/>
    <n v="29241249"/>
    <n v="29450207"/>
    <m/>
    <x v="1"/>
    <n v="29450207"/>
  </r>
  <r>
    <x v="1"/>
    <x v="12"/>
    <x v="12"/>
    <x v="9"/>
    <s v="Promoción y fomento"/>
    <x v="2"/>
    <x v="253"/>
    <x v="245"/>
    <x v="384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550293"/>
    <n v="0"/>
    <n v="0"/>
    <n v="550293"/>
    <n v="582560"/>
    <m/>
    <x v="1"/>
    <n v="582560"/>
  </r>
  <r>
    <x v="1"/>
    <x v="12"/>
    <x v="12"/>
    <x v="9"/>
    <s v="Promoción y fomento"/>
    <x v="2"/>
    <x v="253"/>
    <x v="245"/>
    <x v="384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2335108"/>
    <n v="0"/>
    <n v="-1128754"/>
    <n v="21206354"/>
    <n v="21391199"/>
    <m/>
    <x v="1"/>
    <n v="21391199"/>
  </r>
  <r>
    <x v="1"/>
    <x v="12"/>
    <x v="12"/>
    <x v="9"/>
    <s v="Promoción y fomento"/>
    <x v="4"/>
    <x v="254"/>
    <x v="246"/>
    <x v="385"/>
    <n v="3"/>
    <s v="Desarrollo Económico"/>
    <n v="4"/>
    <s v="Temas Empresariales"/>
    <n v="3"/>
    <x v="45"/>
    <x v="11"/>
    <x v="80"/>
    <n v="1"/>
    <s v="Gasto corriente"/>
    <x v="0"/>
    <x v="0"/>
    <x v="0"/>
    <x v="0"/>
    <x v="0"/>
    <x v="0"/>
    <x v="0"/>
    <m/>
    <x v="0"/>
    <x v="0"/>
    <m/>
    <n v="657650875"/>
    <n v="0"/>
    <n v="-10362433"/>
    <n v="647288442"/>
    <n v="715812438"/>
    <m/>
    <x v="1"/>
    <n v="715812438"/>
  </r>
  <r>
    <x v="1"/>
    <x v="12"/>
    <x v="12"/>
    <x v="10"/>
    <s v="Regulación y supervisión"/>
    <x v="2"/>
    <x v="255"/>
    <x v="247"/>
    <x v="386"/>
    <n v="3"/>
    <s v="Desarrollo Económico"/>
    <n v="4"/>
    <s v="Temas Empresariales"/>
    <n v="3"/>
    <x v="45"/>
    <x v="11"/>
    <x v="80"/>
    <n v="1"/>
    <s v="Gasto corriente"/>
    <x v="0"/>
    <x v="1"/>
    <x v="0"/>
    <x v="0"/>
    <x v="0"/>
    <x v="0"/>
    <x v="0"/>
    <m/>
    <x v="0"/>
    <x v="0"/>
    <m/>
    <n v="1249605"/>
    <n v="0"/>
    <n v="0"/>
    <n v="1249605"/>
    <n v="1332923"/>
    <m/>
    <x v="1"/>
    <n v="1332923"/>
  </r>
  <r>
    <x v="1"/>
    <x v="12"/>
    <x v="12"/>
    <x v="10"/>
    <s v="Regulación y supervisión"/>
    <x v="2"/>
    <x v="255"/>
    <x v="247"/>
    <x v="386"/>
    <n v="3"/>
    <s v="Desarrollo Económico"/>
    <n v="4"/>
    <s v="Temas Empresariales"/>
    <n v="3"/>
    <x v="45"/>
    <x v="11"/>
    <x v="80"/>
    <n v="1"/>
    <s v="Gasto corriente"/>
    <x v="0"/>
    <x v="0"/>
    <x v="0"/>
    <x v="0"/>
    <x v="0"/>
    <x v="0"/>
    <x v="0"/>
    <m/>
    <x v="0"/>
    <x v="0"/>
    <m/>
    <n v="34601666"/>
    <n v="0"/>
    <n v="-935896"/>
    <n v="33665770"/>
    <n v="54598201"/>
    <m/>
    <x v="1"/>
    <n v="54598201"/>
  </r>
  <r>
    <x v="1"/>
    <x v="12"/>
    <x v="12"/>
    <x v="10"/>
    <s v="Regulación y supervisión"/>
    <x v="3"/>
    <x v="256"/>
    <x v="55"/>
    <x v="387"/>
    <n v="3"/>
    <s v="Desarrollo Económico"/>
    <n v="4"/>
    <s v="Temas Empresariales"/>
    <n v="2"/>
    <x v="43"/>
    <x v="6"/>
    <x v="81"/>
    <n v="1"/>
    <s v="Gasto corriente"/>
    <x v="0"/>
    <x v="1"/>
    <x v="0"/>
    <x v="0"/>
    <x v="0"/>
    <x v="0"/>
    <x v="0"/>
    <m/>
    <x v="0"/>
    <x v="0"/>
    <m/>
    <n v="1176268"/>
    <n v="0"/>
    <n v="0"/>
    <n v="1176268"/>
    <n v="1339614"/>
    <m/>
    <x v="1"/>
    <n v="1339614"/>
  </r>
  <r>
    <x v="1"/>
    <x v="12"/>
    <x v="12"/>
    <x v="10"/>
    <s v="Regulación y supervisión"/>
    <x v="3"/>
    <x v="256"/>
    <x v="55"/>
    <x v="387"/>
    <n v="3"/>
    <s v="Desarrollo Económico"/>
    <n v="4"/>
    <s v="Temas Empresariales"/>
    <n v="2"/>
    <x v="43"/>
    <x v="6"/>
    <x v="81"/>
    <n v="1"/>
    <s v="Gasto corriente"/>
    <x v="0"/>
    <x v="0"/>
    <x v="0"/>
    <x v="0"/>
    <x v="0"/>
    <x v="0"/>
    <x v="0"/>
    <m/>
    <x v="0"/>
    <x v="0"/>
    <m/>
    <n v="42838058"/>
    <n v="0"/>
    <n v="-1572617"/>
    <n v="41265441"/>
    <n v="44721648"/>
    <m/>
    <x v="1"/>
    <n v="44721648"/>
  </r>
  <r>
    <x v="1"/>
    <x v="12"/>
    <x v="12"/>
    <x v="10"/>
    <s v="Regulación y supervisión"/>
    <x v="4"/>
    <x v="257"/>
    <x v="188"/>
    <x v="357"/>
    <n v="3"/>
    <s v="Desarrollo Económico"/>
    <n v="4"/>
    <s v="Temas Empresariales"/>
    <n v="4"/>
    <x v="14"/>
    <x v="15"/>
    <x v="76"/>
    <n v="1"/>
    <s v="Gasto corriente"/>
    <x v="0"/>
    <x v="1"/>
    <x v="0"/>
    <x v="0"/>
    <x v="0"/>
    <x v="0"/>
    <x v="0"/>
    <m/>
    <x v="0"/>
    <x v="0"/>
    <m/>
    <n v="15797351"/>
    <n v="0"/>
    <n v="0"/>
    <n v="15797351"/>
    <n v="16135278"/>
    <m/>
    <x v="1"/>
    <n v="16135278"/>
  </r>
  <r>
    <x v="1"/>
    <x v="12"/>
    <x v="12"/>
    <x v="10"/>
    <s v="Regulación y supervisión"/>
    <x v="4"/>
    <x v="257"/>
    <x v="188"/>
    <x v="357"/>
    <n v="3"/>
    <s v="Desarrollo Económico"/>
    <n v="4"/>
    <s v="Temas Empresariales"/>
    <n v="4"/>
    <x v="14"/>
    <x v="15"/>
    <x v="76"/>
    <n v="1"/>
    <s v="Gasto corriente"/>
    <x v="0"/>
    <x v="0"/>
    <x v="0"/>
    <x v="0"/>
    <x v="0"/>
    <x v="0"/>
    <x v="0"/>
    <m/>
    <x v="0"/>
    <x v="0"/>
    <m/>
    <n v="205080870"/>
    <n v="0"/>
    <n v="-12276582"/>
    <n v="192804288"/>
    <n v="193742731"/>
    <m/>
    <x v="1"/>
    <n v="193742731"/>
  </r>
  <r>
    <x v="1"/>
    <x v="12"/>
    <x v="12"/>
    <x v="10"/>
    <s v="Regulación y supervisión"/>
    <x v="6"/>
    <x v="258"/>
    <x v="248"/>
    <x v="388"/>
    <n v="3"/>
    <s v="Desarrollo Económico"/>
    <n v="4"/>
    <s v="Temas Empresariales"/>
    <n v="2"/>
    <x v="43"/>
    <x v="6"/>
    <x v="81"/>
    <n v="1"/>
    <s v="Gasto corriente"/>
    <x v="0"/>
    <x v="1"/>
    <x v="0"/>
    <x v="0"/>
    <x v="0"/>
    <x v="0"/>
    <x v="0"/>
    <m/>
    <x v="0"/>
    <x v="0"/>
    <m/>
    <n v="730890"/>
    <n v="0"/>
    <n v="0"/>
    <n v="730890"/>
    <n v="754011"/>
    <m/>
    <x v="1"/>
    <n v="754011"/>
  </r>
  <r>
    <x v="1"/>
    <x v="12"/>
    <x v="12"/>
    <x v="10"/>
    <s v="Regulación y supervisión"/>
    <x v="6"/>
    <x v="258"/>
    <x v="248"/>
    <x v="388"/>
    <n v="3"/>
    <s v="Desarrollo Económico"/>
    <n v="4"/>
    <s v="Temas Empresariales"/>
    <n v="2"/>
    <x v="43"/>
    <x v="6"/>
    <x v="81"/>
    <n v="1"/>
    <s v="Gasto corriente"/>
    <x v="0"/>
    <x v="0"/>
    <x v="0"/>
    <x v="0"/>
    <x v="0"/>
    <x v="0"/>
    <x v="0"/>
    <m/>
    <x v="0"/>
    <x v="0"/>
    <m/>
    <n v="47964530"/>
    <n v="0"/>
    <n v="-1448932"/>
    <n v="46515598"/>
    <n v="109008995"/>
    <m/>
    <x v="1"/>
    <n v="109008995"/>
  </r>
  <r>
    <x v="1"/>
    <x v="12"/>
    <x v="12"/>
    <x v="10"/>
    <s v="Regulación y supervisión"/>
    <x v="6"/>
    <x v="258"/>
    <x v="248"/>
    <x v="388"/>
    <n v="3"/>
    <s v="Desarrollo Económico"/>
    <n v="4"/>
    <s v="Temas Empresariales"/>
    <n v="2"/>
    <x v="43"/>
    <x v="6"/>
    <x v="81"/>
    <n v="2"/>
    <s v="Gasto de capital"/>
    <x v="0"/>
    <x v="0"/>
    <x v="0"/>
    <x v="0"/>
    <x v="0"/>
    <x v="0"/>
    <x v="0"/>
    <m/>
    <x v="0"/>
    <x v="0"/>
    <m/>
    <n v="1500000"/>
    <n v="0"/>
    <n v="-101550"/>
    <n v="1398450"/>
    <m/>
    <m/>
    <x v="1"/>
    <n v="0"/>
  </r>
  <r>
    <x v="1"/>
    <x v="12"/>
    <x v="12"/>
    <x v="10"/>
    <s v="Regulación y supervisión"/>
    <x v="7"/>
    <x v="259"/>
    <x v="57"/>
    <x v="389"/>
    <n v="3"/>
    <s v="Desarrollo Económico"/>
    <n v="4"/>
    <s v="Temas Empresariales"/>
    <n v="2"/>
    <x v="43"/>
    <x v="0"/>
    <x v="82"/>
    <n v="1"/>
    <s v="Gasto corriente"/>
    <x v="0"/>
    <x v="1"/>
    <x v="0"/>
    <x v="0"/>
    <x v="0"/>
    <x v="0"/>
    <x v="0"/>
    <m/>
    <x v="0"/>
    <x v="0"/>
    <m/>
    <n v="2776604"/>
    <n v="0"/>
    <n v="0"/>
    <n v="2776604"/>
    <n v="3268474"/>
    <m/>
    <x v="1"/>
    <n v="3268474"/>
  </r>
  <r>
    <x v="1"/>
    <x v="12"/>
    <x v="12"/>
    <x v="10"/>
    <s v="Regulación y supervisión"/>
    <x v="7"/>
    <x v="259"/>
    <x v="57"/>
    <x v="389"/>
    <n v="3"/>
    <s v="Desarrollo Económico"/>
    <n v="4"/>
    <s v="Temas Empresariales"/>
    <n v="2"/>
    <x v="43"/>
    <x v="0"/>
    <x v="82"/>
    <n v="1"/>
    <s v="Gasto corriente"/>
    <x v="0"/>
    <x v="0"/>
    <x v="0"/>
    <x v="0"/>
    <x v="0"/>
    <x v="0"/>
    <x v="0"/>
    <m/>
    <x v="0"/>
    <x v="0"/>
    <m/>
    <n v="145473757"/>
    <n v="0"/>
    <n v="-5114102"/>
    <n v="140359655"/>
    <n v="149126169"/>
    <m/>
    <x v="1"/>
    <n v="149126169"/>
  </r>
  <r>
    <x v="1"/>
    <x v="12"/>
    <x v="12"/>
    <x v="10"/>
    <s v="Regulación y supervisión"/>
    <x v="7"/>
    <x v="259"/>
    <x v="57"/>
    <x v="389"/>
    <n v="3"/>
    <s v="Desarrollo Económico"/>
    <n v="4"/>
    <s v="Temas Empresariales"/>
    <n v="2"/>
    <x v="43"/>
    <x v="0"/>
    <x v="82"/>
    <n v="2"/>
    <s v="Gasto de capital"/>
    <x v="0"/>
    <x v="0"/>
    <x v="0"/>
    <x v="0"/>
    <x v="0"/>
    <x v="0"/>
    <x v="0"/>
    <m/>
    <x v="0"/>
    <x v="0"/>
    <m/>
    <n v="960000"/>
    <n v="0"/>
    <n v="-960000"/>
    <n v="0"/>
    <n v="950000"/>
    <m/>
    <x v="1"/>
    <n v="950000"/>
  </r>
  <r>
    <x v="1"/>
    <x v="12"/>
    <x v="12"/>
    <x v="0"/>
    <s v="Proyectos de Inversión"/>
    <x v="47"/>
    <x v="185"/>
    <x v="189"/>
    <x v="358"/>
    <n v="3"/>
    <s v="Desarrollo Económico"/>
    <n v="4"/>
    <s v="Temas Empresariales"/>
    <n v="2"/>
    <x v="43"/>
    <x v="9"/>
    <x v="77"/>
    <n v="2"/>
    <s v="Gasto de capital"/>
    <x v="0"/>
    <x v="0"/>
    <x v="0"/>
    <x v="1"/>
    <x v="0"/>
    <x v="0"/>
    <x v="0"/>
    <m/>
    <x v="0"/>
    <x v="0"/>
    <m/>
    <n v="66276130"/>
    <n v="0"/>
    <n v="0"/>
    <n v="66276130"/>
    <n v="67944830"/>
    <m/>
    <x v="1"/>
    <n v="67944830"/>
  </r>
  <r>
    <x v="1"/>
    <x v="12"/>
    <x v="12"/>
    <x v="0"/>
    <s v="Proyectos de Inversión"/>
    <x v="1"/>
    <x v="1"/>
    <x v="189"/>
    <x v="358"/>
    <n v="3"/>
    <s v="Desarrollo Económico"/>
    <n v="4"/>
    <s v="Temas Empresariales"/>
    <n v="2"/>
    <x v="43"/>
    <x v="9"/>
    <x v="77"/>
    <n v="2"/>
    <s v="Gasto de capital"/>
    <x v="0"/>
    <x v="0"/>
    <x v="0"/>
    <x v="1"/>
    <x v="0"/>
    <x v="0"/>
    <x v="0"/>
    <m/>
    <x v="0"/>
    <x v="0"/>
    <m/>
    <n v="1668700"/>
    <n v="0"/>
    <n v="0"/>
    <n v="1668700"/>
    <m/>
    <m/>
    <x v="1"/>
    <n v="0"/>
  </r>
  <r>
    <x v="1"/>
    <x v="12"/>
    <x v="12"/>
    <x v="0"/>
    <s v="Proyectos de Inversión"/>
    <x v="1"/>
    <x v="1"/>
    <x v="188"/>
    <x v="357"/>
    <n v="3"/>
    <s v="Desarrollo Económico"/>
    <n v="4"/>
    <s v="Temas Empresariales"/>
    <n v="4"/>
    <x v="14"/>
    <x v="15"/>
    <x v="76"/>
    <n v="2"/>
    <s v="Gasto de capital"/>
    <x v="0"/>
    <x v="0"/>
    <x v="0"/>
    <x v="0"/>
    <x v="0"/>
    <x v="0"/>
    <x v="0"/>
    <m/>
    <x v="0"/>
    <x v="0"/>
    <m/>
    <n v="102102047"/>
    <n v="0"/>
    <n v="-5948890"/>
    <n v="96153157"/>
    <m/>
    <m/>
    <x v="1"/>
    <n v="0"/>
  </r>
  <r>
    <x v="1"/>
    <x v="12"/>
    <x v="12"/>
    <x v="2"/>
    <s v="Apoyo al proceso presupuestario y para mejorar la eficiencia institucional"/>
    <x v="2"/>
    <x v="34"/>
    <x v="61"/>
    <x v="39"/>
    <n v="3"/>
    <s v="Desarrollo Económico"/>
    <n v="4"/>
    <s v="Temas Empresariales"/>
    <n v="4"/>
    <x v="14"/>
    <x v="3"/>
    <x v="12"/>
    <n v="1"/>
    <s v="Gasto corriente"/>
    <x v="0"/>
    <x v="1"/>
    <x v="0"/>
    <x v="0"/>
    <x v="0"/>
    <x v="0"/>
    <x v="0"/>
    <m/>
    <x v="0"/>
    <x v="0"/>
    <m/>
    <n v="1426397"/>
    <n v="0"/>
    <n v="0"/>
    <n v="1426397"/>
    <n v="1810450"/>
    <m/>
    <x v="1"/>
    <n v="1810450"/>
  </r>
  <r>
    <x v="1"/>
    <x v="12"/>
    <x v="12"/>
    <x v="2"/>
    <s v="Apoyo al proceso presupuestario y para mejorar la eficiencia institucional"/>
    <x v="2"/>
    <x v="34"/>
    <x v="61"/>
    <x v="39"/>
    <n v="3"/>
    <s v="Desarrollo Económico"/>
    <n v="4"/>
    <s v="Temas Empresariales"/>
    <n v="4"/>
    <x v="14"/>
    <x v="3"/>
    <x v="12"/>
    <n v="1"/>
    <s v="Gasto corriente"/>
    <x v="0"/>
    <x v="0"/>
    <x v="0"/>
    <x v="0"/>
    <x v="0"/>
    <x v="0"/>
    <x v="0"/>
    <m/>
    <x v="0"/>
    <x v="0"/>
    <m/>
    <n v="30900622"/>
    <n v="0"/>
    <n v="-982664"/>
    <n v="29917958"/>
    <n v="28047430"/>
    <m/>
    <x v="1"/>
    <n v="28047430"/>
  </r>
  <r>
    <x v="1"/>
    <x v="12"/>
    <x v="12"/>
    <x v="2"/>
    <s v="Apoyo al proceso presupuestario y para mejorar la eficiencia institucional"/>
    <x v="2"/>
    <x v="34"/>
    <x v="61"/>
    <x v="39"/>
    <n v="3"/>
    <s v="Desarrollo Económico"/>
    <n v="4"/>
    <s v="Temas Empresariales"/>
    <n v="4"/>
    <x v="14"/>
    <x v="3"/>
    <x v="12"/>
    <n v="2"/>
    <s v="Gasto de capital"/>
    <x v="0"/>
    <x v="0"/>
    <x v="0"/>
    <x v="0"/>
    <x v="0"/>
    <x v="0"/>
    <x v="0"/>
    <m/>
    <x v="0"/>
    <x v="0"/>
    <m/>
    <m/>
    <m/>
    <m/>
    <m/>
    <n v="3066665"/>
    <m/>
    <x v="1"/>
    <n v="3066665"/>
  </r>
  <r>
    <x v="1"/>
    <x v="12"/>
    <x v="12"/>
    <x v="2"/>
    <s v="Apoyo al proceso presupuestario y para mejorar la eficiencia institucional"/>
    <x v="2"/>
    <x v="34"/>
    <x v="62"/>
    <x v="69"/>
    <n v="3"/>
    <s v="Desarrollo Económico"/>
    <n v="4"/>
    <s v="Temas Empresariales"/>
    <n v="4"/>
    <x v="14"/>
    <x v="3"/>
    <x v="12"/>
    <n v="1"/>
    <s v="Gasto corriente"/>
    <x v="0"/>
    <x v="1"/>
    <x v="0"/>
    <x v="0"/>
    <x v="0"/>
    <x v="0"/>
    <x v="0"/>
    <m/>
    <x v="0"/>
    <x v="0"/>
    <m/>
    <n v="6843445"/>
    <n v="0"/>
    <n v="0"/>
    <n v="6843445"/>
    <n v="11416159"/>
    <m/>
    <x v="1"/>
    <n v="11416159"/>
  </r>
  <r>
    <x v="1"/>
    <x v="12"/>
    <x v="12"/>
    <x v="2"/>
    <s v="Apoyo al proceso presupuestario y para mejorar la eficiencia institucional"/>
    <x v="2"/>
    <x v="34"/>
    <x v="62"/>
    <x v="69"/>
    <n v="3"/>
    <s v="Desarrollo Económico"/>
    <n v="4"/>
    <s v="Temas Empresariales"/>
    <n v="4"/>
    <x v="14"/>
    <x v="3"/>
    <x v="12"/>
    <n v="1"/>
    <s v="Gasto corriente"/>
    <x v="0"/>
    <x v="0"/>
    <x v="0"/>
    <x v="0"/>
    <x v="0"/>
    <x v="0"/>
    <x v="0"/>
    <m/>
    <x v="0"/>
    <x v="0"/>
    <m/>
    <n v="118805554"/>
    <n v="0"/>
    <n v="-3840678"/>
    <n v="114964876"/>
    <n v="174459396"/>
    <m/>
    <x v="1"/>
    <n v="174459396"/>
  </r>
  <r>
    <x v="1"/>
    <x v="12"/>
    <x v="12"/>
    <x v="2"/>
    <s v="Apoyo al proceso presupuestario y para mejorar la eficiencia institucional"/>
    <x v="2"/>
    <x v="34"/>
    <x v="63"/>
    <x v="71"/>
    <n v="3"/>
    <s v="Desarrollo Económico"/>
    <n v="4"/>
    <s v="Temas Empresariales"/>
    <n v="4"/>
    <x v="14"/>
    <x v="3"/>
    <x v="12"/>
    <n v="1"/>
    <s v="Gasto corriente"/>
    <x v="0"/>
    <x v="1"/>
    <x v="0"/>
    <x v="0"/>
    <x v="0"/>
    <x v="0"/>
    <x v="0"/>
    <m/>
    <x v="0"/>
    <x v="0"/>
    <m/>
    <n v="2302655"/>
    <n v="0"/>
    <n v="0"/>
    <n v="2302655"/>
    <n v="2766920"/>
    <m/>
    <x v="1"/>
    <n v="2766920"/>
  </r>
  <r>
    <x v="1"/>
    <x v="12"/>
    <x v="12"/>
    <x v="2"/>
    <s v="Apoyo al proceso presupuestario y para mejorar la eficiencia institucional"/>
    <x v="2"/>
    <x v="34"/>
    <x v="63"/>
    <x v="71"/>
    <n v="3"/>
    <s v="Desarrollo Económico"/>
    <n v="4"/>
    <s v="Temas Empresariales"/>
    <n v="4"/>
    <x v="14"/>
    <x v="3"/>
    <x v="12"/>
    <n v="1"/>
    <s v="Gasto corriente"/>
    <x v="0"/>
    <x v="0"/>
    <x v="0"/>
    <x v="0"/>
    <x v="0"/>
    <x v="0"/>
    <x v="0"/>
    <m/>
    <x v="0"/>
    <x v="0"/>
    <m/>
    <n v="58962023"/>
    <n v="0"/>
    <n v="-5819718"/>
    <n v="53142305"/>
    <n v="33745008"/>
    <m/>
    <x v="1"/>
    <n v="33745008"/>
  </r>
  <r>
    <x v="1"/>
    <x v="12"/>
    <x v="12"/>
    <x v="2"/>
    <s v="Apoyo al proceso presupuestario y para mejorar la eficiencia institucional"/>
    <x v="2"/>
    <x v="34"/>
    <x v="63"/>
    <x v="71"/>
    <n v="3"/>
    <s v="Desarrollo Económico"/>
    <n v="4"/>
    <s v="Temas Empresariales"/>
    <n v="4"/>
    <x v="14"/>
    <x v="3"/>
    <x v="12"/>
    <n v="2"/>
    <s v="Gasto de capital"/>
    <x v="0"/>
    <x v="0"/>
    <x v="0"/>
    <x v="0"/>
    <x v="0"/>
    <x v="0"/>
    <x v="0"/>
    <m/>
    <x v="0"/>
    <x v="0"/>
    <m/>
    <n v="60781492"/>
    <n v="0"/>
    <n v="-969145"/>
    <n v="59812347"/>
    <n v="5573416"/>
    <m/>
    <x v="1"/>
    <n v="5573416"/>
  </r>
  <r>
    <x v="1"/>
    <x v="12"/>
    <x v="12"/>
    <x v="2"/>
    <s v="Apoyo al proceso presupuestario y para mejorar la eficiencia institucional"/>
    <x v="2"/>
    <x v="34"/>
    <x v="64"/>
    <x v="119"/>
    <n v="3"/>
    <s v="Desarrollo Económico"/>
    <n v="4"/>
    <s v="Temas Empresariales"/>
    <n v="4"/>
    <x v="14"/>
    <x v="3"/>
    <x v="12"/>
    <n v="1"/>
    <s v="Gasto corriente"/>
    <x v="0"/>
    <x v="1"/>
    <x v="0"/>
    <x v="0"/>
    <x v="0"/>
    <x v="0"/>
    <x v="0"/>
    <m/>
    <x v="0"/>
    <x v="0"/>
    <m/>
    <n v="2260408"/>
    <n v="0"/>
    <n v="0"/>
    <n v="2260408"/>
    <n v="2610384"/>
    <m/>
    <x v="1"/>
    <n v="2610384"/>
  </r>
  <r>
    <x v="1"/>
    <x v="12"/>
    <x v="12"/>
    <x v="2"/>
    <s v="Apoyo al proceso presupuestario y para mejorar la eficiencia institucional"/>
    <x v="2"/>
    <x v="34"/>
    <x v="64"/>
    <x v="119"/>
    <n v="3"/>
    <s v="Desarrollo Económico"/>
    <n v="4"/>
    <s v="Temas Empresariales"/>
    <n v="4"/>
    <x v="14"/>
    <x v="3"/>
    <x v="12"/>
    <n v="1"/>
    <s v="Gasto corriente"/>
    <x v="0"/>
    <x v="0"/>
    <x v="0"/>
    <x v="0"/>
    <x v="0"/>
    <x v="0"/>
    <x v="0"/>
    <m/>
    <x v="0"/>
    <x v="0"/>
    <m/>
    <n v="40637589"/>
    <n v="0"/>
    <n v="-1914456"/>
    <n v="38723133"/>
    <n v="31217333"/>
    <m/>
    <x v="1"/>
    <n v="31217333"/>
  </r>
  <r>
    <x v="1"/>
    <x v="12"/>
    <x v="12"/>
    <x v="2"/>
    <s v="Apoyo al proceso presupuestario y para mejorar la eficiencia institucional"/>
    <x v="2"/>
    <x v="34"/>
    <x v="87"/>
    <x v="215"/>
    <n v="3"/>
    <s v="Desarrollo Económico"/>
    <n v="4"/>
    <s v="Temas Empresariales"/>
    <n v="4"/>
    <x v="14"/>
    <x v="3"/>
    <x v="12"/>
    <n v="1"/>
    <s v="Gasto corriente"/>
    <x v="0"/>
    <x v="1"/>
    <x v="0"/>
    <x v="0"/>
    <x v="0"/>
    <x v="0"/>
    <x v="0"/>
    <m/>
    <x v="0"/>
    <x v="0"/>
    <m/>
    <n v="1059048"/>
    <n v="0"/>
    <n v="0"/>
    <n v="1059048"/>
    <n v="1846416"/>
    <m/>
    <x v="1"/>
    <n v="1846416"/>
  </r>
  <r>
    <x v="1"/>
    <x v="12"/>
    <x v="12"/>
    <x v="2"/>
    <s v="Apoyo al proceso presupuestario y para mejorar la eficiencia institucional"/>
    <x v="2"/>
    <x v="34"/>
    <x v="87"/>
    <x v="215"/>
    <n v="3"/>
    <s v="Desarrollo Económico"/>
    <n v="4"/>
    <s v="Temas Empresariales"/>
    <n v="4"/>
    <x v="14"/>
    <x v="3"/>
    <x v="12"/>
    <n v="1"/>
    <s v="Gasto corriente"/>
    <x v="0"/>
    <x v="0"/>
    <x v="0"/>
    <x v="0"/>
    <x v="0"/>
    <x v="0"/>
    <x v="0"/>
    <m/>
    <x v="0"/>
    <x v="0"/>
    <m/>
    <n v="22781758"/>
    <n v="0"/>
    <n v="-1517830"/>
    <n v="21263928"/>
    <n v="31638622"/>
    <m/>
    <x v="1"/>
    <n v="31638622"/>
  </r>
  <r>
    <x v="1"/>
    <x v="12"/>
    <x v="12"/>
    <x v="2"/>
    <s v="Apoyo al proceso presupuestario y para mejorar la eficiencia institucional"/>
    <x v="2"/>
    <x v="34"/>
    <x v="87"/>
    <x v="215"/>
    <n v="3"/>
    <s v="Desarrollo Económico"/>
    <n v="4"/>
    <s v="Temas Empresariales"/>
    <n v="4"/>
    <x v="14"/>
    <x v="3"/>
    <x v="12"/>
    <n v="2"/>
    <s v="Gasto de capital"/>
    <x v="0"/>
    <x v="0"/>
    <x v="0"/>
    <x v="0"/>
    <x v="0"/>
    <x v="0"/>
    <x v="0"/>
    <m/>
    <x v="0"/>
    <x v="0"/>
    <m/>
    <m/>
    <m/>
    <m/>
    <m/>
    <n v="7924001"/>
    <m/>
    <x v="1"/>
    <n v="7924001"/>
  </r>
  <r>
    <x v="1"/>
    <x v="12"/>
    <x v="12"/>
    <x v="2"/>
    <s v="Apoyo al proceso presupuestario y para mejorar la eficiencia institucional"/>
    <x v="2"/>
    <x v="34"/>
    <x v="57"/>
    <x v="389"/>
    <n v="3"/>
    <s v="Desarrollo Económico"/>
    <n v="4"/>
    <s v="Temas Empresariales"/>
    <n v="2"/>
    <x v="43"/>
    <x v="3"/>
    <x v="12"/>
    <n v="1"/>
    <s v="Gasto corriente"/>
    <x v="0"/>
    <x v="1"/>
    <x v="0"/>
    <x v="0"/>
    <x v="0"/>
    <x v="0"/>
    <x v="0"/>
    <m/>
    <x v="0"/>
    <x v="0"/>
    <m/>
    <n v="150902"/>
    <n v="0"/>
    <n v="0"/>
    <n v="150902"/>
    <n v="126424"/>
    <m/>
    <x v="1"/>
    <n v="126424"/>
  </r>
  <r>
    <x v="1"/>
    <x v="12"/>
    <x v="12"/>
    <x v="2"/>
    <s v="Apoyo al proceso presupuestario y para mejorar la eficiencia institucional"/>
    <x v="2"/>
    <x v="34"/>
    <x v="57"/>
    <x v="389"/>
    <n v="3"/>
    <s v="Desarrollo Económico"/>
    <n v="4"/>
    <s v="Temas Empresariales"/>
    <n v="2"/>
    <x v="43"/>
    <x v="3"/>
    <x v="12"/>
    <n v="1"/>
    <s v="Gasto corriente"/>
    <x v="0"/>
    <x v="0"/>
    <x v="0"/>
    <x v="0"/>
    <x v="0"/>
    <x v="0"/>
    <x v="0"/>
    <m/>
    <x v="0"/>
    <x v="0"/>
    <m/>
    <n v="8150419"/>
    <n v="0"/>
    <n v="-836670"/>
    <n v="7313749"/>
    <n v="6261907"/>
    <m/>
    <x v="1"/>
    <n v="6261907"/>
  </r>
  <r>
    <x v="1"/>
    <x v="12"/>
    <x v="12"/>
    <x v="2"/>
    <s v="Apoyo al proceso presupuestario y para mejorar la eficiencia institucional"/>
    <x v="2"/>
    <x v="34"/>
    <x v="31"/>
    <x v="390"/>
    <n v="3"/>
    <s v="Desarrollo Económico"/>
    <n v="4"/>
    <s v="Temas Empresariales"/>
    <n v="2"/>
    <x v="43"/>
    <x v="3"/>
    <x v="12"/>
    <n v="1"/>
    <s v="Gasto corriente"/>
    <x v="0"/>
    <x v="1"/>
    <x v="0"/>
    <x v="0"/>
    <x v="0"/>
    <x v="0"/>
    <x v="0"/>
    <m/>
    <x v="0"/>
    <x v="0"/>
    <m/>
    <n v="120837"/>
    <n v="0"/>
    <n v="0"/>
    <n v="120837"/>
    <n v="89267"/>
    <m/>
    <x v="1"/>
    <n v="89267"/>
  </r>
  <r>
    <x v="1"/>
    <x v="12"/>
    <x v="12"/>
    <x v="2"/>
    <s v="Apoyo al proceso presupuestario y para mejorar la eficiencia institucional"/>
    <x v="2"/>
    <x v="34"/>
    <x v="31"/>
    <x v="390"/>
    <n v="3"/>
    <s v="Desarrollo Económico"/>
    <n v="4"/>
    <s v="Temas Empresariales"/>
    <n v="2"/>
    <x v="43"/>
    <x v="3"/>
    <x v="12"/>
    <n v="1"/>
    <s v="Gasto corriente"/>
    <x v="0"/>
    <x v="0"/>
    <x v="0"/>
    <x v="0"/>
    <x v="0"/>
    <x v="0"/>
    <x v="0"/>
    <m/>
    <x v="0"/>
    <x v="0"/>
    <m/>
    <n v="3960109"/>
    <n v="0"/>
    <n v="-2363"/>
    <n v="3957746"/>
    <n v="3431311"/>
    <m/>
    <x v="1"/>
    <n v="3431311"/>
  </r>
  <r>
    <x v="1"/>
    <x v="12"/>
    <x v="12"/>
    <x v="2"/>
    <s v="Apoyo al proceso presupuestario y para mejorar la eficiencia institucional"/>
    <x v="2"/>
    <x v="34"/>
    <x v="32"/>
    <x v="391"/>
    <n v="3"/>
    <s v="Desarrollo Económico"/>
    <n v="4"/>
    <s v="Temas Empresariales"/>
    <n v="1"/>
    <x v="44"/>
    <x v="3"/>
    <x v="12"/>
    <n v="1"/>
    <s v="Gasto corriente"/>
    <x v="0"/>
    <x v="1"/>
    <x v="0"/>
    <x v="0"/>
    <x v="0"/>
    <x v="0"/>
    <x v="0"/>
    <m/>
    <x v="0"/>
    <x v="0"/>
    <m/>
    <n v="1009396"/>
    <n v="0"/>
    <n v="0"/>
    <n v="1009396"/>
    <n v="1124135"/>
    <m/>
    <x v="1"/>
    <n v="1124135"/>
  </r>
  <r>
    <x v="1"/>
    <x v="12"/>
    <x v="12"/>
    <x v="2"/>
    <s v="Apoyo al proceso presupuestario y para mejorar la eficiencia institucional"/>
    <x v="2"/>
    <x v="34"/>
    <x v="32"/>
    <x v="391"/>
    <n v="3"/>
    <s v="Desarrollo Económico"/>
    <n v="4"/>
    <s v="Temas Empresariales"/>
    <n v="1"/>
    <x v="44"/>
    <x v="3"/>
    <x v="12"/>
    <n v="1"/>
    <s v="Gasto corriente"/>
    <x v="0"/>
    <x v="0"/>
    <x v="0"/>
    <x v="0"/>
    <x v="0"/>
    <x v="0"/>
    <x v="0"/>
    <m/>
    <x v="0"/>
    <x v="0"/>
    <m/>
    <n v="59820206"/>
    <n v="0"/>
    <n v="-5840741"/>
    <n v="53979465"/>
    <n v="47066619"/>
    <m/>
    <x v="1"/>
    <n v="47066619"/>
  </r>
  <r>
    <x v="1"/>
    <x v="12"/>
    <x v="12"/>
    <x v="2"/>
    <s v="Apoyo al proceso presupuestario y para mejorar la eficiencia institucional"/>
    <x v="2"/>
    <x v="34"/>
    <x v="189"/>
    <x v="358"/>
    <n v="3"/>
    <s v="Desarrollo Económico"/>
    <n v="4"/>
    <s v="Temas Empresariales"/>
    <n v="2"/>
    <x v="43"/>
    <x v="3"/>
    <x v="12"/>
    <n v="1"/>
    <s v="Gasto corriente"/>
    <x v="0"/>
    <x v="1"/>
    <x v="0"/>
    <x v="1"/>
    <x v="0"/>
    <x v="0"/>
    <x v="0"/>
    <m/>
    <x v="0"/>
    <x v="0"/>
    <m/>
    <n v="469622"/>
    <n v="0"/>
    <n v="0"/>
    <n v="469622"/>
    <n v="392993"/>
    <m/>
    <x v="1"/>
    <n v="392993"/>
  </r>
  <r>
    <x v="1"/>
    <x v="12"/>
    <x v="12"/>
    <x v="2"/>
    <s v="Apoyo al proceso presupuestario y para mejorar la eficiencia institucional"/>
    <x v="2"/>
    <x v="34"/>
    <x v="189"/>
    <x v="358"/>
    <n v="3"/>
    <s v="Desarrollo Económico"/>
    <n v="4"/>
    <s v="Temas Empresariales"/>
    <n v="2"/>
    <x v="43"/>
    <x v="3"/>
    <x v="12"/>
    <n v="1"/>
    <s v="Gasto corriente"/>
    <x v="0"/>
    <x v="0"/>
    <x v="0"/>
    <x v="1"/>
    <x v="0"/>
    <x v="0"/>
    <x v="0"/>
    <m/>
    <x v="0"/>
    <x v="0"/>
    <m/>
    <n v="7731819"/>
    <n v="0"/>
    <n v="-240687"/>
    <n v="7491132"/>
    <n v="2836956"/>
    <m/>
    <x v="1"/>
    <n v="2836956"/>
  </r>
  <r>
    <x v="1"/>
    <x v="12"/>
    <x v="12"/>
    <x v="2"/>
    <s v="Apoyo al proceso presupuestario y para mejorar la eficiencia institucional"/>
    <x v="2"/>
    <x v="34"/>
    <x v="246"/>
    <x v="385"/>
    <n v="3"/>
    <s v="Desarrollo Económico"/>
    <n v="4"/>
    <s v="Temas Empresariales"/>
    <n v="3"/>
    <x v="45"/>
    <x v="3"/>
    <x v="12"/>
    <n v="1"/>
    <s v="Gasto corriente"/>
    <x v="0"/>
    <x v="0"/>
    <x v="0"/>
    <x v="0"/>
    <x v="0"/>
    <x v="0"/>
    <x v="0"/>
    <m/>
    <x v="0"/>
    <x v="0"/>
    <m/>
    <n v="47452037"/>
    <n v="0"/>
    <n v="-13789327"/>
    <n v="33662710"/>
    <n v="29623184"/>
    <m/>
    <x v="1"/>
    <n v="29623184"/>
  </r>
  <r>
    <x v="1"/>
    <x v="12"/>
    <x v="12"/>
    <x v="2"/>
    <s v="Apoyo al proceso presupuestario y para mejorar la eficiencia institucional"/>
    <x v="2"/>
    <x v="34"/>
    <x v="188"/>
    <x v="357"/>
    <n v="3"/>
    <s v="Desarrollo Económico"/>
    <n v="4"/>
    <s v="Temas Empresariales"/>
    <n v="4"/>
    <x v="14"/>
    <x v="3"/>
    <x v="12"/>
    <n v="1"/>
    <s v="Gasto corriente"/>
    <x v="0"/>
    <x v="1"/>
    <x v="0"/>
    <x v="0"/>
    <x v="0"/>
    <x v="0"/>
    <x v="0"/>
    <m/>
    <x v="0"/>
    <x v="0"/>
    <m/>
    <n v="2738575"/>
    <n v="0"/>
    <n v="0"/>
    <n v="2738575"/>
    <n v="2440209"/>
    <m/>
    <x v="1"/>
    <n v="2440209"/>
  </r>
  <r>
    <x v="1"/>
    <x v="12"/>
    <x v="12"/>
    <x v="2"/>
    <s v="Apoyo al proceso presupuestario y para mejorar la eficiencia institucional"/>
    <x v="2"/>
    <x v="34"/>
    <x v="188"/>
    <x v="357"/>
    <n v="3"/>
    <s v="Desarrollo Económico"/>
    <n v="4"/>
    <s v="Temas Empresariales"/>
    <n v="4"/>
    <x v="14"/>
    <x v="3"/>
    <x v="12"/>
    <n v="1"/>
    <s v="Gasto corriente"/>
    <x v="0"/>
    <x v="0"/>
    <x v="0"/>
    <x v="0"/>
    <x v="0"/>
    <x v="0"/>
    <x v="0"/>
    <m/>
    <x v="0"/>
    <x v="0"/>
    <m/>
    <n v="41011929"/>
    <n v="0"/>
    <n v="-2217352"/>
    <n v="38794577"/>
    <n v="34022281"/>
    <m/>
    <x v="1"/>
    <n v="34022281"/>
  </r>
  <r>
    <x v="1"/>
    <x v="12"/>
    <x v="12"/>
    <x v="2"/>
    <s v="Apoyo al proceso presupuestario y para mejorar la eficiencia institucional"/>
    <x v="2"/>
    <x v="34"/>
    <x v="190"/>
    <x v="359"/>
    <n v="3"/>
    <s v="Desarrollo Económico"/>
    <n v="4"/>
    <s v="Temas Empresariales"/>
    <n v="4"/>
    <x v="14"/>
    <x v="3"/>
    <x v="12"/>
    <n v="1"/>
    <s v="Gasto corriente"/>
    <x v="0"/>
    <x v="1"/>
    <x v="0"/>
    <x v="0"/>
    <x v="0"/>
    <x v="0"/>
    <x v="0"/>
    <m/>
    <x v="0"/>
    <x v="0"/>
    <m/>
    <n v="566029"/>
    <n v="0"/>
    <n v="0"/>
    <n v="566029"/>
    <n v="628230"/>
    <m/>
    <x v="1"/>
    <n v="628230"/>
  </r>
  <r>
    <x v="1"/>
    <x v="12"/>
    <x v="12"/>
    <x v="2"/>
    <s v="Apoyo al proceso presupuestario y para mejorar la eficiencia institucional"/>
    <x v="2"/>
    <x v="34"/>
    <x v="190"/>
    <x v="359"/>
    <n v="3"/>
    <s v="Desarrollo Económico"/>
    <n v="4"/>
    <s v="Temas Empresariales"/>
    <n v="4"/>
    <x v="14"/>
    <x v="3"/>
    <x v="12"/>
    <n v="1"/>
    <s v="Gasto corriente"/>
    <x v="0"/>
    <x v="0"/>
    <x v="0"/>
    <x v="0"/>
    <x v="0"/>
    <x v="0"/>
    <x v="0"/>
    <m/>
    <x v="0"/>
    <x v="0"/>
    <m/>
    <n v="9537879"/>
    <n v="0"/>
    <n v="-346009"/>
    <n v="9191870"/>
    <n v="7958721"/>
    <m/>
    <x v="1"/>
    <n v="7958721"/>
  </r>
  <r>
    <x v="1"/>
    <x v="12"/>
    <x v="12"/>
    <x v="3"/>
    <s v="Apoyo a la función pública y al mejoramiento de la gestión"/>
    <x v="2"/>
    <x v="42"/>
    <x v="11"/>
    <x v="77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927661"/>
    <n v="0"/>
    <n v="0"/>
    <n v="927661"/>
    <n v="1165701"/>
    <m/>
    <x v="1"/>
    <n v="1165701"/>
  </r>
  <r>
    <x v="1"/>
    <x v="12"/>
    <x v="12"/>
    <x v="3"/>
    <s v="Apoyo a la función pública y al mejoramiento de la gestión"/>
    <x v="2"/>
    <x v="42"/>
    <x v="11"/>
    <x v="7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1480863"/>
    <n v="0"/>
    <n v="-926765"/>
    <n v="30554098"/>
    <n v="24239696"/>
    <m/>
    <x v="1"/>
    <n v="24239696"/>
  </r>
  <r>
    <x v="1"/>
    <x v="12"/>
    <x v="12"/>
    <x v="3"/>
    <s v="Apoyo a la función pública y al mejoramiento de la gestión"/>
    <x v="2"/>
    <x v="42"/>
    <x v="57"/>
    <x v="389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90535"/>
    <n v="0"/>
    <n v="0"/>
    <n v="90535"/>
    <n v="75849"/>
    <m/>
    <x v="1"/>
    <n v="75849"/>
  </r>
  <r>
    <x v="1"/>
    <x v="12"/>
    <x v="12"/>
    <x v="3"/>
    <s v="Apoyo a la función pública y al mejoramiento de la gestión"/>
    <x v="2"/>
    <x v="42"/>
    <x v="57"/>
    <x v="38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412074"/>
    <n v="0"/>
    <n v="0"/>
    <n v="4412074"/>
    <n v="4093701"/>
    <m/>
    <x v="1"/>
    <n v="4093701"/>
  </r>
  <r>
    <x v="1"/>
    <x v="12"/>
    <x v="12"/>
    <x v="3"/>
    <s v="Apoyo a la función pública y al mejoramiento de la gestión"/>
    <x v="2"/>
    <x v="42"/>
    <x v="32"/>
    <x v="391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449466"/>
    <n v="0"/>
    <n v="0"/>
    <n v="449466"/>
    <n v="500534"/>
    <m/>
    <x v="1"/>
    <n v="500534"/>
  </r>
  <r>
    <x v="1"/>
    <x v="12"/>
    <x v="12"/>
    <x v="3"/>
    <s v="Apoyo a la función pública y al mejoramiento de la gestión"/>
    <x v="2"/>
    <x v="42"/>
    <x v="32"/>
    <x v="39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4246847"/>
    <n v="0"/>
    <n v="0"/>
    <n v="14246847"/>
    <n v="12791353"/>
    <m/>
    <x v="1"/>
    <n v="12791353"/>
  </r>
  <r>
    <x v="1"/>
    <x v="12"/>
    <x v="12"/>
    <x v="3"/>
    <s v="Apoyo a la función pública y al mejoramiento de la gestión"/>
    <x v="2"/>
    <x v="42"/>
    <x v="189"/>
    <x v="358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127170"/>
    <n v="0"/>
    <n v="0"/>
    <n v="127170"/>
    <n v="1776708"/>
    <m/>
    <x v="1"/>
    <n v="1776708"/>
  </r>
  <r>
    <x v="1"/>
    <x v="12"/>
    <x v="12"/>
    <x v="3"/>
    <s v="Apoyo a la función pública y al mejoramiento de la gestión"/>
    <x v="2"/>
    <x v="42"/>
    <x v="189"/>
    <x v="358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3230759"/>
    <n v="0"/>
    <n v="-123892"/>
    <n v="3106867"/>
    <n v="1456810"/>
    <m/>
    <x v="1"/>
    <n v="1456810"/>
  </r>
  <r>
    <x v="1"/>
    <x v="12"/>
    <x v="12"/>
    <x v="3"/>
    <s v="Apoyo a la función pública y al mejoramiento de la gestión"/>
    <x v="2"/>
    <x v="42"/>
    <x v="246"/>
    <x v="38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3664929"/>
    <n v="0"/>
    <n v="0"/>
    <n v="13664929"/>
    <n v="12706810"/>
    <m/>
    <x v="1"/>
    <n v="12706810"/>
  </r>
  <r>
    <x v="1"/>
    <x v="12"/>
    <x v="12"/>
    <x v="3"/>
    <s v="Apoyo a la función pública y al mejoramiento de la gestión"/>
    <x v="2"/>
    <x v="42"/>
    <x v="188"/>
    <x v="357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616366"/>
    <n v="0"/>
    <n v="0"/>
    <n v="616366"/>
    <n v="549199"/>
    <m/>
    <x v="1"/>
    <n v="549199"/>
  </r>
  <r>
    <x v="1"/>
    <x v="12"/>
    <x v="12"/>
    <x v="3"/>
    <s v="Apoyo a la función pública y al mejoramiento de la gestión"/>
    <x v="2"/>
    <x v="42"/>
    <x v="188"/>
    <x v="35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6603345"/>
    <n v="0"/>
    <n v="-1175453"/>
    <n v="15427892"/>
    <n v="14417194"/>
    <m/>
    <x v="1"/>
    <n v="14417194"/>
  </r>
  <r>
    <x v="1"/>
    <x v="12"/>
    <x v="12"/>
    <x v="3"/>
    <s v="Apoyo a la función pública y al mejoramiento de la gestión"/>
    <x v="2"/>
    <x v="42"/>
    <x v="190"/>
    <x v="359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79771"/>
    <n v="0"/>
    <n v="0"/>
    <n v="279771"/>
    <n v="310510"/>
    <m/>
    <x v="1"/>
    <n v="310510"/>
  </r>
  <r>
    <x v="1"/>
    <x v="12"/>
    <x v="12"/>
    <x v="3"/>
    <s v="Apoyo a la función pública y al mejoramiento de la gestión"/>
    <x v="2"/>
    <x v="42"/>
    <x v="190"/>
    <x v="35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5289450"/>
    <n v="0"/>
    <n v="-178803"/>
    <n v="5110647"/>
    <n v="3932987"/>
    <m/>
    <x v="1"/>
    <n v="3932987"/>
  </r>
  <r>
    <x v="1"/>
    <x v="12"/>
    <x v="12"/>
    <x v="3"/>
    <s v="Apoyo a la función pública y al mejoramiento de la gestión"/>
    <x v="32"/>
    <x v="121"/>
    <x v="62"/>
    <x v="6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422493"/>
    <n v="0"/>
    <n v="-518842"/>
    <n v="5903651"/>
    <n v="5549461"/>
    <m/>
    <x v="1"/>
    <n v="5549461"/>
  </r>
  <r>
    <x v="1"/>
    <x v="12"/>
    <x v="12"/>
    <x v="3"/>
    <s v="Apoyo a la función pública y al mejoramiento de la gestión"/>
    <x v="32"/>
    <x v="121"/>
    <x v="57"/>
    <x v="38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12659"/>
    <n v="0"/>
    <n v="0"/>
    <n v="312659"/>
    <n v="300000"/>
    <m/>
    <x v="1"/>
    <n v="300000"/>
  </r>
  <r>
    <x v="1"/>
    <x v="12"/>
    <x v="12"/>
    <x v="3"/>
    <s v="Apoyo a la función pública y al mejoramiento de la gestión"/>
    <x v="32"/>
    <x v="121"/>
    <x v="31"/>
    <x v="39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46457"/>
    <n v="0"/>
    <n v="0"/>
    <n v="446457"/>
    <n v="446457"/>
    <m/>
    <x v="1"/>
    <n v="446457"/>
  </r>
  <r>
    <x v="1"/>
    <x v="12"/>
    <x v="12"/>
    <x v="5"/>
    <s v="Planeación, seguimiento y evaluación de políticas públicas"/>
    <x v="2"/>
    <x v="260"/>
    <x v="9"/>
    <x v="392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58725"/>
    <n v="0"/>
    <n v="0"/>
    <n v="58725"/>
    <m/>
    <m/>
    <x v="1"/>
    <n v="0"/>
  </r>
  <r>
    <x v="1"/>
    <x v="12"/>
    <x v="12"/>
    <x v="5"/>
    <s v="Planeación, seguimiento y evaluación de políticas públicas"/>
    <x v="2"/>
    <x v="260"/>
    <x v="9"/>
    <x v="392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11754501"/>
    <n v="0"/>
    <n v="-123937"/>
    <n v="11630564"/>
    <m/>
    <m/>
    <x v="1"/>
    <n v="0"/>
  </r>
  <r>
    <x v="1"/>
    <x v="12"/>
    <x v="12"/>
    <x v="5"/>
    <s v="Planeación, seguimiento y evaluación de políticas públicas"/>
    <x v="2"/>
    <x v="260"/>
    <x v="52"/>
    <x v="392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m/>
    <m/>
    <m/>
    <m/>
    <n v="77937"/>
    <m/>
    <x v="1"/>
    <n v="77937"/>
  </r>
  <r>
    <x v="1"/>
    <x v="12"/>
    <x v="12"/>
    <x v="5"/>
    <s v="Planeación, seguimiento y evaluación de políticas públicas"/>
    <x v="2"/>
    <x v="260"/>
    <x v="52"/>
    <x v="392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m/>
    <m/>
    <m/>
    <m/>
    <n v="13195410"/>
    <m/>
    <x v="1"/>
    <n v="13195410"/>
  </r>
  <r>
    <x v="1"/>
    <x v="12"/>
    <x v="12"/>
    <x v="5"/>
    <s v="Planeación, seguimiento y evaluación de políticas públicas"/>
    <x v="3"/>
    <x v="261"/>
    <x v="58"/>
    <x v="393"/>
    <n v="3"/>
    <s v="Desarrollo Económico"/>
    <n v="4"/>
    <s v="Temas Empresariales"/>
    <n v="3"/>
    <x v="45"/>
    <x v="16"/>
    <x v="83"/>
    <n v="1"/>
    <s v="Gasto corriente"/>
    <x v="0"/>
    <x v="1"/>
    <x v="0"/>
    <x v="0"/>
    <x v="0"/>
    <x v="0"/>
    <x v="0"/>
    <m/>
    <x v="0"/>
    <x v="0"/>
    <m/>
    <n v="1846977"/>
    <n v="0"/>
    <n v="0"/>
    <n v="1846977"/>
    <n v="2156567"/>
    <m/>
    <x v="1"/>
    <n v="2156567"/>
  </r>
  <r>
    <x v="1"/>
    <x v="12"/>
    <x v="12"/>
    <x v="5"/>
    <s v="Planeación, seguimiento y evaluación de políticas públicas"/>
    <x v="3"/>
    <x v="261"/>
    <x v="58"/>
    <x v="393"/>
    <n v="3"/>
    <s v="Desarrollo Económico"/>
    <n v="4"/>
    <s v="Temas Empresariales"/>
    <n v="3"/>
    <x v="45"/>
    <x v="16"/>
    <x v="83"/>
    <n v="1"/>
    <s v="Gasto corriente"/>
    <x v="0"/>
    <x v="0"/>
    <x v="0"/>
    <x v="0"/>
    <x v="0"/>
    <x v="0"/>
    <x v="0"/>
    <m/>
    <x v="0"/>
    <x v="0"/>
    <m/>
    <n v="158069913"/>
    <n v="0"/>
    <n v="-9122609"/>
    <n v="148947304"/>
    <n v="649776923"/>
    <m/>
    <x v="1"/>
    <n v="649776923"/>
  </r>
  <r>
    <x v="1"/>
    <x v="12"/>
    <x v="12"/>
    <x v="5"/>
    <s v="Planeación, seguimiento y evaluación de políticas públicas"/>
    <x v="3"/>
    <x v="261"/>
    <x v="58"/>
    <x v="393"/>
    <n v="3"/>
    <s v="Desarrollo Económico"/>
    <n v="4"/>
    <s v="Temas Empresariales"/>
    <n v="3"/>
    <x v="45"/>
    <x v="16"/>
    <x v="83"/>
    <n v="2"/>
    <s v="Gasto de capital"/>
    <x v="0"/>
    <x v="0"/>
    <x v="0"/>
    <x v="0"/>
    <x v="0"/>
    <x v="0"/>
    <x v="0"/>
    <m/>
    <x v="0"/>
    <x v="0"/>
    <m/>
    <n v="7000000"/>
    <n v="0"/>
    <n v="-135400"/>
    <n v="6864600"/>
    <n v="6269999"/>
    <m/>
    <x v="1"/>
    <n v="6269999"/>
  </r>
  <r>
    <x v="1"/>
    <x v="12"/>
    <x v="12"/>
    <x v="5"/>
    <s v="Planeación, seguimiento y evaluación de políticas públicas"/>
    <x v="3"/>
    <x v="261"/>
    <x v="59"/>
    <x v="394"/>
    <n v="3"/>
    <s v="Desarrollo Económico"/>
    <n v="4"/>
    <s v="Temas Empresariales"/>
    <n v="3"/>
    <x v="45"/>
    <x v="16"/>
    <x v="83"/>
    <n v="1"/>
    <s v="Gasto corriente"/>
    <x v="0"/>
    <x v="1"/>
    <x v="0"/>
    <x v="0"/>
    <x v="0"/>
    <x v="0"/>
    <x v="0"/>
    <m/>
    <x v="0"/>
    <x v="0"/>
    <m/>
    <n v="440053"/>
    <n v="0"/>
    <n v="0"/>
    <n v="440053"/>
    <n v="464183"/>
    <m/>
    <x v="1"/>
    <n v="464183"/>
  </r>
  <r>
    <x v="1"/>
    <x v="12"/>
    <x v="12"/>
    <x v="5"/>
    <s v="Planeación, seguimiento y evaluación de políticas públicas"/>
    <x v="3"/>
    <x v="261"/>
    <x v="59"/>
    <x v="394"/>
    <n v="3"/>
    <s v="Desarrollo Económico"/>
    <n v="4"/>
    <s v="Temas Empresariales"/>
    <n v="3"/>
    <x v="45"/>
    <x v="16"/>
    <x v="83"/>
    <n v="1"/>
    <s v="Gasto corriente"/>
    <x v="0"/>
    <x v="0"/>
    <x v="0"/>
    <x v="0"/>
    <x v="0"/>
    <x v="0"/>
    <x v="0"/>
    <m/>
    <x v="0"/>
    <x v="0"/>
    <m/>
    <n v="18883886"/>
    <n v="0"/>
    <n v="-293652"/>
    <n v="18590234"/>
    <n v="18801393"/>
    <m/>
    <x v="1"/>
    <n v="18801393"/>
  </r>
  <r>
    <x v="1"/>
    <x v="12"/>
    <x v="12"/>
    <x v="5"/>
    <s v="Planeación, seguimiento y evaluación de políticas públicas"/>
    <x v="3"/>
    <x v="261"/>
    <x v="85"/>
    <x v="395"/>
    <n v="3"/>
    <s v="Desarrollo Económico"/>
    <n v="4"/>
    <s v="Temas Empresariales"/>
    <n v="3"/>
    <x v="45"/>
    <x v="16"/>
    <x v="83"/>
    <n v="1"/>
    <s v="Gasto corriente"/>
    <x v="0"/>
    <x v="1"/>
    <x v="0"/>
    <x v="0"/>
    <x v="0"/>
    <x v="0"/>
    <x v="0"/>
    <m/>
    <x v="0"/>
    <x v="0"/>
    <m/>
    <n v="345844"/>
    <n v="0"/>
    <n v="0"/>
    <n v="345844"/>
    <n v="404003"/>
    <m/>
    <x v="1"/>
    <n v="404003"/>
  </r>
  <r>
    <x v="1"/>
    <x v="12"/>
    <x v="12"/>
    <x v="5"/>
    <s v="Planeación, seguimiento y evaluación de políticas públicas"/>
    <x v="3"/>
    <x v="261"/>
    <x v="85"/>
    <x v="395"/>
    <n v="3"/>
    <s v="Desarrollo Económico"/>
    <n v="4"/>
    <s v="Temas Empresariales"/>
    <n v="3"/>
    <x v="45"/>
    <x v="16"/>
    <x v="83"/>
    <n v="1"/>
    <s v="Gasto corriente"/>
    <x v="0"/>
    <x v="0"/>
    <x v="0"/>
    <x v="0"/>
    <x v="0"/>
    <x v="0"/>
    <x v="0"/>
    <m/>
    <x v="0"/>
    <x v="0"/>
    <m/>
    <n v="25342549"/>
    <n v="0"/>
    <n v="-865429"/>
    <n v="24477120"/>
    <n v="30312262"/>
    <m/>
    <x v="1"/>
    <n v="30312262"/>
  </r>
  <r>
    <x v="1"/>
    <x v="12"/>
    <x v="12"/>
    <x v="5"/>
    <s v="Planeación, seguimiento y evaluación de políticas públicas"/>
    <x v="3"/>
    <x v="261"/>
    <x v="81"/>
    <x v="396"/>
    <n v="3"/>
    <s v="Desarrollo Económico"/>
    <n v="4"/>
    <s v="Temas Empresariales"/>
    <n v="3"/>
    <x v="45"/>
    <x v="16"/>
    <x v="83"/>
    <n v="1"/>
    <s v="Gasto corriente"/>
    <x v="0"/>
    <x v="1"/>
    <x v="0"/>
    <x v="0"/>
    <x v="0"/>
    <x v="0"/>
    <x v="0"/>
    <m/>
    <x v="0"/>
    <x v="0"/>
    <m/>
    <n v="783380"/>
    <n v="0"/>
    <n v="0"/>
    <n v="783380"/>
    <n v="1026698"/>
    <m/>
    <x v="1"/>
    <n v="1026698"/>
  </r>
  <r>
    <x v="1"/>
    <x v="12"/>
    <x v="12"/>
    <x v="5"/>
    <s v="Planeación, seguimiento y evaluación de políticas públicas"/>
    <x v="3"/>
    <x v="261"/>
    <x v="81"/>
    <x v="396"/>
    <n v="3"/>
    <s v="Desarrollo Económico"/>
    <n v="4"/>
    <s v="Temas Empresariales"/>
    <n v="3"/>
    <x v="45"/>
    <x v="16"/>
    <x v="83"/>
    <n v="1"/>
    <s v="Gasto corriente"/>
    <x v="0"/>
    <x v="0"/>
    <x v="0"/>
    <x v="0"/>
    <x v="0"/>
    <x v="0"/>
    <x v="0"/>
    <m/>
    <x v="0"/>
    <x v="0"/>
    <m/>
    <n v="35986572"/>
    <n v="0"/>
    <n v="-752983"/>
    <n v="35233589"/>
    <n v="37223298"/>
    <m/>
    <x v="1"/>
    <n v="37223298"/>
  </r>
  <r>
    <x v="1"/>
    <x v="12"/>
    <x v="12"/>
    <x v="5"/>
    <s v="Planeación, seguimiento y evaluación de políticas públicas"/>
    <x v="3"/>
    <x v="261"/>
    <x v="105"/>
    <x v="397"/>
    <n v="3"/>
    <s v="Desarrollo Económico"/>
    <n v="4"/>
    <s v="Temas Empresariales"/>
    <n v="3"/>
    <x v="45"/>
    <x v="16"/>
    <x v="83"/>
    <n v="1"/>
    <s v="Gasto corriente"/>
    <x v="0"/>
    <x v="1"/>
    <x v="0"/>
    <x v="0"/>
    <x v="0"/>
    <x v="0"/>
    <x v="0"/>
    <m/>
    <x v="0"/>
    <x v="0"/>
    <m/>
    <n v="479884"/>
    <n v="0"/>
    <n v="0"/>
    <n v="479884"/>
    <n v="598318"/>
    <m/>
    <x v="1"/>
    <n v="598318"/>
  </r>
  <r>
    <x v="1"/>
    <x v="12"/>
    <x v="12"/>
    <x v="5"/>
    <s v="Planeación, seguimiento y evaluación de políticas públicas"/>
    <x v="3"/>
    <x v="261"/>
    <x v="105"/>
    <x v="397"/>
    <n v="3"/>
    <s v="Desarrollo Económico"/>
    <n v="4"/>
    <s v="Temas Empresariales"/>
    <n v="3"/>
    <x v="45"/>
    <x v="16"/>
    <x v="83"/>
    <n v="1"/>
    <s v="Gasto corriente"/>
    <x v="0"/>
    <x v="0"/>
    <x v="0"/>
    <x v="0"/>
    <x v="0"/>
    <x v="0"/>
    <x v="0"/>
    <m/>
    <x v="0"/>
    <x v="0"/>
    <m/>
    <n v="18338724"/>
    <n v="0"/>
    <n v="-356365"/>
    <n v="17982359"/>
    <n v="21429214"/>
    <m/>
    <x v="1"/>
    <n v="21429214"/>
  </r>
  <r>
    <x v="1"/>
    <x v="12"/>
    <x v="12"/>
    <x v="5"/>
    <s v="Planeación, seguimiento y evaluación de políticas públicas"/>
    <x v="3"/>
    <x v="261"/>
    <x v="82"/>
    <x v="398"/>
    <n v="3"/>
    <s v="Desarrollo Económico"/>
    <n v="4"/>
    <s v="Temas Empresariales"/>
    <n v="3"/>
    <x v="45"/>
    <x v="16"/>
    <x v="83"/>
    <n v="1"/>
    <s v="Gasto corriente"/>
    <x v="0"/>
    <x v="1"/>
    <x v="0"/>
    <x v="0"/>
    <x v="0"/>
    <x v="0"/>
    <x v="0"/>
    <m/>
    <x v="0"/>
    <x v="0"/>
    <m/>
    <n v="304099"/>
    <n v="0"/>
    <n v="0"/>
    <n v="304099"/>
    <n v="264938"/>
    <m/>
    <x v="1"/>
    <n v="264938"/>
  </r>
  <r>
    <x v="1"/>
    <x v="12"/>
    <x v="12"/>
    <x v="5"/>
    <s v="Planeación, seguimiento y evaluación de políticas públicas"/>
    <x v="3"/>
    <x v="261"/>
    <x v="82"/>
    <x v="398"/>
    <n v="3"/>
    <s v="Desarrollo Económico"/>
    <n v="4"/>
    <s v="Temas Empresariales"/>
    <n v="3"/>
    <x v="45"/>
    <x v="16"/>
    <x v="83"/>
    <n v="1"/>
    <s v="Gasto corriente"/>
    <x v="0"/>
    <x v="0"/>
    <x v="0"/>
    <x v="0"/>
    <x v="0"/>
    <x v="0"/>
    <x v="0"/>
    <m/>
    <x v="0"/>
    <x v="0"/>
    <m/>
    <n v="10777975"/>
    <n v="0"/>
    <n v="-230591"/>
    <n v="10547384"/>
    <n v="18647709"/>
    <m/>
    <x v="1"/>
    <n v="18647709"/>
  </r>
  <r>
    <x v="1"/>
    <x v="12"/>
    <x v="12"/>
    <x v="5"/>
    <s v="Planeación, seguimiento y evaluación de políticas públicas"/>
    <x v="4"/>
    <x v="262"/>
    <x v="53"/>
    <x v="399"/>
    <n v="3"/>
    <s v="Desarrollo Económico"/>
    <n v="4"/>
    <s v="Temas Empresariales"/>
    <n v="3"/>
    <x v="45"/>
    <x v="11"/>
    <x v="80"/>
    <n v="1"/>
    <s v="Gasto corriente"/>
    <x v="0"/>
    <x v="1"/>
    <x v="0"/>
    <x v="0"/>
    <x v="0"/>
    <x v="0"/>
    <x v="0"/>
    <m/>
    <x v="0"/>
    <x v="0"/>
    <m/>
    <n v="1774083"/>
    <n v="0"/>
    <n v="0"/>
    <n v="1774083"/>
    <m/>
    <m/>
    <x v="1"/>
    <n v="0"/>
  </r>
  <r>
    <x v="1"/>
    <x v="12"/>
    <x v="12"/>
    <x v="5"/>
    <s v="Planeación, seguimiento y evaluación de políticas públicas"/>
    <x v="4"/>
    <x v="262"/>
    <x v="53"/>
    <x v="399"/>
    <n v="3"/>
    <s v="Desarrollo Económico"/>
    <n v="4"/>
    <s v="Temas Empresariales"/>
    <n v="3"/>
    <x v="45"/>
    <x v="11"/>
    <x v="80"/>
    <n v="1"/>
    <s v="Gasto corriente"/>
    <x v="0"/>
    <x v="0"/>
    <x v="0"/>
    <x v="0"/>
    <x v="0"/>
    <x v="0"/>
    <x v="0"/>
    <m/>
    <x v="0"/>
    <x v="0"/>
    <m/>
    <n v="56474810"/>
    <n v="0"/>
    <n v="-2195004"/>
    <n v="54279806"/>
    <m/>
    <m/>
    <x v="1"/>
    <n v="0"/>
  </r>
  <r>
    <x v="1"/>
    <x v="12"/>
    <x v="12"/>
    <x v="5"/>
    <s v="Planeación, seguimiento y evaluación de políticas públicas"/>
    <x v="4"/>
    <x v="262"/>
    <x v="102"/>
    <x v="399"/>
    <n v="3"/>
    <s v="Desarrollo Económico"/>
    <n v="4"/>
    <s v="Temas Empresariales"/>
    <n v="3"/>
    <x v="45"/>
    <x v="11"/>
    <x v="80"/>
    <n v="1"/>
    <s v="Gasto corriente"/>
    <x v="0"/>
    <x v="1"/>
    <x v="0"/>
    <x v="0"/>
    <x v="0"/>
    <x v="0"/>
    <x v="0"/>
    <m/>
    <x v="0"/>
    <x v="0"/>
    <m/>
    <m/>
    <m/>
    <m/>
    <m/>
    <n v="2071940"/>
    <m/>
    <x v="1"/>
    <n v="2071940"/>
  </r>
  <r>
    <x v="1"/>
    <x v="12"/>
    <x v="12"/>
    <x v="5"/>
    <s v="Planeación, seguimiento y evaluación de políticas públicas"/>
    <x v="4"/>
    <x v="262"/>
    <x v="102"/>
    <x v="399"/>
    <n v="3"/>
    <s v="Desarrollo Económico"/>
    <n v="4"/>
    <s v="Temas Empresariales"/>
    <n v="3"/>
    <x v="45"/>
    <x v="11"/>
    <x v="80"/>
    <n v="1"/>
    <s v="Gasto corriente"/>
    <x v="0"/>
    <x v="0"/>
    <x v="0"/>
    <x v="0"/>
    <x v="0"/>
    <x v="0"/>
    <x v="0"/>
    <m/>
    <x v="0"/>
    <x v="0"/>
    <m/>
    <m/>
    <m/>
    <m/>
    <m/>
    <n v="51113055"/>
    <m/>
    <x v="1"/>
    <n v="51113055"/>
  </r>
  <r>
    <x v="1"/>
    <x v="12"/>
    <x v="12"/>
    <x v="5"/>
    <s v="Planeación, seguimiento y evaluación de políticas públicas"/>
    <x v="5"/>
    <x v="263"/>
    <x v="32"/>
    <x v="391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9311565"/>
    <n v="0"/>
    <n v="0"/>
    <n v="9311565"/>
    <n v="10761322"/>
    <m/>
    <x v="1"/>
    <n v="10761322"/>
  </r>
  <r>
    <x v="1"/>
    <x v="12"/>
    <x v="12"/>
    <x v="5"/>
    <s v="Planeación, seguimiento y evaluación de políticas públicas"/>
    <x v="5"/>
    <x v="263"/>
    <x v="32"/>
    <x v="391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46895266"/>
    <n v="0"/>
    <n v="-11548358"/>
    <n v="235346908"/>
    <n v="228367621"/>
    <m/>
    <x v="1"/>
    <n v="228367621"/>
  </r>
  <r>
    <x v="1"/>
    <x v="12"/>
    <x v="12"/>
    <x v="5"/>
    <s v="Planeación, seguimiento y evaluación de políticas públicas"/>
    <x v="6"/>
    <x v="264"/>
    <x v="39"/>
    <x v="400"/>
    <n v="3"/>
    <s v="Desarrollo Económico"/>
    <n v="4"/>
    <s v="Temas Empresariales"/>
    <n v="2"/>
    <x v="43"/>
    <x v="7"/>
    <x v="84"/>
    <n v="1"/>
    <s v="Gasto corriente"/>
    <x v="0"/>
    <x v="1"/>
    <x v="0"/>
    <x v="0"/>
    <x v="0"/>
    <x v="0"/>
    <x v="0"/>
    <m/>
    <x v="0"/>
    <x v="0"/>
    <m/>
    <n v="1400102"/>
    <n v="0"/>
    <n v="0"/>
    <n v="1400102"/>
    <n v="1529715"/>
    <m/>
    <x v="1"/>
    <n v="1529715"/>
  </r>
  <r>
    <x v="1"/>
    <x v="12"/>
    <x v="12"/>
    <x v="5"/>
    <s v="Planeación, seguimiento y evaluación de políticas públicas"/>
    <x v="6"/>
    <x v="264"/>
    <x v="39"/>
    <x v="400"/>
    <n v="3"/>
    <s v="Desarrollo Económico"/>
    <n v="4"/>
    <s v="Temas Empresariales"/>
    <n v="2"/>
    <x v="43"/>
    <x v="7"/>
    <x v="84"/>
    <n v="1"/>
    <s v="Gasto corriente"/>
    <x v="0"/>
    <x v="0"/>
    <x v="0"/>
    <x v="0"/>
    <x v="0"/>
    <x v="0"/>
    <x v="0"/>
    <m/>
    <x v="0"/>
    <x v="0"/>
    <m/>
    <n v="37721758"/>
    <n v="0"/>
    <n v="-750511"/>
    <n v="36971247"/>
    <n v="34929909"/>
    <m/>
    <x v="1"/>
    <n v="34929909"/>
  </r>
  <r>
    <x v="1"/>
    <x v="12"/>
    <x v="12"/>
    <x v="5"/>
    <s v="Planeación, seguimiento y evaluación de políticas públicas"/>
    <x v="7"/>
    <x v="265"/>
    <x v="1"/>
    <x v="78"/>
    <n v="3"/>
    <s v="Desarrollo Económico"/>
    <n v="4"/>
    <s v="Temas Empresariales"/>
    <n v="4"/>
    <x v="14"/>
    <x v="14"/>
    <x v="85"/>
    <n v="1"/>
    <s v="Gasto corriente"/>
    <x v="0"/>
    <x v="1"/>
    <x v="0"/>
    <x v="0"/>
    <x v="0"/>
    <x v="0"/>
    <x v="0"/>
    <m/>
    <x v="0"/>
    <x v="0"/>
    <m/>
    <n v="2184269"/>
    <n v="0"/>
    <n v="0"/>
    <n v="2184269"/>
    <n v="2676210"/>
    <m/>
    <x v="1"/>
    <n v="2676210"/>
  </r>
  <r>
    <x v="1"/>
    <x v="12"/>
    <x v="12"/>
    <x v="5"/>
    <s v="Planeación, seguimiento y evaluación de políticas públicas"/>
    <x v="7"/>
    <x v="265"/>
    <x v="1"/>
    <x v="78"/>
    <n v="3"/>
    <s v="Desarrollo Económico"/>
    <n v="4"/>
    <s v="Temas Empresariales"/>
    <n v="4"/>
    <x v="14"/>
    <x v="14"/>
    <x v="85"/>
    <n v="1"/>
    <s v="Gasto corriente"/>
    <x v="0"/>
    <x v="0"/>
    <x v="0"/>
    <x v="0"/>
    <x v="0"/>
    <x v="0"/>
    <x v="0"/>
    <m/>
    <x v="0"/>
    <x v="0"/>
    <m/>
    <n v="88888260"/>
    <n v="0"/>
    <n v="-2611590"/>
    <n v="86276670"/>
    <n v="59812530"/>
    <m/>
    <x v="1"/>
    <n v="59812530"/>
  </r>
  <r>
    <x v="1"/>
    <x v="12"/>
    <x v="12"/>
    <x v="5"/>
    <s v="Planeación, seguimiento y evaluación de políticas públicas"/>
    <x v="7"/>
    <x v="265"/>
    <x v="1"/>
    <x v="78"/>
    <n v="3"/>
    <s v="Desarrollo Económico"/>
    <n v="4"/>
    <s v="Temas Empresariales"/>
    <n v="4"/>
    <x v="14"/>
    <x v="14"/>
    <x v="85"/>
    <n v="2"/>
    <s v="Gasto de capital"/>
    <x v="0"/>
    <x v="0"/>
    <x v="0"/>
    <x v="0"/>
    <x v="0"/>
    <x v="0"/>
    <x v="0"/>
    <m/>
    <x v="0"/>
    <x v="0"/>
    <m/>
    <n v="2500000"/>
    <n v="0"/>
    <n v="-169082"/>
    <n v="2330918"/>
    <n v="3483334"/>
    <m/>
    <x v="1"/>
    <n v="3483334"/>
  </r>
  <r>
    <x v="1"/>
    <x v="12"/>
    <x v="12"/>
    <x v="5"/>
    <s v="Planeación, seguimiento y evaluación de políticas públicas"/>
    <x v="7"/>
    <x v="265"/>
    <x v="3"/>
    <x v="101"/>
    <n v="3"/>
    <s v="Desarrollo Económico"/>
    <n v="4"/>
    <s v="Temas Empresariales"/>
    <n v="4"/>
    <x v="14"/>
    <x v="14"/>
    <x v="85"/>
    <n v="1"/>
    <s v="Gasto corriente"/>
    <x v="0"/>
    <x v="1"/>
    <x v="0"/>
    <x v="0"/>
    <x v="0"/>
    <x v="0"/>
    <x v="0"/>
    <m/>
    <x v="0"/>
    <x v="0"/>
    <m/>
    <n v="2464194"/>
    <n v="0"/>
    <n v="0"/>
    <n v="2464194"/>
    <n v="2921043"/>
    <m/>
    <x v="1"/>
    <n v="2921043"/>
  </r>
  <r>
    <x v="1"/>
    <x v="12"/>
    <x v="12"/>
    <x v="5"/>
    <s v="Planeación, seguimiento y evaluación de políticas públicas"/>
    <x v="7"/>
    <x v="265"/>
    <x v="3"/>
    <x v="101"/>
    <n v="3"/>
    <s v="Desarrollo Económico"/>
    <n v="4"/>
    <s v="Temas Empresariales"/>
    <n v="4"/>
    <x v="14"/>
    <x v="14"/>
    <x v="85"/>
    <n v="1"/>
    <s v="Gasto corriente"/>
    <x v="0"/>
    <x v="0"/>
    <x v="0"/>
    <x v="0"/>
    <x v="0"/>
    <x v="0"/>
    <x v="0"/>
    <m/>
    <x v="0"/>
    <x v="0"/>
    <m/>
    <n v="40969904"/>
    <n v="0"/>
    <n v="-1143335"/>
    <n v="39826569"/>
    <n v="36753000"/>
    <m/>
    <x v="1"/>
    <n v="36753000"/>
  </r>
  <r>
    <x v="1"/>
    <x v="12"/>
    <x v="12"/>
    <x v="5"/>
    <s v="Planeación, seguimiento y evaluación de políticas públicas"/>
    <x v="8"/>
    <x v="266"/>
    <x v="7"/>
    <x v="401"/>
    <n v="3"/>
    <s v="Desarrollo Económico"/>
    <n v="4"/>
    <s v="Temas Empresariales"/>
    <n v="3"/>
    <x v="45"/>
    <x v="11"/>
    <x v="80"/>
    <n v="1"/>
    <s v="Gasto corriente"/>
    <x v="0"/>
    <x v="1"/>
    <x v="0"/>
    <x v="0"/>
    <x v="0"/>
    <x v="0"/>
    <x v="0"/>
    <m/>
    <x v="0"/>
    <x v="1"/>
    <m/>
    <n v="1335855"/>
    <n v="0"/>
    <n v="0"/>
    <n v="1335855"/>
    <n v="1591149"/>
    <m/>
    <x v="1"/>
    <n v="1591149"/>
  </r>
  <r>
    <x v="1"/>
    <x v="12"/>
    <x v="12"/>
    <x v="5"/>
    <s v="Planeación, seguimiento y evaluación de políticas públicas"/>
    <x v="8"/>
    <x v="266"/>
    <x v="7"/>
    <x v="401"/>
    <n v="3"/>
    <s v="Desarrollo Económico"/>
    <n v="4"/>
    <s v="Temas Empresariales"/>
    <n v="3"/>
    <x v="45"/>
    <x v="11"/>
    <x v="80"/>
    <n v="1"/>
    <s v="Gasto corriente"/>
    <x v="0"/>
    <x v="0"/>
    <x v="0"/>
    <x v="0"/>
    <x v="0"/>
    <x v="0"/>
    <x v="0"/>
    <m/>
    <x v="0"/>
    <x v="1"/>
    <m/>
    <n v="63867533"/>
    <n v="0"/>
    <n v="-2123359"/>
    <n v="61744174"/>
    <n v="55862018"/>
    <m/>
    <x v="1"/>
    <n v="55862018"/>
  </r>
  <r>
    <x v="1"/>
    <x v="12"/>
    <x v="12"/>
    <x v="5"/>
    <s v="Planeación, seguimiento y evaluación de políticas públicas"/>
    <x v="8"/>
    <x v="266"/>
    <x v="7"/>
    <x v="401"/>
    <n v="3"/>
    <s v="Desarrollo Económico"/>
    <n v="4"/>
    <s v="Temas Empresariales"/>
    <n v="3"/>
    <x v="45"/>
    <x v="11"/>
    <x v="80"/>
    <n v="2"/>
    <s v="Gasto de capital"/>
    <x v="0"/>
    <x v="0"/>
    <x v="0"/>
    <x v="0"/>
    <x v="0"/>
    <x v="0"/>
    <x v="0"/>
    <m/>
    <x v="0"/>
    <x v="1"/>
    <m/>
    <n v="2500000"/>
    <n v="0"/>
    <n v="-169250"/>
    <n v="2330750"/>
    <n v="3483334"/>
    <m/>
    <x v="1"/>
    <n v="3483334"/>
  </r>
  <r>
    <x v="1"/>
    <x v="12"/>
    <x v="12"/>
    <x v="5"/>
    <s v="Planeación, seguimiento y evaluación de políticas públicas"/>
    <x v="8"/>
    <x v="266"/>
    <x v="249"/>
    <x v="402"/>
    <n v="3"/>
    <s v="Desarrollo Económico"/>
    <n v="4"/>
    <s v="Temas Empresariales"/>
    <n v="3"/>
    <x v="45"/>
    <x v="11"/>
    <x v="80"/>
    <n v="1"/>
    <s v="Gasto corriente"/>
    <x v="0"/>
    <x v="1"/>
    <x v="0"/>
    <x v="0"/>
    <x v="0"/>
    <x v="0"/>
    <x v="0"/>
    <m/>
    <x v="0"/>
    <x v="1"/>
    <m/>
    <n v="936238"/>
    <n v="0"/>
    <n v="0"/>
    <n v="936238"/>
    <n v="233132"/>
    <m/>
    <x v="1"/>
    <n v="233132"/>
  </r>
  <r>
    <x v="1"/>
    <x v="12"/>
    <x v="12"/>
    <x v="5"/>
    <s v="Planeación, seguimiento y evaluación de políticas públicas"/>
    <x v="8"/>
    <x v="266"/>
    <x v="249"/>
    <x v="402"/>
    <n v="3"/>
    <s v="Desarrollo Económico"/>
    <n v="4"/>
    <s v="Temas Empresariales"/>
    <n v="3"/>
    <x v="45"/>
    <x v="11"/>
    <x v="80"/>
    <n v="1"/>
    <s v="Gasto corriente"/>
    <x v="0"/>
    <x v="0"/>
    <x v="0"/>
    <x v="0"/>
    <x v="0"/>
    <x v="0"/>
    <x v="0"/>
    <m/>
    <x v="0"/>
    <x v="1"/>
    <m/>
    <n v="12421916"/>
    <n v="0"/>
    <n v="-408099"/>
    <n v="12013817"/>
    <n v="28103182"/>
    <m/>
    <x v="1"/>
    <n v="28103182"/>
  </r>
  <r>
    <x v="1"/>
    <x v="12"/>
    <x v="12"/>
    <x v="5"/>
    <s v="Planeación, seguimiento y evaluación de políticas públicas"/>
    <x v="9"/>
    <x v="267"/>
    <x v="0"/>
    <x v="403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140643"/>
    <n v="0"/>
    <n v="0"/>
    <n v="1140643"/>
    <n v="1224789"/>
    <m/>
    <x v="1"/>
    <n v="1224789"/>
  </r>
  <r>
    <x v="1"/>
    <x v="12"/>
    <x v="12"/>
    <x v="5"/>
    <s v="Planeación, seguimiento y evaluación de políticas públicas"/>
    <x v="9"/>
    <x v="267"/>
    <x v="0"/>
    <x v="403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46985464"/>
    <n v="0"/>
    <n v="-1991894"/>
    <n v="44993570"/>
    <n v="28180494"/>
    <m/>
    <x v="1"/>
    <n v="28180494"/>
  </r>
  <r>
    <x v="1"/>
    <x v="12"/>
    <x v="12"/>
    <x v="5"/>
    <s v="Planeación, seguimiento y evaluación de políticas públicas"/>
    <x v="9"/>
    <x v="267"/>
    <x v="0"/>
    <x v="403"/>
    <n v="3"/>
    <s v="Desarrollo Económico"/>
    <n v="4"/>
    <s v="Temas Empresariales"/>
    <n v="1"/>
    <x v="44"/>
    <x v="1"/>
    <x v="79"/>
    <n v="2"/>
    <s v="Gasto de capital"/>
    <x v="0"/>
    <x v="0"/>
    <x v="0"/>
    <x v="0"/>
    <x v="0"/>
    <x v="0"/>
    <x v="0"/>
    <m/>
    <x v="0"/>
    <x v="0"/>
    <m/>
    <m/>
    <m/>
    <m/>
    <m/>
    <n v="3483334"/>
    <m/>
    <x v="1"/>
    <n v="3483334"/>
  </r>
  <r>
    <x v="1"/>
    <x v="12"/>
    <x v="12"/>
    <x v="5"/>
    <s v="Planeación, seguimiento y evaluación de políticas públicas"/>
    <x v="9"/>
    <x v="267"/>
    <x v="4"/>
    <x v="404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1088082"/>
    <n v="0"/>
    <n v="0"/>
    <n v="1088082"/>
    <n v="1132738"/>
    <m/>
    <x v="1"/>
    <n v="1132738"/>
  </r>
  <r>
    <x v="1"/>
    <x v="12"/>
    <x v="12"/>
    <x v="5"/>
    <s v="Planeación, seguimiento y evaluación de políticas públicas"/>
    <x v="9"/>
    <x v="267"/>
    <x v="4"/>
    <x v="404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5558934"/>
    <n v="0"/>
    <n v="-718159"/>
    <n v="34840775"/>
    <n v="35799412"/>
    <m/>
    <x v="1"/>
    <n v="35799412"/>
  </r>
  <r>
    <x v="1"/>
    <x v="12"/>
    <x v="12"/>
    <x v="5"/>
    <s v="Planeación, seguimiento y evaluación de políticas públicas"/>
    <x v="9"/>
    <x v="267"/>
    <x v="4"/>
    <x v="404"/>
    <n v="3"/>
    <s v="Desarrollo Económico"/>
    <n v="4"/>
    <s v="Temas Empresariales"/>
    <n v="1"/>
    <x v="44"/>
    <x v="1"/>
    <x v="79"/>
    <n v="2"/>
    <s v="Gasto de capital"/>
    <x v="0"/>
    <x v="0"/>
    <x v="0"/>
    <x v="0"/>
    <x v="0"/>
    <x v="0"/>
    <x v="0"/>
    <m/>
    <x v="0"/>
    <x v="0"/>
    <m/>
    <n v="127882264"/>
    <n v="0"/>
    <n v="0"/>
    <n v="127882264"/>
    <n v="112000000"/>
    <m/>
    <x v="1"/>
    <n v="112000000"/>
  </r>
  <r>
    <x v="1"/>
    <x v="12"/>
    <x v="12"/>
    <x v="5"/>
    <s v="Planeación, seguimiento y evaluación de políticas públicas"/>
    <x v="9"/>
    <x v="267"/>
    <x v="5"/>
    <x v="405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586774"/>
    <n v="0"/>
    <n v="0"/>
    <n v="586774"/>
    <n v="626062"/>
    <m/>
    <x v="1"/>
    <n v="626062"/>
  </r>
  <r>
    <x v="1"/>
    <x v="12"/>
    <x v="12"/>
    <x v="5"/>
    <s v="Planeación, seguimiento y evaluación de políticas públicas"/>
    <x v="9"/>
    <x v="267"/>
    <x v="5"/>
    <x v="405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2439231"/>
    <n v="0"/>
    <n v="-444971"/>
    <n v="21994260"/>
    <n v="23993800"/>
    <m/>
    <x v="1"/>
    <n v="23993800"/>
  </r>
  <r>
    <x v="1"/>
    <x v="12"/>
    <x v="12"/>
    <x v="5"/>
    <s v="Planeación, seguimiento y evaluación de políticas públicas"/>
    <x v="9"/>
    <x v="267"/>
    <x v="50"/>
    <x v="406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640616"/>
    <n v="0"/>
    <n v="0"/>
    <n v="640616"/>
    <n v="700690"/>
    <m/>
    <x v="1"/>
    <n v="700690"/>
  </r>
  <r>
    <x v="1"/>
    <x v="12"/>
    <x v="12"/>
    <x v="5"/>
    <s v="Planeación, seguimiento y evaluación de políticas públicas"/>
    <x v="9"/>
    <x v="267"/>
    <x v="50"/>
    <x v="406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1668569"/>
    <n v="0"/>
    <n v="-442377"/>
    <n v="21226192"/>
    <n v="21052547"/>
    <m/>
    <x v="1"/>
    <n v="21052547"/>
  </r>
  <r>
    <x v="1"/>
    <x v="12"/>
    <x v="12"/>
    <x v="5"/>
    <s v="Planeación, seguimiento y evaluación de políticas públicas"/>
    <x v="9"/>
    <x v="267"/>
    <x v="51"/>
    <x v="407"/>
    <n v="3"/>
    <s v="Desarrollo Económico"/>
    <n v="4"/>
    <s v="Temas Empresariales"/>
    <n v="1"/>
    <x v="44"/>
    <x v="1"/>
    <x v="79"/>
    <n v="1"/>
    <s v="Gasto corriente"/>
    <x v="0"/>
    <x v="1"/>
    <x v="0"/>
    <x v="0"/>
    <x v="0"/>
    <x v="0"/>
    <x v="0"/>
    <m/>
    <x v="0"/>
    <x v="0"/>
    <m/>
    <n v="580274"/>
    <n v="0"/>
    <n v="0"/>
    <n v="580274"/>
    <n v="595859"/>
    <m/>
    <x v="1"/>
    <n v="595859"/>
  </r>
  <r>
    <x v="1"/>
    <x v="12"/>
    <x v="12"/>
    <x v="5"/>
    <s v="Planeación, seguimiento y evaluación de políticas públicas"/>
    <x v="9"/>
    <x v="267"/>
    <x v="51"/>
    <x v="407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22752018"/>
    <n v="0"/>
    <n v="-401379"/>
    <n v="22350639"/>
    <n v="21859811"/>
    <m/>
    <x v="1"/>
    <n v="21859811"/>
  </r>
  <r>
    <x v="1"/>
    <x v="12"/>
    <x v="12"/>
    <x v="5"/>
    <s v="Planeación, seguimiento y evaluación de políticas públicas"/>
    <x v="10"/>
    <x v="268"/>
    <x v="38"/>
    <x v="408"/>
    <n v="3"/>
    <s v="Desarrollo Económico"/>
    <n v="4"/>
    <s v="Temas Empresariales"/>
    <n v="2"/>
    <x v="43"/>
    <x v="7"/>
    <x v="84"/>
    <n v="1"/>
    <s v="Gasto corriente"/>
    <x v="0"/>
    <x v="1"/>
    <x v="0"/>
    <x v="0"/>
    <x v="0"/>
    <x v="0"/>
    <x v="0"/>
    <m/>
    <x v="0"/>
    <x v="0"/>
    <m/>
    <n v="1121375"/>
    <n v="0"/>
    <n v="0"/>
    <n v="1121375"/>
    <n v="1276926"/>
    <m/>
    <x v="1"/>
    <n v="1276926"/>
  </r>
  <r>
    <x v="1"/>
    <x v="12"/>
    <x v="12"/>
    <x v="5"/>
    <s v="Planeación, seguimiento y evaluación de políticas públicas"/>
    <x v="10"/>
    <x v="268"/>
    <x v="38"/>
    <x v="408"/>
    <n v="3"/>
    <s v="Desarrollo Económico"/>
    <n v="4"/>
    <s v="Temas Empresariales"/>
    <n v="2"/>
    <x v="43"/>
    <x v="7"/>
    <x v="84"/>
    <n v="1"/>
    <s v="Gasto corriente"/>
    <x v="0"/>
    <x v="0"/>
    <x v="0"/>
    <x v="0"/>
    <x v="0"/>
    <x v="0"/>
    <x v="0"/>
    <m/>
    <x v="0"/>
    <x v="0"/>
    <m/>
    <n v="28745032"/>
    <n v="0"/>
    <n v="-658732"/>
    <n v="28086300"/>
    <n v="29412146"/>
    <m/>
    <x v="1"/>
    <n v="29412146"/>
  </r>
  <r>
    <x v="1"/>
    <x v="12"/>
    <x v="12"/>
    <x v="5"/>
    <s v="Planeación, seguimiento y evaluación de políticas públicas"/>
    <x v="10"/>
    <x v="268"/>
    <x v="38"/>
    <x v="408"/>
    <n v="3"/>
    <s v="Desarrollo Económico"/>
    <n v="4"/>
    <s v="Temas Empresariales"/>
    <n v="2"/>
    <x v="43"/>
    <x v="7"/>
    <x v="84"/>
    <n v="2"/>
    <s v="Gasto de capital"/>
    <x v="0"/>
    <x v="0"/>
    <x v="0"/>
    <x v="0"/>
    <x v="0"/>
    <x v="0"/>
    <x v="0"/>
    <m/>
    <x v="0"/>
    <x v="0"/>
    <m/>
    <m/>
    <m/>
    <m/>
    <m/>
    <n v="3483334"/>
    <m/>
    <x v="1"/>
    <n v="3483334"/>
  </r>
  <r>
    <x v="1"/>
    <x v="12"/>
    <x v="12"/>
    <x v="5"/>
    <s v="Planeación, seguimiento y evaluación de políticas públicas"/>
    <x v="10"/>
    <x v="268"/>
    <x v="73"/>
    <x v="409"/>
    <n v="3"/>
    <s v="Desarrollo Económico"/>
    <n v="4"/>
    <s v="Temas Empresariales"/>
    <n v="2"/>
    <x v="43"/>
    <x v="7"/>
    <x v="84"/>
    <n v="1"/>
    <s v="Gasto corriente"/>
    <x v="0"/>
    <x v="1"/>
    <x v="0"/>
    <x v="0"/>
    <x v="0"/>
    <x v="0"/>
    <x v="0"/>
    <m/>
    <x v="0"/>
    <x v="0"/>
    <m/>
    <n v="1442139"/>
    <n v="0"/>
    <n v="0"/>
    <n v="1442139"/>
    <n v="1484617"/>
    <m/>
    <x v="1"/>
    <n v="1484617"/>
  </r>
  <r>
    <x v="1"/>
    <x v="12"/>
    <x v="12"/>
    <x v="5"/>
    <s v="Planeación, seguimiento y evaluación de políticas públicas"/>
    <x v="10"/>
    <x v="268"/>
    <x v="73"/>
    <x v="409"/>
    <n v="3"/>
    <s v="Desarrollo Económico"/>
    <n v="4"/>
    <s v="Temas Empresariales"/>
    <n v="2"/>
    <x v="43"/>
    <x v="7"/>
    <x v="84"/>
    <n v="1"/>
    <s v="Gasto corriente"/>
    <x v="0"/>
    <x v="0"/>
    <x v="0"/>
    <x v="0"/>
    <x v="0"/>
    <x v="0"/>
    <x v="0"/>
    <m/>
    <x v="0"/>
    <x v="0"/>
    <m/>
    <n v="31865772"/>
    <n v="0"/>
    <n v="-781451"/>
    <n v="31084321"/>
    <n v="31885954"/>
    <m/>
    <x v="1"/>
    <n v="31885954"/>
  </r>
  <r>
    <x v="1"/>
    <x v="12"/>
    <x v="12"/>
    <x v="5"/>
    <s v="Planeación, seguimiento y evaluación de políticas públicas"/>
    <x v="10"/>
    <x v="268"/>
    <x v="101"/>
    <x v="410"/>
    <n v="3"/>
    <s v="Desarrollo Económico"/>
    <n v="4"/>
    <s v="Temas Empresariales"/>
    <n v="2"/>
    <x v="43"/>
    <x v="7"/>
    <x v="84"/>
    <n v="1"/>
    <s v="Gasto corriente"/>
    <x v="0"/>
    <x v="1"/>
    <x v="0"/>
    <x v="0"/>
    <x v="0"/>
    <x v="0"/>
    <x v="0"/>
    <m/>
    <x v="0"/>
    <x v="0"/>
    <m/>
    <n v="1603735"/>
    <n v="0"/>
    <n v="0"/>
    <n v="1603735"/>
    <n v="1777082"/>
    <m/>
    <x v="1"/>
    <n v="1777082"/>
  </r>
  <r>
    <x v="1"/>
    <x v="12"/>
    <x v="12"/>
    <x v="5"/>
    <s v="Planeación, seguimiento y evaluación de políticas públicas"/>
    <x v="10"/>
    <x v="268"/>
    <x v="101"/>
    <x v="410"/>
    <n v="3"/>
    <s v="Desarrollo Económico"/>
    <n v="4"/>
    <s v="Temas Empresariales"/>
    <n v="2"/>
    <x v="43"/>
    <x v="7"/>
    <x v="84"/>
    <n v="1"/>
    <s v="Gasto corriente"/>
    <x v="0"/>
    <x v="0"/>
    <x v="0"/>
    <x v="0"/>
    <x v="0"/>
    <x v="0"/>
    <x v="0"/>
    <m/>
    <x v="0"/>
    <x v="0"/>
    <m/>
    <n v="33829090"/>
    <n v="0"/>
    <n v="-1276245"/>
    <n v="32552845"/>
    <n v="33543543"/>
    <m/>
    <x v="1"/>
    <n v="33543543"/>
  </r>
  <r>
    <x v="1"/>
    <x v="12"/>
    <x v="12"/>
    <x v="5"/>
    <s v="Planeación, seguimiento y evaluación de políticas públicas"/>
    <x v="11"/>
    <x v="269"/>
    <x v="31"/>
    <x v="390"/>
    <n v="3"/>
    <s v="Desarrollo Económico"/>
    <n v="4"/>
    <s v="Temas Empresariales"/>
    <n v="2"/>
    <x v="43"/>
    <x v="5"/>
    <x v="86"/>
    <n v="1"/>
    <s v="Gasto corriente"/>
    <x v="0"/>
    <x v="1"/>
    <x v="0"/>
    <x v="0"/>
    <x v="0"/>
    <x v="0"/>
    <x v="0"/>
    <m/>
    <x v="0"/>
    <x v="0"/>
    <m/>
    <n v="2076203"/>
    <n v="0"/>
    <n v="0"/>
    <n v="2076203"/>
    <n v="2437329"/>
    <m/>
    <x v="1"/>
    <n v="2437329"/>
  </r>
  <r>
    <x v="1"/>
    <x v="12"/>
    <x v="12"/>
    <x v="5"/>
    <s v="Planeación, seguimiento y evaluación de políticas públicas"/>
    <x v="11"/>
    <x v="269"/>
    <x v="31"/>
    <x v="390"/>
    <n v="3"/>
    <s v="Desarrollo Económico"/>
    <n v="4"/>
    <s v="Temas Empresariales"/>
    <n v="2"/>
    <x v="43"/>
    <x v="5"/>
    <x v="86"/>
    <n v="1"/>
    <s v="Gasto corriente"/>
    <x v="0"/>
    <x v="0"/>
    <x v="0"/>
    <x v="0"/>
    <x v="0"/>
    <x v="0"/>
    <x v="0"/>
    <m/>
    <x v="0"/>
    <x v="0"/>
    <m/>
    <n v="67831873"/>
    <n v="0"/>
    <n v="-1492881"/>
    <n v="66338992"/>
    <n v="67917667"/>
    <m/>
    <x v="1"/>
    <n v="67917667"/>
  </r>
  <r>
    <x v="1"/>
    <x v="12"/>
    <x v="12"/>
    <x v="5"/>
    <s v="Planeación, seguimiento y evaluación de políticas públicas"/>
    <x v="11"/>
    <x v="269"/>
    <x v="31"/>
    <x v="390"/>
    <n v="3"/>
    <s v="Desarrollo Económico"/>
    <n v="4"/>
    <s v="Temas Empresariales"/>
    <n v="2"/>
    <x v="43"/>
    <x v="5"/>
    <x v="86"/>
    <n v="2"/>
    <s v="Gasto de capital"/>
    <x v="0"/>
    <x v="0"/>
    <x v="0"/>
    <x v="0"/>
    <x v="0"/>
    <x v="0"/>
    <x v="0"/>
    <m/>
    <x v="0"/>
    <x v="0"/>
    <m/>
    <m/>
    <m/>
    <m/>
    <m/>
    <n v="900000"/>
    <m/>
    <x v="1"/>
    <n v="900000"/>
  </r>
  <r>
    <x v="1"/>
    <x v="12"/>
    <x v="12"/>
    <x v="5"/>
    <s v="Planeación, seguimiento y evaluación de políticas públicas"/>
    <x v="13"/>
    <x v="270"/>
    <x v="187"/>
    <x v="411"/>
    <n v="3"/>
    <s v="Desarrollo Económico"/>
    <n v="4"/>
    <s v="Temas Empresariales"/>
    <n v="3"/>
    <x v="45"/>
    <x v="16"/>
    <x v="83"/>
    <n v="1"/>
    <s v="Gasto corriente"/>
    <x v="0"/>
    <x v="1"/>
    <x v="0"/>
    <x v="0"/>
    <x v="0"/>
    <x v="0"/>
    <x v="0"/>
    <m/>
    <x v="0"/>
    <x v="0"/>
    <m/>
    <n v="1614108"/>
    <n v="0"/>
    <n v="0"/>
    <n v="1614108"/>
    <n v="1735840"/>
    <m/>
    <x v="1"/>
    <n v="1735840"/>
  </r>
  <r>
    <x v="1"/>
    <x v="12"/>
    <x v="12"/>
    <x v="5"/>
    <s v="Planeación, seguimiento y evaluación de políticas públicas"/>
    <x v="13"/>
    <x v="270"/>
    <x v="187"/>
    <x v="411"/>
    <n v="3"/>
    <s v="Desarrollo Económico"/>
    <n v="4"/>
    <s v="Temas Empresariales"/>
    <n v="3"/>
    <x v="45"/>
    <x v="16"/>
    <x v="83"/>
    <n v="1"/>
    <s v="Gasto corriente"/>
    <x v="0"/>
    <x v="0"/>
    <x v="0"/>
    <x v="0"/>
    <x v="0"/>
    <x v="0"/>
    <x v="0"/>
    <m/>
    <x v="0"/>
    <x v="0"/>
    <m/>
    <n v="38998082"/>
    <n v="0"/>
    <n v="-1000274"/>
    <n v="37997808"/>
    <n v="37712967"/>
    <m/>
    <x v="1"/>
    <n v="37712967"/>
  </r>
  <r>
    <x v="1"/>
    <x v="12"/>
    <x v="12"/>
    <x v="5"/>
    <s v="Planeación, seguimiento y evaluación de políticas públicas"/>
    <x v="14"/>
    <x v="271"/>
    <x v="1"/>
    <x v="78"/>
    <n v="3"/>
    <s v="Desarrollo Económico"/>
    <n v="4"/>
    <s v="Temas Empresariales"/>
    <n v="4"/>
    <x v="14"/>
    <x v="14"/>
    <x v="85"/>
    <n v="1"/>
    <s v="Gasto corriente"/>
    <x v="0"/>
    <x v="1"/>
    <x v="0"/>
    <x v="0"/>
    <x v="0"/>
    <x v="0"/>
    <x v="0"/>
    <m/>
    <x v="0"/>
    <x v="0"/>
    <m/>
    <m/>
    <m/>
    <m/>
    <m/>
    <n v="99960"/>
    <m/>
    <x v="1"/>
    <n v="99960"/>
  </r>
  <r>
    <x v="1"/>
    <x v="12"/>
    <x v="12"/>
    <x v="5"/>
    <s v="Planeación, seguimiento y evaluación de políticas públicas"/>
    <x v="14"/>
    <x v="271"/>
    <x v="1"/>
    <x v="78"/>
    <n v="3"/>
    <s v="Desarrollo Económico"/>
    <n v="4"/>
    <s v="Temas Empresariales"/>
    <n v="4"/>
    <x v="14"/>
    <x v="14"/>
    <x v="85"/>
    <n v="1"/>
    <s v="Gasto corriente"/>
    <x v="0"/>
    <x v="0"/>
    <x v="0"/>
    <x v="0"/>
    <x v="0"/>
    <x v="0"/>
    <x v="0"/>
    <m/>
    <x v="0"/>
    <x v="0"/>
    <m/>
    <n v="243281"/>
    <n v="0"/>
    <n v="-10430"/>
    <n v="232851"/>
    <n v="2030208"/>
    <m/>
    <x v="1"/>
    <n v="2030208"/>
  </r>
  <r>
    <x v="1"/>
    <x v="12"/>
    <x v="12"/>
    <x v="5"/>
    <s v="Planeación, seguimiento y evaluación de políticas públicas"/>
    <x v="16"/>
    <x v="272"/>
    <x v="1"/>
    <x v="78"/>
    <n v="3"/>
    <s v="Desarrollo Económico"/>
    <n v="4"/>
    <s v="Temas Empresariales"/>
    <n v="4"/>
    <x v="14"/>
    <x v="14"/>
    <x v="85"/>
    <n v="1"/>
    <s v="Gasto corriente"/>
    <x v="0"/>
    <x v="1"/>
    <x v="0"/>
    <x v="0"/>
    <x v="0"/>
    <x v="0"/>
    <x v="0"/>
    <m/>
    <x v="0"/>
    <x v="0"/>
    <m/>
    <m/>
    <m/>
    <m/>
    <m/>
    <n v="325368"/>
    <m/>
    <x v="1"/>
    <n v="325368"/>
  </r>
  <r>
    <x v="1"/>
    <x v="12"/>
    <x v="12"/>
    <x v="5"/>
    <s v="Planeación, seguimiento y evaluación de políticas públicas"/>
    <x v="16"/>
    <x v="272"/>
    <x v="1"/>
    <x v="78"/>
    <n v="3"/>
    <s v="Desarrollo Económico"/>
    <n v="4"/>
    <s v="Temas Empresariales"/>
    <n v="4"/>
    <x v="14"/>
    <x v="14"/>
    <x v="85"/>
    <n v="1"/>
    <s v="Gasto corriente"/>
    <x v="0"/>
    <x v="0"/>
    <x v="0"/>
    <x v="0"/>
    <x v="0"/>
    <x v="0"/>
    <x v="0"/>
    <m/>
    <x v="0"/>
    <x v="0"/>
    <m/>
    <n v="18240515"/>
    <n v="0"/>
    <n v="-782062"/>
    <n v="17458453"/>
    <n v="34624751"/>
    <m/>
    <x v="1"/>
    <n v="34624751"/>
  </r>
  <r>
    <x v="1"/>
    <x v="12"/>
    <x v="12"/>
    <x v="1"/>
    <s v="Específicos"/>
    <x v="2"/>
    <x v="273"/>
    <x v="7"/>
    <x v="401"/>
    <n v="3"/>
    <s v="Desarrollo Económico"/>
    <n v="4"/>
    <s v="Temas Empresariales"/>
    <n v="3"/>
    <x v="45"/>
    <x v="11"/>
    <x v="80"/>
    <n v="1"/>
    <s v="Gasto corriente"/>
    <x v="0"/>
    <x v="0"/>
    <x v="0"/>
    <x v="0"/>
    <x v="0"/>
    <x v="0"/>
    <x v="0"/>
    <m/>
    <x v="0"/>
    <x v="0"/>
    <m/>
    <n v="7785376"/>
    <n v="0"/>
    <n v="0"/>
    <n v="7785376"/>
    <n v="17685400"/>
    <m/>
    <x v="1"/>
    <n v="17685400"/>
  </r>
  <r>
    <x v="1"/>
    <x v="12"/>
    <x v="12"/>
    <x v="1"/>
    <s v="Específicos"/>
    <x v="2"/>
    <x v="273"/>
    <x v="55"/>
    <x v="387"/>
    <n v="3"/>
    <s v="Desarrollo Económico"/>
    <n v="4"/>
    <s v="Temas Empresariales"/>
    <n v="2"/>
    <x v="43"/>
    <x v="6"/>
    <x v="81"/>
    <n v="1"/>
    <s v="Gasto corriente"/>
    <x v="0"/>
    <x v="0"/>
    <x v="0"/>
    <x v="0"/>
    <x v="0"/>
    <x v="0"/>
    <x v="0"/>
    <m/>
    <x v="0"/>
    <x v="0"/>
    <m/>
    <n v="7821233"/>
    <n v="0"/>
    <n v="0"/>
    <n v="7821233"/>
    <n v="7821200"/>
    <m/>
    <x v="1"/>
    <n v="7821200"/>
  </r>
  <r>
    <x v="1"/>
    <x v="12"/>
    <x v="12"/>
    <x v="1"/>
    <s v="Específicos"/>
    <x v="2"/>
    <x v="273"/>
    <x v="245"/>
    <x v="384"/>
    <n v="3"/>
    <s v="Desarrollo Económico"/>
    <n v="4"/>
    <s v="Temas Empresariales"/>
    <n v="1"/>
    <x v="44"/>
    <x v="1"/>
    <x v="79"/>
    <n v="1"/>
    <s v="Gasto corriente"/>
    <x v="0"/>
    <x v="0"/>
    <x v="0"/>
    <x v="0"/>
    <x v="0"/>
    <x v="0"/>
    <x v="0"/>
    <m/>
    <x v="0"/>
    <x v="0"/>
    <m/>
    <n v="327396"/>
    <n v="0"/>
    <n v="0"/>
    <n v="327396"/>
    <n v="327400"/>
    <m/>
    <x v="1"/>
    <n v="327400"/>
  </r>
  <r>
    <x v="1"/>
    <x v="12"/>
    <x v="12"/>
    <x v="1"/>
    <s v="Específicos"/>
    <x v="2"/>
    <x v="273"/>
    <x v="59"/>
    <x v="394"/>
    <n v="3"/>
    <s v="Desarrollo Económico"/>
    <n v="4"/>
    <s v="Temas Empresariales"/>
    <n v="3"/>
    <x v="45"/>
    <x v="16"/>
    <x v="83"/>
    <n v="1"/>
    <s v="Gasto corriente"/>
    <x v="0"/>
    <x v="0"/>
    <x v="0"/>
    <x v="0"/>
    <x v="0"/>
    <x v="0"/>
    <x v="0"/>
    <m/>
    <x v="0"/>
    <x v="0"/>
    <m/>
    <n v="43760613"/>
    <n v="0"/>
    <n v="0"/>
    <n v="43760613"/>
    <n v="48091713"/>
    <m/>
    <x v="1"/>
    <n v="48091713"/>
  </r>
  <r>
    <x v="1"/>
    <x v="12"/>
    <x v="12"/>
    <x v="1"/>
    <s v="Específicos"/>
    <x v="3"/>
    <x v="274"/>
    <x v="246"/>
    <x v="385"/>
    <n v="3"/>
    <s v="Desarrollo Económico"/>
    <n v="4"/>
    <s v="Temas Empresariales"/>
    <n v="3"/>
    <x v="45"/>
    <x v="11"/>
    <x v="80"/>
    <n v="2"/>
    <s v="Gasto de capital"/>
    <x v="0"/>
    <x v="0"/>
    <x v="0"/>
    <x v="0"/>
    <x v="0"/>
    <x v="0"/>
    <x v="0"/>
    <m/>
    <x v="0"/>
    <x v="0"/>
    <m/>
    <m/>
    <m/>
    <m/>
    <m/>
    <n v="10000000"/>
    <m/>
    <x v="1"/>
    <n v="10000000"/>
  </r>
  <r>
    <x v="1"/>
    <x v="12"/>
    <x v="12"/>
    <x v="11"/>
    <s v="Sujetos a Reglas de Operación"/>
    <x v="17"/>
    <x v="275"/>
    <x v="52"/>
    <x v="392"/>
    <n v="3"/>
    <s v="Desarrollo Económico"/>
    <n v="4"/>
    <s v="Temas Empresariales"/>
    <n v="1"/>
    <x v="44"/>
    <x v="1"/>
    <x v="79"/>
    <n v="1"/>
    <s v="Gasto corriente"/>
    <x v="0"/>
    <x v="0"/>
    <x v="1"/>
    <x v="0"/>
    <x v="1"/>
    <x v="0"/>
    <x v="1"/>
    <m/>
    <x v="0"/>
    <x v="0"/>
    <m/>
    <n v="5696972"/>
    <n v="0"/>
    <n v="-192642"/>
    <n v="5504330"/>
    <n v="5200000"/>
    <m/>
    <x v="24"/>
    <n v="55200000"/>
  </r>
  <r>
    <x v="1"/>
    <x v="12"/>
    <x v="12"/>
    <x v="11"/>
    <s v="Sujetos a Reglas de Operación"/>
    <x v="17"/>
    <x v="275"/>
    <x v="52"/>
    <x v="392"/>
    <n v="3"/>
    <s v="Desarrollo Económico"/>
    <n v="4"/>
    <s v="Temas Empresariales"/>
    <n v="1"/>
    <x v="44"/>
    <x v="1"/>
    <x v="79"/>
    <n v="2"/>
    <s v="Gasto de capital"/>
    <x v="0"/>
    <x v="0"/>
    <x v="1"/>
    <x v="0"/>
    <x v="1"/>
    <x v="0"/>
    <x v="1"/>
    <m/>
    <x v="0"/>
    <x v="0"/>
    <m/>
    <n v="142700078"/>
    <n v="50000000"/>
    <n v="-954300"/>
    <n v="191745778"/>
    <n v="203500000"/>
    <m/>
    <x v="1"/>
    <n v="203500000"/>
  </r>
  <r>
    <x v="1"/>
    <x v="12"/>
    <x v="12"/>
    <x v="11"/>
    <s v="Sujetos a Reglas de Operación"/>
    <x v="18"/>
    <x v="276"/>
    <x v="32"/>
    <x v="391"/>
    <n v="3"/>
    <s v="Desarrollo Económico"/>
    <n v="4"/>
    <s v="Temas Empresariales"/>
    <n v="1"/>
    <x v="44"/>
    <x v="1"/>
    <x v="79"/>
    <n v="1"/>
    <s v="Gasto corriente"/>
    <x v="0"/>
    <x v="0"/>
    <x v="1"/>
    <x v="0"/>
    <x v="0"/>
    <x v="0"/>
    <x v="1"/>
    <m/>
    <x v="0"/>
    <x v="0"/>
    <m/>
    <m/>
    <m/>
    <m/>
    <m/>
    <n v="77044014"/>
    <m/>
    <x v="18"/>
    <n v="377044014"/>
  </r>
  <r>
    <x v="1"/>
    <x v="12"/>
    <x v="12"/>
    <x v="11"/>
    <s v="Sujetos a Reglas de Operación"/>
    <x v="18"/>
    <x v="276"/>
    <x v="32"/>
    <x v="391"/>
    <n v="3"/>
    <s v="Desarrollo Económico"/>
    <n v="4"/>
    <s v="Temas Empresariales"/>
    <n v="1"/>
    <x v="44"/>
    <x v="1"/>
    <x v="79"/>
    <n v="2"/>
    <s v="Gasto de capital"/>
    <x v="0"/>
    <x v="0"/>
    <x v="1"/>
    <x v="0"/>
    <x v="1"/>
    <x v="0"/>
    <x v="1"/>
    <m/>
    <x v="0"/>
    <x v="0"/>
    <m/>
    <n v="1475922277"/>
    <n v="251180000"/>
    <n v="-9491246"/>
    <n v="1717611031"/>
    <n v="1803836281"/>
    <n v="145453585"/>
    <x v="1"/>
    <n v="1658382696"/>
  </r>
  <r>
    <x v="1"/>
    <x v="12"/>
    <x v="12"/>
    <x v="11"/>
    <s v="Sujetos a Reglas de Operación"/>
    <x v="18"/>
    <x v="276"/>
    <x v="32"/>
    <x v="391"/>
    <n v="3"/>
    <s v="Desarrollo Económico"/>
    <n v="4"/>
    <s v="Temas Empresariales"/>
    <n v="1"/>
    <x v="44"/>
    <x v="1"/>
    <x v="79"/>
    <n v="2"/>
    <s v="Gasto de capital"/>
    <x v="0"/>
    <x v="0"/>
    <x v="1"/>
    <x v="0"/>
    <x v="0"/>
    <x v="0"/>
    <x v="1"/>
    <m/>
    <x v="0"/>
    <x v="0"/>
    <m/>
    <n v="77680119"/>
    <n v="13220000"/>
    <n v="-499539"/>
    <n v="90400580"/>
    <m/>
    <m/>
    <x v="1"/>
    <n v="0"/>
  </r>
  <r>
    <x v="1"/>
    <x v="12"/>
    <x v="12"/>
    <x v="11"/>
    <s v="Sujetos a Reglas de Operación"/>
    <x v="23"/>
    <x v="277"/>
    <x v="0"/>
    <x v="403"/>
    <n v="3"/>
    <s v="Desarrollo Económico"/>
    <n v="4"/>
    <s v="Temas Empresariales"/>
    <n v="1"/>
    <x v="44"/>
    <x v="1"/>
    <x v="79"/>
    <n v="1"/>
    <s v="Gasto corriente"/>
    <x v="0"/>
    <x v="0"/>
    <x v="0"/>
    <x v="0"/>
    <x v="1"/>
    <x v="0"/>
    <x v="1"/>
    <m/>
    <x v="0"/>
    <x v="0"/>
    <m/>
    <n v="73080230"/>
    <n v="0"/>
    <n v="-2471140"/>
    <n v="70609090"/>
    <n v="280744889"/>
    <m/>
    <x v="1"/>
    <n v="280744889"/>
  </r>
  <r>
    <x v="1"/>
    <x v="12"/>
    <x v="12"/>
    <x v="11"/>
    <s v="Sujetos a Reglas de Operación"/>
    <x v="23"/>
    <x v="277"/>
    <x v="0"/>
    <x v="403"/>
    <n v="3"/>
    <s v="Desarrollo Económico"/>
    <n v="4"/>
    <s v="Temas Empresariales"/>
    <n v="1"/>
    <x v="44"/>
    <x v="1"/>
    <x v="79"/>
    <n v="2"/>
    <s v="Gasto de capital"/>
    <x v="0"/>
    <x v="0"/>
    <x v="0"/>
    <x v="0"/>
    <x v="1"/>
    <x v="0"/>
    <x v="1"/>
    <m/>
    <x v="0"/>
    <x v="0"/>
    <m/>
    <n v="5253958269"/>
    <n v="600000000"/>
    <n v="-34256705"/>
    <n v="5819701564"/>
    <n v="6474402840"/>
    <m/>
    <x v="57"/>
    <n v="6724402840"/>
  </r>
  <r>
    <x v="1"/>
    <x v="12"/>
    <x v="12"/>
    <x v="11"/>
    <s v="Sujetos a Reglas de Operación"/>
    <x v="23"/>
    <x v="277"/>
    <x v="4"/>
    <x v="404"/>
    <n v="3"/>
    <s v="Desarrollo Económico"/>
    <n v="4"/>
    <s v="Temas Empresariales"/>
    <n v="1"/>
    <x v="44"/>
    <x v="1"/>
    <x v="79"/>
    <n v="2"/>
    <s v="Gasto de capital"/>
    <x v="0"/>
    <x v="0"/>
    <x v="0"/>
    <x v="0"/>
    <x v="0"/>
    <x v="0"/>
    <x v="0"/>
    <m/>
    <x v="0"/>
    <x v="0"/>
    <m/>
    <n v="20185214"/>
    <n v="0"/>
    <n v="-129806"/>
    <n v="20055408"/>
    <m/>
    <m/>
    <x v="1"/>
    <n v="0"/>
  </r>
  <r>
    <x v="1"/>
    <x v="12"/>
    <x v="12"/>
    <x v="11"/>
    <s v="Sujetos a Reglas de Operación"/>
    <x v="23"/>
    <x v="277"/>
    <x v="51"/>
    <x v="407"/>
    <n v="3"/>
    <s v="Desarrollo Económico"/>
    <n v="4"/>
    <s v="Temas Empresariales"/>
    <n v="2"/>
    <x v="43"/>
    <x v="7"/>
    <x v="84"/>
    <n v="2"/>
    <s v="Gasto de capital"/>
    <x v="0"/>
    <x v="0"/>
    <x v="0"/>
    <x v="0"/>
    <x v="0"/>
    <x v="0"/>
    <x v="0"/>
    <m/>
    <x v="0"/>
    <x v="0"/>
    <m/>
    <n v="13456809"/>
    <n v="0"/>
    <n v="-86537"/>
    <n v="13370272"/>
    <m/>
    <m/>
    <x v="1"/>
    <n v="0"/>
  </r>
  <r>
    <x v="1"/>
    <x v="12"/>
    <x v="12"/>
    <x v="11"/>
    <s v="Sujetos a Reglas de Operación"/>
    <x v="24"/>
    <x v="278"/>
    <x v="52"/>
    <x v="392"/>
    <n v="3"/>
    <s v="Desarrollo Económico"/>
    <n v="4"/>
    <s v="Temas Empresariales"/>
    <n v="1"/>
    <x v="44"/>
    <x v="1"/>
    <x v="79"/>
    <n v="1"/>
    <s v="Gasto corriente"/>
    <x v="0"/>
    <x v="0"/>
    <x v="1"/>
    <x v="0"/>
    <x v="0"/>
    <x v="0"/>
    <x v="1"/>
    <m/>
    <x v="0"/>
    <x v="0"/>
    <m/>
    <n v="11617878"/>
    <n v="0"/>
    <n v="-392845"/>
    <n v="11225033"/>
    <n v="10900000"/>
    <m/>
    <x v="1"/>
    <n v="10900000"/>
  </r>
  <r>
    <x v="1"/>
    <x v="12"/>
    <x v="12"/>
    <x v="11"/>
    <s v="Sujetos a Reglas de Operación"/>
    <x v="24"/>
    <x v="278"/>
    <x v="52"/>
    <x v="392"/>
    <n v="3"/>
    <s v="Desarrollo Económico"/>
    <n v="4"/>
    <s v="Temas Empresariales"/>
    <n v="1"/>
    <x v="44"/>
    <x v="1"/>
    <x v="79"/>
    <n v="2"/>
    <s v="Gasto de capital"/>
    <x v="0"/>
    <x v="0"/>
    <x v="1"/>
    <x v="0"/>
    <x v="1"/>
    <x v="0"/>
    <x v="1"/>
    <m/>
    <x v="0"/>
    <x v="0"/>
    <m/>
    <n v="150237814"/>
    <n v="25000000"/>
    <n v="-1040849"/>
    <n v="174196965"/>
    <n v="209217046"/>
    <m/>
    <x v="1"/>
    <n v="209217046"/>
  </r>
  <r>
    <x v="1"/>
    <x v="12"/>
    <x v="12"/>
    <x v="11"/>
    <s v="Sujetos a Reglas de Operación"/>
    <x v="63"/>
    <x v="279"/>
    <x v="50"/>
    <x v="406"/>
    <n v="3"/>
    <s v="Desarrollo Económico"/>
    <n v="4"/>
    <s v="Temas Empresariales"/>
    <n v="2"/>
    <x v="43"/>
    <x v="7"/>
    <x v="84"/>
    <n v="1"/>
    <s v="Gasto corriente"/>
    <x v="0"/>
    <x v="0"/>
    <x v="0"/>
    <x v="1"/>
    <x v="0"/>
    <x v="0"/>
    <x v="0"/>
    <m/>
    <x v="0"/>
    <x v="0"/>
    <m/>
    <n v="18233710"/>
    <n v="0"/>
    <n v="-616552"/>
    <n v="17617158"/>
    <n v="18219285"/>
    <m/>
    <x v="1"/>
    <n v="18219285"/>
  </r>
  <r>
    <x v="1"/>
    <x v="12"/>
    <x v="12"/>
    <x v="11"/>
    <s v="Sujetos a Reglas de Operación"/>
    <x v="63"/>
    <x v="279"/>
    <x v="50"/>
    <x v="406"/>
    <n v="3"/>
    <s v="Desarrollo Económico"/>
    <n v="4"/>
    <s v="Temas Empresariales"/>
    <n v="2"/>
    <x v="43"/>
    <x v="7"/>
    <x v="84"/>
    <n v="2"/>
    <s v="Gasto de capital"/>
    <x v="0"/>
    <x v="0"/>
    <x v="0"/>
    <x v="1"/>
    <x v="0"/>
    <x v="0"/>
    <x v="0"/>
    <m/>
    <x v="0"/>
    <x v="0"/>
    <m/>
    <n v="370062261"/>
    <n v="300000000"/>
    <n v="-2497024"/>
    <n v="667565237"/>
    <n v="570991189"/>
    <m/>
    <x v="1"/>
    <n v="570991189"/>
  </r>
  <r>
    <x v="1"/>
    <x v="12"/>
    <x v="12"/>
    <x v="11"/>
    <s v="Sujetos a Reglas de Operación"/>
    <x v="64"/>
    <x v="280"/>
    <x v="50"/>
    <x v="406"/>
    <n v="3"/>
    <s v="Desarrollo Económico"/>
    <n v="4"/>
    <s v="Temas Empresariales"/>
    <n v="2"/>
    <x v="43"/>
    <x v="7"/>
    <x v="84"/>
    <n v="1"/>
    <s v="Gasto corriente"/>
    <x v="0"/>
    <x v="0"/>
    <x v="0"/>
    <x v="0"/>
    <x v="1"/>
    <x v="0"/>
    <x v="0"/>
    <m/>
    <x v="0"/>
    <x v="0"/>
    <m/>
    <n v="5193494"/>
    <n v="0"/>
    <n v="-175615"/>
    <n v="5017879"/>
    <n v="5230760"/>
    <m/>
    <x v="58"/>
    <n v="155230760"/>
  </r>
  <r>
    <x v="1"/>
    <x v="12"/>
    <x v="12"/>
    <x v="11"/>
    <s v="Sujetos a Reglas de Operación"/>
    <x v="64"/>
    <x v="280"/>
    <x v="50"/>
    <x v="406"/>
    <n v="3"/>
    <s v="Desarrollo Económico"/>
    <n v="4"/>
    <s v="Temas Empresariales"/>
    <n v="2"/>
    <x v="43"/>
    <x v="7"/>
    <x v="84"/>
    <n v="2"/>
    <s v="Gasto de capital"/>
    <x v="0"/>
    <x v="0"/>
    <x v="0"/>
    <x v="0"/>
    <x v="1"/>
    <x v="0"/>
    <x v="0"/>
    <m/>
    <x v="0"/>
    <x v="0"/>
    <m/>
    <n v="80740857"/>
    <n v="100000000"/>
    <n v="-552620"/>
    <n v="180188237"/>
    <n v="155828000"/>
    <m/>
    <x v="1"/>
    <n v="155828000"/>
  </r>
  <r>
    <x v="1"/>
    <x v="12"/>
    <x v="12"/>
    <x v="11"/>
    <s v="Sujetos a Reglas de Operación"/>
    <x v="65"/>
    <x v="281"/>
    <x v="101"/>
    <x v="410"/>
    <n v="3"/>
    <s v="Desarrollo Económico"/>
    <n v="4"/>
    <s v="Temas Empresariales"/>
    <n v="2"/>
    <x v="43"/>
    <x v="7"/>
    <x v="84"/>
    <n v="1"/>
    <s v="Gasto corriente"/>
    <x v="0"/>
    <x v="0"/>
    <x v="0"/>
    <x v="0"/>
    <x v="0"/>
    <x v="0"/>
    <x v="0"/>
    <m/>
    <x v="0"/>
    <x v="0"/>
    <m/>
    <n v="6718902"/>
    <n v="0"/>
    <n v="-227192"/>
    <n v="6491710"/>
    <n v="781668"/>
    <m/>
    <x v="1"/>
    <n v="781668"/>
  </r>
  <r>
    <x v="1"/>
    <x v="12"/>
    <x v="12"/>
    <x v="11"/>
    <s v="Sujetos a Reglas de Operación"/>
    <x v="65"/>
    <x v="281"/>
    <x v="101"/>
    <x v="410"/>
    <n v="3"/>
    <s v="Desarrollo Económico"/>
    <n v="4"/>
    <s v="Temas Empresariales"/>
    <n v="2"/>
    <x v="43"/>
    <x v="7"/>
    <x v="84"/>
    <n v="2"/>
    <s v="Gasto de capital"/>
    <x v="0"/>
    <x v="0"/>
    <x v="0"/>
    <x v="0"/>
    <x v="0"/>
    <x v="0"/>
    <x v="0"/>
    <m/>
    <x v="0"/>
    <x v="0"/>
    <m/>
    <n v="32142024"/>
    <n v="0"/>
    <n v="-249904"/>
    <n v="31892120"/>
    <n v="526000000"/>
    <m/>
    <x v="1"/>
    <n v="526000000"/>
  </r>
  <r>
    <x v="1"/>
    <x v="12"/>
    <x v="12"/>
    <x v="7"/>
    <s v="Otros Subsidios"/>
    <x v="3"/>
    <x v="282"/>
    <x v="0"/>
    <x v="403"/>
    <n v="3"/>
    <s v="Desarrollo Económico"/>
    <n v="4"/>
    <s v="Temas Empresariales"/>
    <n v="1"/>
    <x v="44"/>
    <x v="1"/>
    <x v="79"/>
    <n v="1"/>
    <s v="Gasto corriente"/>
    <x v="0"/>
    <x v="0"/>
    <x v="1"/>
    <x v="0"/>
    <x v="0"/>
    <x v="0"/>
    <x v="0"/>
    <m/>
    <x v="0"/>
    <x v="0"/>
    <m/>
    <m/>
    <m/>
    <m/>
    <m/>
    <n v="5340625"/>
    <m/>
    <x v="1"/>
    <n v="5340625"/>
  </r>
  <r>
    <x v="1"/>
    <x v="12"/>
    <x v="12"/>
    <x v="7"/>
    <s v="Otros Subsidios"/>
    <x v="3"/>
    <x v="282"/>
    <x v="0"/>
    <x v="403"/>
    <n v="3"/>
    <s v="Desarrollo Económico"/>
    <n v="4"/>
    <s v="Temas Empresariales"/>
    <n v="1"/>
    <x v="44"/>
    <x v="1"/>
    <x v="79"/>
    <n v="2"/>
    <s v="Gasto de capital"/>
    <x v="0"/>
    <x v="0"/>
    <x v="1"/>
    <x v="0"/>
    <x v="0"/>
    <x v="0"/>
    <x v="0"/>
    <m/>
    <x v="0"/>
    <x v="0"/>
    <m/>
    <n v="134568096"/>
    <n v="0"/>
    <n v="-865370"/>
    <n v="133702726"/>
    <n v="109000000"/>
    <m/>
    <x v="1"/>
    <n v="109000000"/>
  </r>
  <r>
    <x v="1"/>
    <x v="12"/>
    <x v="12"/>
    <x v="7"/>
    <s v="Otros Subsidios"/>
    <x v="4"/>
    <x v="283"/>
    <x v="73"/>
    <x v="409"/>
    <n v="3"/>
    <s v="Desarrollo Económico"/>
    <n v="4"/>
    <s v="Temas Empresariales"/>
    <n v="2"/>
    <x v="43"/>
    <x v="7"/>
    <x v="84"/>
    <n v="1"/>
    <s v="Gasto corriente"/>
    <x v="0"/>
    <x v="0"/>
    <x v="0"/>
    <x v="0"/>
    <x v="0"/>
    <x v="0"/>
    <x v="0"/>
    <m/>
    <x v="0"/>
    <x v="0"/>
    <m/>
    <n v="168210119"/>
    <n v="0"/>
    <n v="-1081713"/>
    <n v="167128406"/>
    <n v="143978610"/>
    <m/>
    <x v="1"/>
    <n v="143978610"/>
  </r>
  <r>
    <x v="1"/>
    <x v="12"/>
    <x v="12"/>
    <x v="7"/>
    <s v="Otros Subsidios"/>
    <x v="5"/>
    <x v="284"/>
    <x v="246"/>
    <x v="385"/>
    <n v="3"/>
    <s v="Desarrollo Económico"/>
    <n v="4"/>
    <s v="Temas Empresariales"/>
    <n v="3"/>
    <x v="45"/>
    <x v="11"/>
    <x v="80"/>
    <n v="2"/>
    <s v="Gasto de capital"/>
    <x v="0"/>
    <x v="0"/>
    <x v="0"/>
    <x v="0"/>
    <x v="0"/>
    <x v="0"/>
    <x v="0"/>
    <m/>
    <x v="0"/>
    <x v="0"/>
    <m/>
    <n v="33642024"/>
    <n v="0"/>
    <n v="-216342"/>
    <n v="33425682"/>
    <n v="35000000"/>
    <m/>
    <x v="1"/>
    <n v="35000000"/>
  </r>
  <r>
    <x v="1"/>
    <x v="12"/>
    <x v="12"/>
    <x v="7"/>
    <s v="Otros Subsidios"/>
    <x v="6"/>
    <x v="285"/>
    <x v="39"/>
    <x v="400"/>
    <n v="3"/>
    <s v="Desarrollo Económico"/>
    <n v="4"/>
    <s v="Temas Empresariales"/>
    <n v="2"/>
    <x v="43"/>
    <x v="7"/>
    <x v="84"/>
    <n v="2"/>
    <s v="Gasto de capital"/>
    <x v="0"/>
    <x v="0"/>
    <x v="0"/>
    <x v="1"/>
    <x v="0"/>
    <x v="0"/>
    <x v="0"/>
    <m/>
    <x v="0"/>
    <x v="0"/>
    <m/>
    <n v="336420237"/>
    <n v="0"/>
    <n v="-2163425"/>
    <n v="334256812"/>
    <n v="304789151"/>
    <m/>
    <x v="1"/>
    <n v="304789151"/>
  </r>
  <r>
    <x v="1"/>
    <x v="13"/>
    <x v="13"/>
    <x v="8"/>
    <s v="Provisión de Bienes Públicos"/>
    <x v="2"/>
    <x v="286"/>
    <x v="250"/>
    <x v="412"/>
    <n v="2"/>
    <s v="Desarrollo Social"/>
    <n v="0"/>
    <s v="Educación"/>
    <n v="1"/>
    <x v="31"/>
    <x v="1"/>
    <x v="87"/>
    <n v="1"/>
    <s v="Gasto corriente"/>
    <x v="0"/>
    <x v="1"/>
    <x v="0"/>
    <x v="0"/>
    <x v="0"/>
    <x v="0"/>
    <x v="0"/>
    <n v="1"/>
    <x v="0"/>
    <x v="0"/>
    <m/>
    <n v="3791335"/>
    <n v="0"/>
    <n v="0"/>
    <n v="3791335"/>
    <n v="4002290"/>
    <m/>
    <x v="1"/>
    <n v="4002290"/>
  </r>
  <r>
    <x v="1"/>
    <x v="13"/>
    <x v="13"/>
    <x v="8"/>
    <s v="Provisión de Bienes Públicos"/>
    <x v="2"/>
    <x v="286"/>
    <x v="250"/>
    <x v="412"/>
    <n v="2"/>
    <s v="Desarrollo Social"/>
    <n v="0"/>
    <s v="Educación"/>
    <n v="1"/>
    <x v="31"/>
    <x v="1"/>
    <x v="87"/>
    <n v="1"/>
    <s v="Gasto corriente"/>
    <x v="0"/>
    <x v="0"/>
    <x v="0"/>
    <x v="0"/>
    <x v="0"/>
    <x v="0"/>
    <x v="0"/>
    <n v="1"/>
    <x v="0"/>
    <x v="0"/>
    <m/>
    <n v="2067281726"/>
    <n v="109453272"/>
    <n v="-30887894"/>
    <n v="2145847104"/>
    <n v="2216647733"/>
    <m/>
    <x v="1"/>
    <n v="2216647733"/>
  </r>
  <r>
    <x v="1"/>
    <x v="13"/>
    <x v="13"/>
    <x v="8"/>
    <s v="Provisión de Bienes Públicos"/>
    <x v="2"/>
    <x v="286"/>
    <x v="250"/>
    <x v="412"/>
    <n v="2"/>
    <s v="Desarrollo Social"/>
    <n v="0"/>
    <s v="Educación"/>
    <n v="1"/>
    <x v="31"/>
    <x v="1"/>
    <x v="87"/>
    <n v="2"/>
    <s v="Gasto de capital"/>
    <x v="0"/>
    <x v="0"/>
    <x v="0"/>
    <x v="0"/>
    <x v="0"/>
    <x v="0"/>
    <x v="0"/>
    <n v="1"/>
    <x v="0"/>
    <x v="0"/>
    <m/>
    <m/>
    <m/>
    <m/>
    <m/>
    <n v="15306264"/>
    <m/>
    <x v="1"/>
    <n v="15306264"/>
  </r>
  <r>
    <x v="1"/>
    <x v="13"/>
    <x v="13"/>
    <x v="8"/>
    <s v="Provisión de Bienes Públicos"/>
    <x v="3"/>
    <x v="287"/>
    <x v="54"/>
    <x v="413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m/>
    <x v="0"/>
    <x v="0"/>
    <m/>
    <n v="97400469"/>
    <n v="135479455"/>
    <n v="-1455291"/>
    <n v="231424633"/>
    <n v="193225592"/>
    <m/>
    <x v="1"/>
    <n v="193225592"/>
  </r>
  <r>
    <x v="1"/>
    <x v="13"/>
    <x v="13"/>
    <x v="8"/>
    <s v="Provisión de Bienes Públicos"/>
    <x v="3"/>
    <x v="287"/>
    <x v="251"/>
    <x v="414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n v="1"/>
    <x v="0"/>
    <x v="0"/>
    <m/>
    <n v="369781"/>
    <n v="0"/>
    <n v="0"/>
    <n v="369781"/>
    <n v="328747"/>
    <m/>
    <x v="1"/>
    <n v="328747"/>
  </r>
  <r>
    <x v="1"/>
    <x v="13"/>
    <x v="13"/>
    <x v="8"/>
    <s v="Provisión de Bienes Públicos"/>
    <x v="3"/>
    <x v="287"/>
    <x v="251"/>
    <x v="414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n v="1"/>
    <x v="0"/>
    <x v="0"/>
    <m/>
    <n v="12350327"/>
    <n v="4000000"/>
    <n v="-184533"/>
    <n v="16165794"/>
    <n v="23667043"/>
    <m/>
    <x v="1"/>
    <n v="23667043"/>
  </r>
  <r>
    <x v="1"/>
    <x v="13"/>
    <x v="13"/>
    <x v="8"/>
    <s v="Provisión de Bienes Públicos"/>
    <x v="3"/>
    <x v="287"/>
    <x v="251"/>
    <x v="414"/>
    <n v="3"/>
    <s v="Desarrollo Económico"/>
    <n v="7"/>
    <s v="Ciencia y Tecnología"/>
    <n v="3"/>
    <x v="46"/>
    <x v="14"/>
    <x v="89"/>
    <n v="1"/>
    <s v="Gasto corriente"/>
    <x v="0"/>
    <x v="1"/>
    <x v="0"/>
    <x v="1"/>
    <x v="0"/>
    <x v="0"/>
    <x v="0"/>
    <n v="1"/>
    <x v="0"/>
    <x v="0"/>
    <m/>
    <n v="1410975"/>
    <n v="0"/>
    <n v="0"/>
    <n v="1410975"/>
    <n v="1254397"/>
    <m/>
    <x v="1"/>
    <n v="1254397"/>
  </r>
  <r>
    <x v="1"/>
    <x v="13"/>
    <x v="13"/>
    <x v="8"/>
    <s v="Provisión de Bienes Públicos"/>
    <x v="3"/>
    <x v="287"/>
    <x v="251"/>
    <x v="414"/>
    <n v="3"/>
    <s v="Desarrollo Económico"/>
    <n v="7"/>
    <s v="Ciencia y Tecnología"/>
    <n v="3"/>
    <x v="46"/>
    <x v="14"/>
    <x v="89"/>
    <n v="1"/>
    <s v="Gasto corriente"/>
    <x v="0"/>
    <x v="0"/>
    <x v="0"/>
    <x v="1"/>
    <x v="0"/>
    <x v="0"/>
    <x v="0"/>
    <n v="1"/>
    <x v="0"/>
    <x v="0"/>
    <m/>
    <n v="33313979"/>
    <n v="0"/>
    <n v="-497757"/>
    <n v="32816222"/>
    <n v="31507407"/>
    <m/>
    <x v="1"/>
    <n v="31507407"/>
  </r>
  <r>
    <x v="1"/>
    <x v="13"/>
    <x v="13"/>
    <x v="4"/>
    <s v="Prestación de Servicios Públicos"/>
    <x v="2"/>
    <x v="288"/>
    <x v="54"/>
    <x v="413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m/>
    <x v="0"/>
    <x v="0"/>
    <m/>
    <n v="4841000000"/>
    <n v="0"/>
    <n v="-72330884"/>
    <n v="4768669116"/>
    <n v="596253172"/>
    <m/>
    <x v="1"/>
    <n v="596253172"/>
  </r>
  <r>
    <x v="1"/>
    <x v="13"/>
    <x v="13"/>
    <x v="4"/>
    <s v="Prestación de Servicios Públicos"/>
    <x v="4"/>
    <x v="289"/>
    <x v="50"/>
    <x v="415"/>
    <n v="2"/>
    <s v="Desarrollo Social"/>
    <n v="0"/>
    <s v="Educación"/>
    <n v="9"/>
    <x v="47"/>
    <x v="6"/>
    <x v="88"/>
    <n v="1"/>
    <s v="Gasto corriente"/>
    <x v="0"/>
    <x v="1"/>
    <x v="0"/>
    <x v="0"/>
    <x v="0"/>
    <x v="0"/>
    <x v="0"/>
    <m/>
    <x v="0"/>
    <x v="0"/>
    <m/>
    <n v="4091131"/>
    <n v="0"/>
    <n v="0"/>
    <n v="4091131"/>
    <n v="4254776"/>
    <m/>
    <x v="1"/>
    <n v="4254776"/>
  </r>
  <r>
    <x v="1"/>
    <x v="13"/>
    <x v="13"/>
    <x v="4"/>
    <s v="Prestación de Servicios Públicos"/>
    <x v="4"/>
    <x v="289"/>
    <x v="50"/>
    <x v="415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56195395"/>
    <n v="0"/>
    <n v="-839632"/>
    <n v="55355763"/>
    <n v="59514868"/>
    <m/>
    <x v="1"/>
    <n v="59514868"/>
  </r>
  <r>
    <x v="1"/>
    <x v="13"/>
    <x v="13"/>
    <x v="4"/>
    <s v="Prestación de Servicios Públicos"/>
    <x v="4"/>
    <x v="289"/>
    <x v="50"/>
    <x v="415"/>
    <n v="2"/>
    <s v="Desarrollo Social"/>
    <n v="0"/>
    <s v="Educación"/>
    <n v="9"/>
    <x v="47"/>
    <x v="8"/>
    <x v="90"/>
    <n v="1"/>
    <s v="Gasto corriente"/>
    <x v="0"/>
    <x v="0"/>
    <x v="0"/>
    <x v="0"/>
    <x v="0"/>
    <x v="0"/>
    <x v="0"/>
    <m/>
    <x v="0"/>
    <x v="0"/>
    <m/>
    <n v="439728633"/>
    <n v="0"/>
    <n v="-6570121"/>
    <n v="433158512"/>
    <n v="542650063"/>
    <m/>
    <x v="1"/>
    <n v="542650063"/>
  </r>
  <r>
    <x v="1"/>
    <x v="13"/>
    <x v="13"/>
    <x v="4"/>
    <s v="Prestación de Servicios Públicos"/>
    <x v="4"/>
    <x v="289"/>
    <x v="50"/>
    <x v="415"/>
    <n v="2"/>
    <s v="Desarrollo Social"/>
    <n v="0"/>
    <s v="Educación"/>
    <n v="9"/>
    <x v="47"/>
    <x v="8"/>
    <x v="90"/>
    <n v="2"/>
    <s v="Gasto de capital"/>
    <x v="0"/>
    <x v="0"/>
    <x v="0"/>
    <x v="0"/>
    <x v="0"/>
    <x v="0"/>
    <x v="0"/>
    <m/>
    <x v="0"/>
    <x v="0"/>
    <m/>
    <n v="9303800"/>
    <n v="0"/>
    <n v="-139011"/>
    <n v="9164789"/>
    <n v="9747184"/>
    <m/>
    <x v="1"/>
    <n v="9747184"/>
  </r>
  <r>
    <x v="1"/>
    <x v="13"/>
    <x v="13"/>
    <x v="4"/>
    <s v="Prestación de Servicios Públicos"/>
    <x v="4"/>
    <x v="289"/>
    <x v="252"/>
    <x v="416"/>
    <n v="2"/>
    <s v="Desarrollo Social"/>
    <n v="0"/>
    <s v="Educación"/>
    <n v="9"/>
    <x v="47"/>
    <x v="8"/>
    <x v="90"/>
    <n v="1"/>
    <s v="Gasto corriente"/>
    <x v="0"/>
    <x v="1"/>
    <x v="0"/>
    <x v="0"/>
    <x v="0"/>
    <x v="0"/>
    <x v="0"/>
    <n v="1"/>
    <x v="0"/>
    <x v="0"/>
    <m/>
    <n v="2362407"/>
    <n v="0"/>
    <n v="0"/>
    <n v="2362407"/>
    <n v="2472545"/>
    <m/>
    <x v="1"/>
    <n v="2472545"/>
  </r>
  <r>
    <x v="1"/>
    <x v="13"/>
    <x v="13"/>
    <x v="4"/>
    <s v="Prestación de Servicios Públicos"/>
    <x v="4"/>
    <x v="289"/>
    <x v="252"/>
    <x v="416"/>
    <n v="2"/>
    <s v="Desarrollo Social"/>
    <n v="0"/>
    <s v="Educación"/>
    <n v="9"/>
    <x v="47"/>
    <x v="8"/>
    <x v="90"/>
    <n v="1"/>
    <s v="Gasto corriente"/>
    <x v="0"/>
    <x v="0"/>
    <x v="0"/>
    <x v="0"/>
    <x v="0"/>
    <x v="0"/>
    <x v="0"/>
    <n v="1"/>
    <x v="0"/>
    <x v="0"/>
    <m/>
    <n v="135022143"/>
    <n v="30000000"/>
    <n v="-2017407"/>
    <n v="163004736"/>
    <n v="171697814"/>
    <m/>
    <x v="1"/>
    <n v="171697814"/>
  </r>
  <r>
    <x v="1"/>
    <x v="13"/>
    <x v="13"/>
    <x v="4"/>
    <s v="Prestación de Servicios Públicos"/>
    <x v="4"/>
    <x v="289"/>
    <x v="252"/>
    <x v="416"/>
    <n v="2"/>
    <s v="Desarrollo Social"/>
    <n v="0"/>
    <s v="Educación"/>
    <n v="9"/>
    <x v="47"/>
    <x v="8"/>
    <x v="90"/>
    <n v="2"/>
    <s v="Gasto de capital"/>
    <x v="0"/>
    <x v="0"/>
    <x v="0"/>
    <x v="0"/>
    <x v="0"/>
    <x v="0"/>
    <x v="0"/>
    <n v="1"/>
    <x v="0"/>
    <x v="0"/>
    <m/>
    <n v="930380"/>
    <n v="0"/>
    <n v="-13901"/>
    <n v="916479"/>
    <n v="916479"/>
    <m/>
    <x v="1"/>
    <n v="916479"/>
  </r>
  <r>
    <x v="1"/>
    <x v="13"/>
    <x v="13"/>
    <x v="4"/>
    <s v="Prestación de Servicios Públicos"/>
    <x v="6"/>
    <x v="290"/>
    <x v="77"/>
    <x v="417"/>
    <n v="2"/>
    <s v="Desarrollo Social"/>
    <n v="0"/>
    <s v="Educación"/>
    <n v="5"/>
    <x v="48"/>
    <x v="15"/>
    <x v="91"/>
    <n v="1"/>
    <s v="Gasto corriente"/>
    <x v="0"/>
    <x v="1"/>
    <x v="0"/>
    <x v="0"/>
    <x v="0"/>
    <x v="0"/>
    <x v="0"/>
    <m/>
    <x v="0"/>
    <x v="0"/>
    <m/>
    <n v="180687743"/>
    <n v="0"/>
    <n v="0"/>
    <n v="180687743"/>
    <n v="187915253"/>
    <m/>
    <x v="1"/>
    <n v="187915253"/>
  </r>
  <r>
    <x v="1"/>
    <x v="13"/>
    <x v="13"/>
    <x v="4"/>
    <s v="Prestación de Servicios Públicos"/>
    <x v="6"/>
    <x v="290"/>
    <x v="77"/>
    <x v="417"/>
    <n v="2"/>
    <s v="Desarrollo Social"/>
    <n v="0"/>
    <s v="Educación"/>
    <n v="5"/>
    <x v="48"/>
    <x v="15"/>
    <x v="91"/>
    <n v="1"/>
    <s v="Gasto corriente"/>
    <x v="0"/>
    <x v="0"/>
    <x v="0"/>
    <x v="0"/>
    <x v="0"/>
    <x v="0"/>
    <x v="0"/>
    <m/>
    <x v="0"/>
    <x v="0"/>
    <m/>
    <n v="1960385748"/>
    <n v="0"/>
    <n v="-29290729"/>
    <n v="1931095019"/>
    <n v="2097244971"/>
    <m/>
    <x v="1"/>
    <n v="2097244971"/>
  </r>
  <r>
    <x v="1"/>
    <x v="13"/>
    <x v="13"/>
    <x v="4"/>
    <s v="Prestación de Servicios Públicos"/>
    <x v="6"/>
    <x v="290"/>
    <x v="63"/>
    <x v="418"/>
    <n v="2"/>
    <s v="Desarrollo Social"/>
    <n v="0"/>
    <s v="Educación"/>
    <n v="9"/>
    <x v="47"/>
    <x v="7"/>
    <x v="92"/>
    <n v="1"/>
    <s v="Gasto corriente"/>
    <x v="0"/>
    <x v="0"/>
    <x v="0"/>
    <x v="0"/>
    <x v="0"/>
    <x v="0"/>
    <x v="0"/>
    <m/>
    <x v="0"/>
    <x v="0"/>
    <m/>
    <n v="440623"/>
    <n v="0"/>
    <n v="-6586"/>
    <n v="434037"/>
    <m/>
    <m/>
    <x v="1"/>
    <n v="0"/>
  </r>
  <r>
    <x v="1"/>
    <x v="13"/>
    <x v="13"/>
    <x v="4"/>
    <s v="Prestación de Servicios Públicos"/>
    <x v="8"/>
    <x v="291"/>
    <x v="79"/>
    <x v="419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n v="1"/>
    <x v="1"/>
    <x v="0"/>
    <m/>
    <n v="31916240"/>
    <n v="0"/>
    <n v="0"/>
    <n v="31916240"/>
    <n v="33192889"/>
    <m/>
    <x v="1"/>
    <n v="33192889"/>
  </r>
  <r>
    <x v="1"/>
    <x v="13"/>
    <x v="13"/>
    <x v="4"/>
    <s v="Prestación de Servicios Públicos"/>
    <x v="8"/>
    <x v="291"/>
    <x v="79"/>
    <x v="419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399156318"/>
    <n v="0"/>
    <n v="-5963920"/>
    <n v="393192398"/>
    <n v="430290608"/>
    <m/>
    <x v="59"/>
    <n v="455040608"/>
  </r>
  <r>
    <x v="1"/>
    <x v="13"/>
    <x v="13"/>
    <x v="4"/>
    <s v="Prestación de Servicios Públicos"/>
    <x v="8"/>
    <x v="291"/>
    <x v="253"/>
    <x v="420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m/>
    <x v="1"/>
    <x v="0"/>
    <m/>
    <n v="121705584"/>
    <n v="0"/>
    <n v="0"/>
    <n v="121705584"/>
    <n v="152161867"/>
    <m/>
    <x v="1"/>
    <n v="152161867"/>
  </r>
  <r>
    <x v="1"/>
    <x v="13"/>
    <x v="13"/>
    <x v="4"/>
    <s v="Prestación de Servicios Públicos"/>
    <x v="8"/>
    <x v="291"/>
    <x v="253"/>
    <x v="420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2578259178"/>
    <n v="0"/>
    <n v="-38522571"/>
    <n v="2539736607"/>
    <n v="2634282635"/>
    <m/>
    <x v="1"/>
    <n v="2634282635"/>
  </r>
  <r>
    <x v="1"/>
    <x v="13"/>
    <x v="13"/>
    <x v="4"/>
    <s v="Prestación de Servicios Públicos"/>
    <x v="8"/>
    <x v="291"/>
    <x v="253"/>
    <x v="420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m/>
    <x v="1"/>
    <x v="0"/>
    <m/>
    <n v="42318454"/>
    <n v="45000000"/>
    <n v="-632293"/>
    <n v="86686161"/>
    <n v="197124066"/>
    <m/>
    <x v="1"/>
    <n v="197124066"/>
  </r>
  <r>
    <x v="1"/>
    <x v="13"/>
    <x v="13"/>
    <x v="4"/>
    <s v="Prestación de Servicios Públicos"/>
    <x v="8"/>
    <x v="291"/>
    <x v="254"/>
    <x v="421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m/>
    <x v="1"/>
    <x v="0"/>
    <m/>
    <n v="94601897"/>
    <n v="0"/>
    <n v="0"/>
    <n v="94601897"/>
    <n v="101635032"/>
    <m/>
    <x v="1"/>
    <n v="101635032"/>
  </r>
  <r>
    <x v="1"/>
    <x v="13"/>
    <x v="13"/>
    <x v="4"/>
    <s v="Prestación de Servicios Públicos"/>
    <x v="8"/>
    <x v="291"/>
    <x v="254"/>
    <x v="421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1211338446"/>
    <n v="0"/>
    <n v="-18098985"/>
    <n v="1193239461"/>
    <n v="1147818543"/>
    <m/>
    <x v="1"/>
    <n v="1147818543"/>
  </r>
  <r>
    <x v="1"/>
    <x v="13"/>
    <x v="13"/>
    <x v="4"/>
    <s v="Prestación de Servicios Públicos"/>
    <x v="8"/>
    <x v="291"/>
    <x v="254"/>
    <x v="421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m/>
    <x v="1"/>
    <x v="0"/>
    <m/>
    <n v="2752238"/>
    <n v="0"/>
    <n v="-41122"/>
    <n v="2711116"/>
    <n v="9711116"/>
    <m/>
    <x v="1"/>
    <n v="9711116"/>
  </r>
  <r>
    <x v="1"/>
    <x v="13"/>
    <x v="13"/>
    <x v="4"/>
    <s v="Prestación de Servicios Públicos"/>
    <x v="8"/>
    <x v="291"/>
    <x v="255"/>
    <x v="422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m/>
    <x v="1"/>
    <x v="0"/>
    <m/>
    <n v="3971862"/>
    <n v="0"/>
    <n v="0"/>
    <n v="3971862"/>
    <n v="2958198"/>
    <m/>
    <x v="1"/>
    <n v="2958198"/>
  </r>
  <r>
    <x v="1"/>
    <x v="13"/>
    <x v="13"/>
    <x v="4"/>
    <s v="Prestación de Servicios Públicos"/>
    <x v="8"/>
    <x v="291"/>
    <x v="255"/>
    <x v="422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55746827"/>
    <n v="0"/>
    <n v="-832930"/>
    <n v="54913897"/>
    <n v="52840699"/>
    <m/>
    <x v="1"/>
    <n v="52840699"/>
  </r>
  <r>
    <x v="1"/>
    <x v="13"/>
    <x v="13"/>
    <x v="4"/>
    <s v="Prestación de Servicios Públicos"/>
    <x v="8"/>
    <x v="291"/>
    <x v="255"/>
    <x v="422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m/>
    <x v="1"/>
    <x v="0"/>
    <m/>
    <n v="3885073"/>
    <n v="0"/>
    <n v="-58048"/>
    <n v="3827025"/>
    <n v="3885073"/>
    <m/>
    <x v="1"/>
    <n v="3885073"/>
  </r>
  <r>
    <x v="1"/>
    <x v="13"/>
    <x v="13"/>
    <x v="4"/>
    <s v="Prestación de Servicios Públicos"/>
    <x v="9"/>
    <x v="292"/>
    <x v="105"/>
    <x v="423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0"/>
    <n v="1"/>
    <x v="1"/>
    <x v="0"/>
    <m/>
    <n v="530548396"/>
    <n v="0"/>
    <n v="0"/>
    <n v="530548396"/>
    <n v="551770332"/>
    <m/>
    <x v="1"/>
    <n v="551770332"/>
  </r>
  <r>
    <x v="1"/>
    <x v="13"/>
    <x v="13"/>
    <x v="4"/>
    <s v="Prestación de Servicios Públicos"/>
    <x v="9"/>
    <x v="292"/>
    <x v="105"/>
    <x v="42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8002137672"/>
    <n v="0"/>
    <n v="-119562424"/>
    <n v="7882575248"/>
    <n v="8365614180"/>
    <m/>
    <x v="1"/>
    <n v="8365614180"/>
  </r>
  <r>
    <x v="1"/>
    <x v="13"/>
    <x v="13"/>
    <x v="4"/>
    <s v="Prestación de Servicios Públicos"/>
    <x v="9"/>
    <x v="292"/>
    <x v="105"/>
    <x v="423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1"/>
    <x v="0"/>
    <m/>
    <m/>
    <m/>
    <m/>
    <m/>
    <n v="50000000"/>
    <m/>
    <x v="1"/>
    <n v="50000000"/>
  </r>
  <r>
    <x v="1"/>
    <x v="13"/>
    <x v="13"/>
    <x v="4"/>
    <s v="Prestación de Servicios Públicos"/>
    <x v="9"/>
    <x v="292"/>
    <x v="105"/>
    <x v="423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0"/>
    <x v="0"/>
    <m/>
    <n v="9381874"/>
    <n v="0"/>
    <n v="-140178"/>
    <n v="9241696"/>
    <n v="8973746"/>
    <m/>
    <x v="1"/>
    <n v="8973746"/>
  </r>
  <r>
    <x v="1"/>
    <x v="13"/>
    <x v="13"/>
    <x v="4"/>
    <s v="Prestación de Servicios Públicos"/>
    <x v="9"/>
    <x v="292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344915910"/>
    <n v="0"/>
    <n v="-5153496"/>
    <n v="339762414"/>
    <n v="304077473"/>
    <m/>
    <x v="1"/>
    <n v="304077473"/>
  </r>
  <r>
    <x v="1"/>
    <x v="13"/>
    <x v="13"/>
    <x v="4"/>
    <s v="Prestación de Servicios Públicos"/>
    <x v="9"/>
    <x v="292"/>
    <x v="74"/>
    <x v="424"/>
    <n v="2"/>
    <s v="Desarrollo Social"/>
    <n v="0"/>
    <s v="Educación"/>
    <n v="5"/>
    <x v="48"/>
    <x v="15"/>
    <x v="91"/>
    <n v="1"/>
    <s v="Gasto corriente"/>
    <x v="0"/>
    <x v="0"/>
    <x v="0"/>
    <x v="0"/>
    <x v="0"/>
    <x v="0"/>
    <x v="0"/>
    <m/>
    <x v="0"/>
    <x v="0"/>
    <m/>
    <n v="28571108"/>
    <n v="0"/>
    <n v="-426890"/>
    <n v="28144218"/>
    <n v="28144218"/>
    <m/>
    <x v="1"/>
    <n v="28144218"/>
  </r>
  <r>
    <x v="1"/>
    <x v="13"/>
    <x v="13"/>
    <x v="4"/>
    <s v="Prestación de Servicios Públicos"/>
    <x v="9"/>
    <x v="292"/>
    <x v="75"/>
    <x v="425"/>
    <n v="2"/>
    <s v="Desarrollo Social"/>
    <n v="0"/>
    <s v="Educación"/>
    <n v="2"/>
    <x v="28"/>
    <x v="0"/>
    <x v="93"/>
    <n v="1"/>
    <s v="Gasto corriente"/>
    <x v="0"/>
    <x v="1"/>
    <x v="0"/>
    <x v="0"/>
    <x v="1"/>
    <x v="0"/>
    <x v="0"/>
    <m/>
    <x v="1"/>
    <x v="0"/>
    <m/>
    <n v="293695281"/>
    <n v="0"/>
    <n v="0"/>
    <n v="293695281"/>
    <n v="305443092"/>
    <m/>
    <x v="1"/>
    <n v="305443092"/>
  </r>
  <r>
    <x v="1"/>
    <x v="13"/>
    <x v="13"/>
    <x v="4"/>
    <s v="Prestación de Servicios Públicos"/>
    <x v="9"/>
    <x v="292"/>
    <x v="75"/>
    <x v="425"/>
    <n v="2"/>
    <s v="Desarrollo Social"/>
    <n v="0"/>
    <s v="Educación"/>
    <n v="2"/>
    <x v="28"/>
    <x v="0"/>
    <x v="93"/>
    <n v="1"/>
    <s v="Gasto corriente"/>
    <x v="0"/>
    <x v="0"/>
    <x v="0"/>
    <x v="0"/>
    <x v="1"/>
    <x v="0"/>
    <x v="0"/>
    <m/>
    <x v="1"/>
    <x v="0"/>
    <m/>
    <n v="4556549455"/>
    <n v="0"/>
    <n v="-68080821"/>
    <n v="4488468634"/>
    <n v="4842008871"/>
    <m/>
    <x v="1"/>
    <n v="4842008871"/>
  </r>
  <r>
    <x v="1"/>
    <x v="13"/>
    <x v="13"/>
    <x v="4"/>
    <s v="Prestación de Servicios Públicos"/>
    <x v="9"/>
    <x v="292"/>
    <x v="72"/>
    <x v="426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m/>
    <x v="1"/>
    <x v="0"/>
    <m/>
    <n v="795806693"/>
    <n v="0"/>
    <n v="0"/>
    <n v="795806693"/>
    <n v="827638965"/>
    <m/>
    <x v="1"/>
    <n v="827638965"/>
  </r>
  <r>
    <x v="1"/>
    <x v="13"/>
    <x v="13"/>
    <x v="4"/>
    <s v="Prestación de Servicios Públicos"/>
    <x v="9"/>
    <x v="292"/>
    <x v="72"/>
    <x v="426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11103196005"/>
    <n v="0"/>
    <n v="-165896301"/>
    <n v="10937299704"/>
    <n v="11289620482"/>
    <m/>
    <x v="1"/>
    <n v="11289620482"/>
  </r>
  <r>
    <x v="1"/>
    <x v="13"/>
    <x v="13"/>
    <x v="4"/>
    <s v="Prestación de Servicios Públicos"/>
    <x v="9"/>
    <x v="292"/>
    <x v="80"/>
    <x v="427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m/>
    <x v="1"/>
    <x v="0"/>
    <m/>
    <n v="56211582"/>
    <n v="0"/>
    <n v="0"/>
    <n v="56211582"/>
    <n v="58460046"/>
    <m/>
    <x v="1"/>
    <n v="58460046"/>
  </r>
  <r>
    <x v="1"/>
    <x v="13"/>
    <x v="13"/>
    <x v="4"/>
    <s v="Prestación de Servicios Públicos"/>
    <x v="9"/>
    <x v="292"/>
    <x v="80"/>
    <x v="427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836464392"/>
    <n v="0"/>
    <n v="-12497873"/>
    <n v="823966519"/>
    <n v="882500472"/>
    <m/>
    <x v="1"/>
    <n v="882500472"/>
  </r>
  <r>
    <x v="1"/>
    <x v="13"/>
    <x v="13"/>
    <x v="4"/>
    <s v="Prestación de Servicios Públicos"/>
    <x v="9"/>
    <x v="292"/>
    <x v="31"/>
    <x v="428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n v="1"/>
    <x v="1"/>
    <x v="0"/>
    <m/>
    <n v="97159975"/>
    <n v="0"/>
    <n v="0"/>
    <n v="97159975"/>
    <n v="104068462"/>
    <m/>
    <x v="1"/>
    <n v="104068462"/>
  </r>
  <r>
    <x v="1"/>
    <x v="13"/>
    <x v="13"/>
    <x v="4"/>
    <s v="Prestación de Servicios Públicos"/>
    <x v="9"/>
    <x v="292"/>
    <x v="31"/>
    <x v="428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1458654078"/>
    <n v="0"/>
    <n v="-21794203"/>
    <n v="1436859875"/>
    <n v="1852718286"/>
    <m/>
    <x v="60"/>
    <n v="2312718286"/>
  </r>
  <r>
    <x v="1"/>
    <x v="13"/>
    <x v="13"/>
    <x v="4"/>
    <s v="Prestación de Servicios Públicos"/>
    <x v="9"/>
    <x v="292"/>
    <x v="31"/>
    <x v="428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0"/>
    <n v="1"/>
    <x v="1"/>
    <x v="0"/>
    <m/>
    <n v="201822134"/>
    <n v="0"/>
    <n v="0"/>
    <n v="201822134"/>
    <m/>
    <m/>
    <x v="1"/>
    <n v="0"/>
  </r>
  <r>
    <x v="1"/>
    <x v="13"/>
    <x v="13"/>
    <x v="4"/>
    <s v="Prestación de Servicios Públicos"/>
    <x v="9"/>
    <x v="292"/>
    <x v="31"/>
    <x v="428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5434979708"/>
    <n v="397000000"/>
    <n v="-81205718"/>
    <n v="5750773990"/>
    <n v="86938736"/>
    <m/>
    <x v="1"/>
    <n v="86938736"/>
  </r>
  <r>
    <x v="1"/>
    <x v="13"/>
    <x v="13"/>
    <x v="4"/>
    <s v="Prestación de Servicios Públicos"/>
    <x v="9"/>
    <x v="292"/>
    <x v="31"/>
    <x v="428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1"/>
    <x v="0"/>
    <m/>
    <n v="10331546"/>
    <n v="0"/>
    <n v="-154367"/>
    <n v="10177179"/>
    <m/>
    <m/>
    <x v="1"/>
    <n v="0"/>
  </r>
  <r>
    <x v="1"/>
    <x v="13"/>
    <x v="13"/>
    <x v="4"/>
    <s v="Prestación de Servicios Públicos"/>
    <x v="9"/>
    <x v="292"/>
    <x v="31"/>
    <x v="428"/>
    <n v="2"/>
    <s v="Desarrollo Social"/>
    <n v="0"/>
    <s v="Educación"/>
    <n v="4"/>
    <x v="32"/>
    <x v="11"/>
    <x v="95"/>
    <n v="1"/>
    <s v="Gasto corriente"/>
    <x v="0"/>
    <x v="1"/>
    <x v="0"/>
    <x v="1"/>
    <x v="0"/>
    <x v="0"/>
    <x v="0"/>
    <n v="1"/>
    <x v="0"/>
    <x v="0"/>
    <m/>
    <n v="55114742"/>
    <n v="0"/>
    <n v="0"/>
    <n v="55114742"/>
    <m/>
    <m/>
    <x v="1"/>
    <n v="0"/>
  </r>
  <r>
    <x v="1"/>
    <x v="13"/>
    <x v="13"/>
    <x v="4"/>
    <s v="Prestación de Servicios Públicos"/>
    <x v="9"/>
    <x v="292"/>
    <x v="31"/>
    <x v="428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0"/>
    <x v="0"/>
    <m/>
    <n v="848643240"/>
    <n v="0"/>
    <n v="-12679840"/>
    <n v="835963400"/>
    <n v="22256832"/>
    <m/>
    <x v="1"/>
    <n v="22256832"/>
  </r>
  <r>
    <x v="1"/>
    <x v="13"/>
    <x v="13"/>
    <x v="4"/>
    <s v="Prestación de Servicios Públicos"/>
    <x v="9"/>
    <x v="292"/>
    <x v="256"/>
    <x v="429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n v="1"/>
    <x v="1"/>
    <x v="0"/>
    <m/>
    <n v="10167200"/>
    <n v="0"/>
    <n v="0"/>
    <n v="10167200"/>
    <n v="9806487"/>
    <m/>
    <x v="1"/>
    <n v="9806487"/>
  </r>
  <r>
    <x v="1"/>
    <x v="13"/>
    <x v="13"/>
    <x v="4"/>
    <s v="Prestación de Servicios Públicos"/>
    <x v="9"/>
    <x v="292"/>
    <x v="256"/>
    <x v="429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138854722"/>
    <n v="11071000"/>
    <n v="-2074672"/>
    <n v="147851050"/>
    <n v="159164253"/>
    <m/>
    <x v="3"/>
    <n v="169164253"/>
  </r>
  <r>
    <x v="1"/>
    <x v="13"/>
    <x v="13"/>
    <x v="4"/>
    <s v="Prestación de Servicios Públicos"/>
    <x v="9"/>
    <x v="292"/>
    <x v="256"/>
    <x v="429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n v="1"/>
    <x v="1"/>
    <x v="0"/>
    <m/>
    <n v="3197377"/>
    <n v="2025000"/>
    <n v="-47773"/>
    <n v="5174604"/>
    <n v="4004991"/>
    <m/>
    <x v="1"/>
    <n v="4004991"/>
  </r>
  <r>
    <x v="1"/>
    <x v="13"/>
    <x v="13"/>
    <x v="4"/>
    <s v="Prestación de Servicios Públicos"/>
    <x v="9"/>
    <x v="292"/>
    <x v="256"/>
    <x v="429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0"/>
    <n v="1"/>
    <x v="1"/>
    <x v="0"/>
    <m/>
    <n v="1774301"/>
    <n v="0"/>
    <n v="0"/>
    <n v="1774301"/>
    <n v="2599940"/>
    <m/>
    <x v="1"/>
    <n v="2599940"/>
  </r>
  <r>
    <x v="1"/>
    <x v="13"/>
    <x v="13"/>
    <x v="4"/>
    <s v="Prestación de Servicios Públicos"/>
    <x v="9"/>
    <x v="292"/>
    <x v="256"/>
    <x v="429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29162021"/>
    <n v="504000"/>
    <n v="-435720"/>
    <n v="29230301"/>
    <n v="22477559"/>
    <m/>
    <x v="1"/>
    <n v="22477559"/>
  </r>
  <r>
    <x v="1"/>
    <x v="13"/>
    <x v="13"/>
    <x v="4"/>
    <s v="Prestación de Servicios Públicos"/>
    <x v="9"/>
    <x v="292"/>
    <x v="256"/>
    <x v="429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1"/>
    <x v="0"/>
    <m/>
    <n v="619600"/>
    <n v="0"/>
    <n v="-9258"/>
    <n v="610342"/>
    <n v="1303712"/>
    <m/>
    <x v="1"/>
    <n v="1303712"/>
  </r>
  <r>
    <x v="1"/>
    <x v="13"/>
    <x v="13"/>
    <x v="4"/>
    <s v="Prestación de Servicios Públicos"/>
    <x v="9"/>
    <x v="292"/>
    <x v="257"/>
    <x v="430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n v="1"/>
    <x v="1"/>
    <x v="0"/>
    <m/>
    <n v="34885605"/>
    <n v="0"/>
    <n v="0"/>
    <n v="34885605"/>
    <n v="36275091"/>
    <m/>
    <x v="1"/>
    <n v="36275091"/>
  </r>
  <r>
    <x v="1"/>
    <x v="13"/>
    <x v="13"/>
    <x v="4"/>
    <s v="Prestación de Servicios Públicos"/>
    <x v="9"/>
    <x v="292"/>
    <x v="257"/>
    <x v="430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779616812"/>
    <n v="0"/>
    <n v="-11648501"/>
    <n v="767968311"/>
    <n v="778921410"/>
    <m/>
    <x v="0"/>
    <n v="978921410"/>
  </r>
  <r>
    <x v="1"/>
    <x v="13"/>
    <x v="13"/>
    <x v="4"/>
    <s v="Prestación de Servicios Públicos"/>
    <x v="10"/>
    <x v="293"/>
    <x v="82"/>
    <x v="431"/>
    <n v="2"/>
    <s v="Desarrollo Social"/>
    <n v="0"/>
    <s v="Educación"/>
    <n v="3"/>
    <x v="29"/>
    <x v="15"/>
    <x v="91"/>
    <n v="2"/>
    <s v="Gasto de capital"/>
    <x v="0"/>
    <x v="0"/>
    <x v="0"/>
    <x v="0"/>
    <x v="0"/>
    <x v="0"/>
    <x v="0"/>
    <m/>
    <x v="0"/>
    <x v="0"/>
    <m/>
    <n v="12187779"/>
    <n v="0"/>
    <n v="-182101"/>
    <n v="12005678"/>
    <n v="11298909"/>
    <m/>
    <x v="1"/>
    <n v="11298909"/>
  </r>
  <r>
    <x v="1"/>
    <x v="13"/>
    <x v="13"/>
    <x v="4"/>
    <s v="Prestación de Servicios Públicos"/>
    <x v="10"/>
    <x v="293"/>
    <x v="74"/>
    <x v="424"/>
    <n v="2"/>
    <s v="Desarrollo Social"/>
    <n v="0"/>
    <s v="Educación"/>
    <n v="9"/>
    <x v="47"/>
    <x v="15"/>
    <x v="91"/>
    <n v="1"/>
    <s v="Gasto corriente"/>
    <x v="0"/>
    <x v="0"/>
    <x v="0"/>
    <x v="0"/>
    <x v="0"/>
    <x v="0"/>
    <x v="0"/>
    <n v="1"/>
    <x v="0"/>
    <x v="0"/>
    <m/>
    <n v="1879639"/>
    <n v="0"/>
    <n v="-28086"/>
    <n v="1851553"/>
    <m/>
    <m/>
    <x v="1"/>
    <n v="0"/>
  </r>
  <r>
    <x v="1"/>
    <x v="13"/>
    <x v="13"/>
    <x v="4"/>
    <s v="Prestación de Servicios Públicos"/>
    <x v="10"/>
    <x v="293"/>
    <x v="74"/>
    <x v="424"/>
    <n v="2"/>
    <s v="Desarrollo Social"/>
    <n v="0"/>
    <s v="Educación"/>
    <n v="9"/>
    <x v="47"/>
    <x v="15"/>
    <x v="91"/>
    <n v="2"/>
    <s v="Gasto de capital"/>
    <x v="0"/>
    <x v="0"/>
    <x v="0"/>
    <x v="0"/>
    <x v="0"/>
    <x v="0"/>
    <x v="0"/>
    <m/>
    <x v="0"/>
    <x v="0"/>
    <m/>
    <n v="50608406"/>
    <n v="0"/>
    <n v="-756159"/>
    <n v="49852247"/>
    <n v="46474879"/>
    <m/>
    <x v="1"/>
    <n v="46474879"/>
  </r>
  <r>
    <x v="1"/>
    <x v="13"/>
    <x v="13"/>
    <x v="4"/>
    <s v="Prestación de Servicios Públicos"/>
    <x v="10"/>
    <x v="293"/>
    <x v="75"/>
    <x v="425"/>
    <n v="2"/>
    <s v="Desarrollo Social"/>
    <n v="0"/>
    <s v="Educación"/>
    <n v="2"/>
    <x v="28"/>
    <x v="15"/>
    <x v="91"/>
    <n v="2"/>
    <s v="Gasto de capital"/>
    <x v="0"/>
    <x v="0"/>
    <x v="0"/>
    <x v="0"/>
    <x v="0"/>
    <x v="0"/>
    <x v="0"/>
    <n v="1"/>
    <x v="0"/>
    <x v="0"/>
    <m/>
    <n v="24517090"/>
    <n v="0"/>
    <n v="-366318"/>
    <n v="24150772"/>
    <n v="22188925"/>
    <m/>
    <x v="1"/>
    <n v="22188925"/>
  </r>
  <r>
    <x v="1"/>
    <x v="13"/>
    <x v="13"/>
    <x v="4"/>
    <s v="Prestación de Servicios Públicos"/>
    <x v="10"/>
    <x v="293"/>
    <x v="72"/>
    <x v="426"/>
    <n v="2"/>
    <s v="Desarrollo Social"/>
    <n v="0"/>
    <s v="Educación"/>
    <n v="2"/>
    <x v="28"/>
    <x v="15"/>
    <x v="91"/>
    <n v="2"/>
    <s v="Gasto de capital"/>
    <x v="0"/>
    <x v="0"/>
    <x v="0"/>
    <x v="0"/>
    <x v="0"/>
    <x v="0"/>
    <x v="0"/>
    <n v="1"/>
    <x v="0"/>
    <x v="0"/>
    <m/>
    <n v="28520080"/>
    <n v="0"/>
    <n v="-426128"/>
    <n v="28093952"/>
    <n v="26587997"/>
    <m/>
    <x v="1"/>
    <n v="26587997"/>
  </r>
  <r>
    <x v="1"/>
    <x v="13"/>
    <x v="13"/>
    <x v="4"/>
    <s v="Prestación de Servicios Públicos"/>
    <x v="10"/>
    <x v="293"/>
    <x v="77"/>
    <x v="417"/>
    <n v="2"/>
    <s v="Desarrollo Social"/>
    <n v="0"/>
    <s v="Educación"/>
    <n v="5"/>
    <x v="48"/>
    <x v="15"/>
    <x v="91"/>
    <n v="2"/>
    <s v="Gasto de capital"/>
    <x v="0"/>
    <x v="0"/>
    <x v="0"/>
    <x v="0"/>
    <x v="0"/>
    <x v="0"/>
    <x v="0"/>
    <m/>
    <x v="0"/>
    <x v="0"/>
    <m/>
    <n v="40219021"/>
    <n v="0"/>
    <n v="-600924"/>
    <n v="39618097"/>
    <n v="37699020"/>
    <m/>
    <x v="1"/>
    <n v="37699020"/>
  </r>
  <r>
    <x v="1"/>
    <x v="13"/>
    <x v="13"/>
    <x v="4"/>
    <s v="Prestación de Servicios Públicos"/>
    <x v="10"/>
    <x v="293"/>
    <x v="80"/>
    <x v="427"/>
    <n v="2"/>
    <s v="Desarrollo Social"/>
    <n v="0"/>
    <s v="Educación"/>
    <n v="2"/>
    <x v="28"/>
    <x v="15"/>
    <x v="91"/>
    <n v="2"/>
    <s v="Gasto de capital"/>
    <x v="0"/>
    <x v="0"/>
    <x v="0"/>
    <x v="0"/>
    <x v="0"/>
    <x v="0"/>
    <x v="0"/>
    <n v="1"/>
    <x v="0"/>
    <x v="0"/>
    <m/>
    <n v="26494205"/>
    <n v="0"/>
    <n v="-395857"/>
    <n v="26098348"/>
    <n v="26651674"/>
    <m/>
    <x v="1"/>
    <n v="26651674"/>
  </r>
  <r>
    <x v="1"/>
    <x v="13"/>
    <x v="13"/>
    <x v="4"/>
    <s v="Prestación de Servicios Públicos"/>
    <x v="10"/>
    <x v="293"/>
    <x v="257"/>
    <x v="430"/>
    <n v="2"/>
    <s v="Desarrollo Social"/>
    <n v="0"/>
    <s v="Educación"/>
    <n v="2"/>
    <x v="28"/>
    <x v="15"/>
    <x v="91"/>
    <n v="2"/>
    <s v="Gasto de capital"/>
    <x v="0"/>
    <x v="0"/>
    <x v="0"/>
    <x v="0"/>
    <x v="0"/>
    <x v="0"/>
    <x v="0"/>
    <n v="1"/>
    <x v="0"/>
    <x v="0"/>
    <m/>
    <n v="56657008"/>
    <n v="0"/>
    <n v="-846530"/>
    <n v="55810478"/>
    <n v="18908310"/>
    <m/>
    <x v="1"/>
    <n v="18908310"/>
  </r>
  <r>
    <x v="1"/>
    <x v="13"/>
    <x v="13"/>
    <x v="4"/>
    <s v="Prestación de Servicios Públicos"/>
    <x v="10"/>
    <x v="293"/>
    <x v="258"/>
    <x v="432"/>
    <n v="2"/>
    <s v="Desarrollo Social"/>
    <n v="0"/>
    <s v="Educación"/>
    <n v="9"/>
    <x v="47"/>
    <x v="15"/>
    <x v="91"/>
    <n v="2"/>
    <s v="Gasto de capital"/>
    <x v="0"/>
    <x v="0"/>
    <x v="0"/>
    <x v="0"/>
    <x v="0"/>
    <x v="0"/>
    <x v="0"/>
    <m/>
    <x v="0"/>
    <x v="0"/>
    <m/>
    <n v="21910809"/>
    <n v="0"/>
    <n v="-327375"/>
    <n v="21583434"/>
    <n v="53962574"/>
    <m/>
    <x v="1"/>
    <n v="53962574"/>
  </r>
  <r>
    <x v="1"/>
    <x v="13"/>
    <x v="13"/>
    <x v="4"/>
    <s v="Prestación de Servicios Públicos"/>
    <x v="11"/>
    <x v="294"/>
    <x v="57"/>
    <x v="433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0"/>
    <n v="1"/>
    <x v="1"/>
    <x v="0"/>
    <m/>
    <n v="29619041"/>
    <n v="0"/>
    <n v="0"/>
    <n v="29619041"/>
    <n v="24209059"/>
    <m/>
    <x v="1"/>
    <n v="24209059"/>
  </r>
  <r>
    <x v="1"/>
    <x v="13"/>
    <x v="13"/>
    <x v="4"/>
    <s v="Prestación de Servicios Públicos"/>
    <x v="11"/>
    <x v="294"/>
    <x v="57"/>
    <x v="43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567838913"/>
    <n v="10000000"/>
    <n v="-8484257"/>
    <n v="569354656"/>
    <n v="524675645"/>
    <m/>
    <x v="15"/>
    <n v="545175645"/>
  </r>
  <r>
    <x v="1"/>
    <x v="13"/>
    <x v="13"/>
    <x v="4"/>
    <s v="Prestación de Servicios Públicos"/>
    <x v="11"/>
    <x v="294"/>
    <x v="57"/>
    <x v="433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1"/>
    <x v="0"/>
    <m/>
    <n v="10273666"/>
    <n v="0"/>
    <n v="-153502"/>
    <n v="10120164"/>
    <n v="10273666"/>
    <m/>
    <x v="1"/>
    <n v="10273666"/>
  </r>
  <r>
    <x v="1"/>
    <x v="13"/>
    <x v="13"/>
    <x v="4"/>
    <s v="Prestación de Servicios Públicos"/>
    <x v="11"/>
    <x v="294"/>
    <x v="57"/>
    <x v="433"/>
    <n v="2"/>
    <s v="Desarrollo Social"/>
    <n v="0"/>
    <s v="Educación"/>
    <n v="4"/>
    <x v="32"/>
    <x v="11"/>
    <x v="95"/>
    <n v="1"/>
    <s v="Gasto corriente"/>
    <x v="0"/>
    <x v="1"/>
    <x v="0"/>
    <x v="1"/>
    <x v="0"/>
    <x v="0"/>
    <x v="0"/>
    <n v="1"/>
    <x v="0"/>
    <x v="0"/>
    <m/>
    <n v="500734"/>
    <n v="0"/>
    <n v="0"/>
    <n v="500734"/>
    <n v="2763357"/>
    <m/>
    <x v="1"/>
    <n v="2763357"/>
  </r>
  <r>
    <x v="1"/>
    <x v="13"/>
    <x v="13"/>
    <x v="4"/>
    <s v="Prestación de Servicios Públicos"/>
    <x v="11"/>
    <x v="294"/>
    <x v="57"/>
    <x v="433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0"/>
    <x v="0"/>
    <m/>
    <n v="9434509"/>
    <n v="0"/>
    <n v="-140963"/>
    <n v="9293546"/>
    <n v="9042382"/>
    <m/>
    <x v="1"/>
    <n v="9042382"/>
  </r>
  <r>
    <x v="1"/>
    <x v="13"/>
    <x v="13"/>
    <x v="4"/>
    <s v="Prestación de Servicios Públicos"/>
    <x v="11"/>
    <x v="294"/>
    <x v="259"/>
    <x v="434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0"/>
    <n v="1"/>
    <x v="1"/>
    <x v="0"/>
    <m/>
    <n v="109103316"/>
    <n v="0"/>
    <n v="0"/>
    <n v="109103316"/>
    <n v="121660610"/>
    <m/>
    <x v="1"/>
    <n v="121660610"/>
  </r>
  <r>
    <x v="1"/>
    <x v="13"/>
    <x v="13"/>
    <x v="4"/>
    <s v="Prestación de Servicios Públicos"/>
    <x v="11"/>
    <x v="294"/>
    <x v="259"/>
    <x v="434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2395793928"/>
    <n v="48865126"/>
    <n v="-35796301"/>
    <n v="2408862753"/>
    <n v="2632937964"/>
    <m/>
    <x v="17"/>
    <n v="2702937964"/>
  </r>
  <r>
    <x v="1"/>
    <x v="13"/>
    <x v="13"/>
    <x v="4"/>
    <s v="Prestación de Servicios Públicos"/>
    <x v="11"/>
    <x v="294"/>
    <x v="259"/>
    <x v="434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1"/>
    <x v="0"/>
    <m/>
    <m/>
    <n v="0"/>
    <n v="0"/>
    <m/>
    <n v="95093963"/>
    <m/>
    <x v="1"/>
    <n v="95093963"/>
  </r>
  <r>
    <x v="1"/>
    <x v="13"/>
    <x v="13"/>
    <x v="4"/>
    <s v="Prestación de Servicios Públicos"/>
    <x v="11"/>
    <x v="294"/>
    <x v="259"/>
    <x v="434"/>
    <n v="2"/>
    <s v="Desarrollo Social"/>
    <n v="0"/>
    <s v="Educación"/>
    <n v="4"/>
    <x v="32"/>
    <x v="11"/>
    <x v="95"/>
    <n v="1"/>
    <s v="Gasto corriente"/>
    <x v="0"/>
    <x v="1"/>
    <x v="0"/>
    <x v="1"/>
    <x v="0"/>
    <x v="0"/>
    <x v="0"/>
    <n v="1"/>
    <x v="0"/>
    <x v="0"/>
    <m/>
    <n v="27174012"/>
    <n v="0"/>
    <n v="0"/>
    <n v="27174012"/>
    <n v="29578954"/>
    <m/>
    <x v="1"/>
    <n v="29578954"/>
  </r>
  <r>
    <x v="1"/>
    <x v="13"/>
    <x v="13"/>
    <x v="4"/>
    <s v="Prestación de Servicios Públicos"/>
    <x v="11"/>
    <x v="294"/>
    <x v="259"/>
    <x v="434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0"/>
    <x v="0"/>
    <m/>
    <n v="441437244"/>
    <n v="4792473"/>
    <n v="-6595648"/>
    <n v="439634069"/>
    <n v="451496126"/>
    <m/>
    <x v="1"/>
    <n v="451496126"/>
  </r>
  <r>
    <x v="1"/>
    <x v="13"/>
    <x v="13"/>
    <x v="4"/>
    <s v="Prestación de Servicios Públicos"/>
    <x v="11"/>
    <x v="294"/>
    <x v="253"/>
    <x v="420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0"/>
    <m/>
    <x v="1"/>
    <x v="0"/>
    <m/>
    <n v="805508843"/>
    <n v="0"/>
    <n v="0"/>
    <n v="805508843"/>
    <n v="769463622"/>
    <m/>
    <x v="1"/>
    <n v="769463622"/>
  </r>
  <r>
    <x v="1"/>
    <x v="13"/>
    <x v="13"/>
    <x v="4"/>
    <s v="Prestación de Servicios Públicos"/>
    <x v="11"/>
    <x v="294"/>
    <x v="253"/>
    <x v="420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1"/>
    <x v="0"/>
    <m/>
    <n v="14235350181"/>
    <n v="0"/>
    <n v="-212694785"/>
    <n v="14022655396"/>
    <n v="14752508631"/>
    <m/>
    <x v="1"/>
    <n v="14752508631"/>
  </r>
  <r>
    <x v="1"/>
    <x v="13"/>
    <x v="13"/>
    <x v="4"/>
    <s v="Prestación de Servicios Públicos"/>
    <x v="11"/>
    <x v="294"/>
    <x v="253"/>
    <x v="420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m/>
    <x v="1"/>
    <x v="0"/>
    <m/>
    <n v="143935226"/>
    <n v="50000000"/>
    <n v="-2150580"/>
    <n v="191784646"/>
    <n v="440778032"/>
    <m/>
    <x v="1"/>
    <n v="440778032"/>
  </r>
  <r>
    <x v="1"/>
    <x v="13"/>
    <x v="13"/>
    <x v="4"/>
    <s v="Prestación de Servicios Públicos"/>
    <x v="11"/>
    <x v="294"/>
    <x v="253"/>
    <x v="420"/>
    <n v="2"/>
    <s v="Desarrollo Social"/>
    <n v="0"/>
    <s v="Educación"/>
    <n v="4"/>
    <x v="32"/>
    <x v="11"/>
    <x v="95"/>
    <n v="1"/>
    <s v="Gasto corriente"/>
    <x v="0"/>
    <x v="1"/>
    <x v="0"/>
    <x v="1"/>
    <x v="0"/>
    <x v="0"/>
    <x v="0"/>
    <m/>
    <x v="0"/>
    <x v="0"/>
    <m/>
    <n v="72356655"/>
    <n v="0"/>
    <n v="0"/>
    <n v="72356655"/>
    <n v="78842587"/>
    <m/>
    <x v="1"/>
    <n v="78842587"/>
  </r>
  <r>
    <x v="1"/>
    <x v="13"/>
    <x v="13"/>
    <x v="4"/>
    <s v="Prestación de Servicios Públicos"/>
    <x v="11"/>
    <x v="294"/>
    <x v="253"/>
    <x v="420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m/>
    <x v="0"/>
    <x v="0"/>
    <m/>
    <n v="1479731094"/>
    <n v="0"/>
    <n v="-22109123"/>
    <n v="1457621971"/>
    <n v="1567467872"/>
    <m/>
    <x v="1"/>
    <n v="1567467872"/>
  </r>
  <r>
    <x v="1"/>
    <x v="13"/>
    <x v="13"/>
    <x v="4"/>
    <s v="Prestación de Servicios Públicos"/>
    <x v="11"/>
    <x v="294"/>
    <x v="253"/>
    <x v="420"/>
    <n v="2"/>
    <s v="Desarrollo Social"/>
    <n v="0"/>
    <s v="Educación"/>
    <n v="4"/>
    <x v="32"/>
    <x v="11"/>
    <x v="95"/>
    <n v="2"/>
    <s v="Gasto de capital"/>
    <x v="0"/>
    <x v="0"/>
    <x v="0"/>
    <x v="1"/>
    <x v="0"/>
    <x v="0"/>
    <x v="0"/>
    <m/>
    <x v="0"/>
    <x v="0"/>
    <m/>
    <n v="4443236"/>
    <n v="96000000"/>
    <n v="-66388"/>
    <n v="100376848"/>
    <n v="124443236"/>
    <m/>
    <x v="1"/>
    <n v="124443236"/>
  </r>
  <r>
    <x v="1"/>
    <x v="13"/>
    <x v="13"/>
    <x v="4"/>
    <s v="Prestación de Servicios Públicos"/>
    <x v="11"/>
    <x v="294"/>
    <x v="31"/>
    <x v="428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0"/>
    <n v="1"/>
    <x v="1"/>
    <x v="0"/>
    <m/>
    <m/>
    <m/>
    <m/>
    <m/>
    <n v="216332607"/>
    <m/>
    <x v="1"/>
    <n v="216332607"/>
  </r>
  <r>
    <x v="1"/>
    <x v="13"/>
    <x v="13"/>
    <x v="4"/>
    <s v="Prestación de Servicios Públicos"/>
    <x v="11"/>
    <x v="294"/>
    <x v="31"/>
    <x v="428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m/>
    <m/>
    <m/>
    <m/>
    <n v="6344442298"/>
    <m/>
    <x v="1"/>
    <n v="6344442298"/>
  </r>
  <r>
    <x v="1"/>
    <x v="13"/>
    <x v="13"/>
    <x v="4"/>
    <s v="Prestación de Servicios Públicos"/>
    <x v="11"/>
    <x v="294"/>
    <x v="31"/>
    <x v="428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1"/>
    <x v="0"/>
    <m/>
    <m/>
    <m/>
    <m/>
    <m/>
    <n v="297528366"/>
    <m/>
    <x v="1"/>
    <n v="297528366"/>
  </r>
  <r>
    <x v="1"/>
    <x v="13"/>
    <x v="13"/>
    <x v="4"/>
    <s v="Prestación de Servicios Públicos"/>
    <x v="11"/>
    <x v="294"/>
    <x v="31"/>
    <x v="428"/>
    <n v="2"/>
    <s v="Desarrollo Social"/>
    <n v="0"/>
    <s v="Educación"/>
    <n v="4"/>
    <x v="32"/>
    <x v="11"/>
    <x v="95"/>
    <n v="1"/>
    <s v="Gasto corriente"/>
    <x v="0"/>
    <x v="1"/>
    <x v="0"/>
    <x v="0"/>
    <x v="0"/>
    <x v="0"/>
    <x v="0"/>
    <n v="1"/>
    <x v="0"/>
    <x v="0"/>
    <m/>
    <m/>
    <m/>
    <m/>
    <m/>
    <n v="38369755"/>
    <m/>
    <x v="1"/>
    <n v="38369755"/>
  </r>
  <r>
    <x v="1"/>
    <x v="13"/>
    <x v="13"/>
    <x v="4"/>
    <s v="Prestación de Servicios Públicos"/>
    <x v="11"/>
    <x v="294"/>
    <x v="31"/>
    <x v="428"/>
    <n v="2"/>
    <s v="Desarrollo Social"/>
    <n v="0"/>
    <s v="Educación"/>
    <n v="4"/>
    <x v="32"/>
    <x v="11"/>
    <x v="95"/>
    <n v="1"/>
    <s v="Gasto corriente"/>
    <x v="0"/>
    <x v="0"/>
    <x v="0"/>
    <x v="0"/>
    <x v="0"/>
    <x v="0"/>
    <x v="0"/>
    <n v="1"/>
    <x v="0"/>
    <x v="0"/>
    <m/>
    <m/>
    <m/>
    <m/>
    <m/>
    <n v="337356510"/>
    <m/>
    <x v="1"/>
    <n v="337356510"/>
  </r>
  <r>
    <x v="1"/>
    <x v="13"/>
    <x v="13"/>
    <x v="4"/>
    <s v="Prestación de Servicios Públicos"/>
    <x v="11"/>
    <x v="294"/>
    <x v="40"/>
    <x v="435"/>
    <n v="2"/>
    <s v="Desarrollo Social"/>
    <n v="0"/>
    <s v="Educación"/>
    <n v="6"/>
    <x v="49"/>
    <x v="4"/>
    <x v="94"/>
    <n v="1"/>
    <s v="Gasto corriente"/>
    <x v="0"/>
    <x v="1"/>
    <x v="0"/>
    <x v="0"/>
    <x v="0"/>
    <x v="0"/>
    <x v="0"/>
    <m/>
    <x v="0"/>
    <x v="0"/>
    <m/>
    <n v="4915871"/>
    <n v="0"/>
    <n v="0"/>
    <n v="4915871"/>
    <n v="4899302"/>
    <m/>
    <x v="1"/>
    <n v="4899302"/>
  </r>
  <r>
    <x v="1"/>
    <x v="13"/>
    <x v="13"/>
    <x v="4"/>
    <s v="Prestación de Servicios Públicos"/>
    <x v="11"/>
    <x v="294"/>
    <x v="40"/>
    <x v="435"/>
    <n v="2"/>
    <s v="Desarrollo Social"/>
    <n v="0"/>
    <s v="Educación"/>
    <n v="6"/>
    <x v="49"/>
    <x v="4"/>
    <x v="94"/>
    <n v="1"/>
    <s v="Gasto corriente"/>
    <x v="0"/>
    <x v="0"/>
    <x v="0"/>
    <x v="0"/>
    <x v="0"/>
    <x v="0"/>
    <x v="0"/>
    <m/>
    <x v="0"/>
    <x v="0"/>
    <m/>
    <n v="77460431"/>
    <n v="0"/>
    <n v="-1157363"/>
    <n v="76303068"/>
    <n v="75215231"/>
    <m/>
    <x v="1"/>
    <n v="75215231"/>
  </r>
  <r>
    <x v="1"/>
    <x v="13"/>
    <x v="13"/>
    <x v="4"/>
    <s v="Prestación de Servicios Públicos"/>
    <x v="11"/>
    <x v="294"/>
    <x v="260"/>
    <x v="436"/>
    <n v="2"/>
    <s v="Desarrollo Social"/>
    <n v="0"/>
    <s v="Educación"/>
    <n v="4"/>
    <x v="32"/>
    <x v="11"/>
    <x v="95"/>
    <n v="1"/>
    <s v="Gasto corriente"/>
    <x v="0"/>
    <x v="1"/>
    <x v="0"/>
    <x v="1"/>
    <x v="0"/>
    <x v="0"/>
    <x v="0"/>
    <n v="1"/>
    <x v="0"/>
    <x v="0"/>
    <m/>
    <n v="6275233"/>
    <n v="0"/>
    <n v="0"/>
    <n v="6275233"/>
    <n v="8000380"/>
    <m/>
    <x v="1"/>
    <n v="8000380"/>
  </r>
  <r>
    <x v="1"/>
    <x v="13"/>
    <x v="13"/>
    <x v="4"/>
    <s v="Prestación de Servicios Públicos"/>
    <x v="11"/>
    <x v="294"/>
    <x v="260"/>
    <x v="436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0"/>
    <x v="0"/>
    <m/>
    <n v="138011470"/>
    <n v="0"/>
    <n v="-2062070"/>
    <n v="135949400"/>
    <n v="134569310"/>
    <m/>
    <x v="1"/>
    <n v="134569310"/>
  </r>
  <r>
    <x v="1"/>
    <x v="13"/>
    <x v="13"/>
    <x v="4"/>
    <s v="Prestación de Servicios Públicos"/>
    <x v="11"/>
    <x v="294"/>
    <x v="255"/>
    <x v="422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1"/>
    <x v="0"/>
    <m/>
    <n v="2835958"/>
    <n v="0"/>
    <n v="-42373"/>
    <n v="2793585"/>
    <n v="2651389"/>
    <m/>
    <x v="1"/>
    <n v="2651389"/>
  </r>
  <r>
    <x v="1"/>
    <x v="13"/>
    <x v="13"/>
    <x v="4"/>
    <s v="Prestación de Servicios Públicos"/>
    <x v="11"/>
    <x v="294"/>
    <x v="255"/>
    <x v="422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m/>
    <x v="1"/>
    <x v="0"/>
    <m/>
    <n v="4008820"/>
    <n v="0"/>
    <n v="-59898"/>
    <n v="3948922"/>
    <n v="4008820"/>
    <m/>
    <x v="1"/>
    <n v="4008820"/>
  </r>
  <r>
    <x v="1"/>
    <x v="13"/>
    <x v="13"/>
    <x v="4"/>
    <s v="Prestación de Servicios Públicos"/>
    <x v="11"/>
    <x v="294"/>
    <x v="251"/>
    <x v="414"/>
    <n v="2"/>
    <s v="Desarrollo Social"/>
    <n v="0"/>
    <s v="Educación"/>
    <n v="3"/>
    <x v="29"/>
    <x v="4"/>
    <x v="94"/>
    <n v="1"/>
    <s v="Gasto corriente"/>
    <x v="0"/>
    <x v="1"/>
    <x v="0"/>
    <x v="1"/>
    <x v="0"/>
    <x v="0"/>
    <x v="0"/>
    <n v="1"/>
    <x v="1"/>
    <x v="0"/>
    <m/>
    <n v="352422"/>
    <n v="0"/>
    <n v="0"/>
    <n v="352422"/>
    <n v="813315"/>
    <m/>
    <x v="1"/>
    <n v="813315"/>
  </r>
  <r>
    <x v="1"/>
    <x v="13"/>
    <x v="13"/>
    <x v="4"/>
    <s v="Prestación de Servicios Públicos"/>
    <x v="11"/>
    <x v="294"/>
    <x v="251"/>
    <x v="414"/>
    <n v="2"/>
    <s v="Desarrollo Social"/>
    <n v="0"/>
    <s v="Educación"/>
    <n v="3"/>
    <x v="29"/>
    <x v="4"/>
    <x v="94"/>
    <n v="1"/>
    <s v="Gasto corriente"/>
    <x v="0"/>
    <x v="0"/>
    <x v="0"/>
    <x v="1"/>
    <x v="0"/>
    <x v="0"/>
    <x v="0"/>
    <n v="1"/>
    <x v="1"/>
    <x v="0"/>
    <m/>
    <n v="7123935"/>
    <n v="0"/>
    <n v="-106440"/>
    <n v="7017495"/>
    <n v="6978089"/>
    <m/>
    <x v="1"/>
    <n v="6978089"/>
  </r>
  <r>
    <x v="1"/>
    <x v="13"/>
    <x v="13"/>
    <x v="4"/>
    <s v="Prestación de Servicios Públicos"/>
    <x v="11"/>
    <x v="294"/>
    <x v="251"/>
    <x v="414"/>
    <n v="2"/>
    <s v="Desarrollo Social"/>
    <n v="0"/>
    <s v="Educación"/>
    <n v="4"/>
    <x v="32"/>
    <x v="11"/>
    <x v="95"/>
    <n v="1"/>
    <s v="Gasto corriente"/>
    <x v="0"/>
    <x v="1"/>
    <x v="0"/>
    <x v="1"/>
    <x v="0"/>
    <x v="0"/>
    <x v="0"/>
    <n v="1"/>
    <x v="0"/>
    <x v="0"/>
    <m/>
    <n v="734717"/>
    <n v="0"/>
    <n v="0"/>
    <n v="734717"/>
    <n v="1153185"/>
    <m/>
    <x v="1"/>
    <n v="1153185"/>
  </r>
  <r>
    <x v="1"/>
    <x v="13"/>
    <x v="13"/>
    <x v="4"/>
    <s v="Prestación de Servicios Públicos"/>
    <x v="11"/>
    <x v="294"/>
    <x v="251"/>
    <x v="414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0"/>
    <x v="0"/>
    <m/>
    <n v="17692392"/>
    <n v="0"/>
    <n v="-264348"/>
    <n v="17428044"/>
    <n v="17310606"/>
    <m/>
    <x v="61"/>
    <n v="20310606"/>
  </r>
  <r>
    <x v="1"/>
    <x v="13"/>
    <x v="13"/>
    <x v="4"/>
    <s v="Prestación de Servicios Públicos"/>
    <x v="11"/>
    <x v="294"/>
    <x v="261"/>
    <x v="437"/>
    <n v="2"/>
    <s v="Desarrollo Social"/>
    <n v="0"/>
    <s v="Educación"/>
    <n v="3"/>
    <x v="29"/>
    <x v="4"/>
    <x v="94"/>
    <n v="1"/>
    <s v="Gasto corriente"/>
    <x v="0"/>
    <x v="1"/>
    <x v="0"/>
    <x v="0"/>
    <x v="1"/>
    <x v="0"/>
    <x v="0"/>
    <n v="1"/>
    <x v="1"/>
    <x v="0"/>
    <m/>
    <n v="2568816"/>
    <n v="0"/>
    <n v="0"/>
    <n v="2568816"/>
    <n v="6185957"/>
    <m/>
    <x v="1"/>
    <n v="6185957"/>
  </r>
  <r>
    <x v="1"/>
    <x v="13"/>
    <x v="13"/>
    <x v="4"/>
    <s v="Prestación de Servicios Públicos"/>
    <x v="11"/>
    <x v="294"/>
    <x v="261"/>
    <x v="437"/>
    <n v="2"/>
    <s v="Desarrollo Social"/>
    <n v="0"/>
    <s v="Educación"/>
    <n v="3"/>
    <x v="29"/>
    <x v="4"/>
    <x v="94"/>
    <n v="1"/>
    <s v="Gasto corriente"/>
    <x v="0"/>
    <x v="0"/>
    <x v="0"/>
    <x v="0"/>
    <x v="1"/>
    <x v="0"/>
    <x v="0"/>
    <n v="1"/>
    <x v="1"/>
    <x v="0"/>
    <m/>
    <n v="492690257"/>
    <n v="10000000"/>
    <n v="-7361437"/>
    <n v="495328820"/>
    <n v="470794493"/>
    <m/>
    <x v="22"/>
    <n v="550794493"/>
  </r>
  <r>
    <x v="1"/>
    <x v="13"/>
    <x v="13"/>
    <x v="4"/>
    <s v="Prestación de Servicios Públicos"/>
    <x v="11"/>
    <x v="294"/>
    <x v="261"/>
    <x v="437"/>
    <n v="2"/>
    <s v="Desarrollo Social"/>
    <n v="0"/>
    <s v="Educación"/>
    <n v="3"/>
    <x v="29"/>
    <x v="4"/>
    <x v="94"/>
    <n v="2"/>
    <s v="Gasto de capital"/>
    <x v="0"/>
    <x v="0"/>
    <x v="0"/>
    <x v="0"/>
    <x v="1"/>
    <x v="0"/>
    <x v="0"/>
    <n v="1"/>
    <x v="1"/>
    <x v="0"/>
    <m/>
    <n v="18340000"/>
    <n v="0"/>
    <n v="-274023"/>
    <n v="18065977"/>
    <n v="22140000"/>
    <m/>
    <x v="1"/>
    <n v="22140000"/>
  </r>
  <r>
    <x v="1"/>
    <x v="13"/>
    <x v="13"/>
    <x v="4"/>
    <s v="Prestación de Servicios Públicos"/>
    <x v="11"/>
    <x v="294"/>
    <x v="261"/>
    <x v="437"/>
    <n v="2"/>
    <s v="Desarrollo Social"/>
    <n v="0"/>
    <s v="Educación"/>
    <n v="4"/>
    <x v="32"/>
    <x v="11"/>
    <x v="95"/>
    <n v="1"/>
    <s v="Gasto corriente"/>
    <x v="0"/>
    <x v="1"/>
    <x v="0"/>
    <x v="1"/>
    <x v="1"/>
    <x v="0"/>
    <x v="0"/>
    <n v="1"/>
    <x v="0"/>
    <x v="0"/>
    <m/>
    <n v="867331"/>
    <n v="0"/>
    <n v="0"/>
    <n v="867331"/>
    <m/>
    <m/>
    <x v="1"/>
    <n v="0"/>
  </r>
  <r>
    <x v="1"/>
    <x v="13"/>
    <x v="13"/>
    <x v="4"/>
    <s v="Prestación de Servicios Públicos"/>
    <x v="11"/>
    <x v="294"/>
    <x v="261"/>
    <x v="437"/>
    <n v="2"/>
    <s v="Desarrollo Social"/>
    <n v="0"/>
    <s v="Educación"/>
    <n v="4"/>
    <x v="32"/>
    <x v="11"/>
    <x v="95"/>
    <n v="1"/>
    <s v="Gasto corriente"/>
    <x v="0"/>
    <x v="0"/>
    <x v="0"/>
    <x v="1"/>
    <x v="1"/>
    <x v="0"/>
    <x v="0"/>
    <n v="1"/>
    <x v="0"/>
    <x v="0"/>
    <m/>
    <n v="29332631"/>
    <n v="0"/>
    <n v="-438268"/>
    <n v="28894363"/>
    <n v="41451070"/>
    <m/>
    <x v="1"/>
    <n v="41451070"/>
  </r>
  <r>
    <x v="1"/>
    <x v="13"/>
    <x v="13"/>
    <x v="4"/>
    <s v="Prestación de Servicios Públicos"/>
    <x v="12"/>
    <x v="295"/>
    <x v="259"/>
    <x v="434"/>
    <n v="2"/>
    <s v="Desarrollo Social"/>
    <n v="0"/>
    <s v="Educación"/>
    <n v="6"/>
    <x v="49"/>
    <x v="9"/>
    <x v="96"/>
    <n v="1"/>
    <s v="Gasto corriente"/>
    <x v="0"/>
    <x v="1"/>
    <x v="1"/>
    <x v="0"/>
    <x v="0"/>
    <x v="0"/>
    <x v="0"/>
    <n v="1"/>
    <x v="0"/>
    <x v="0"/>
    <m/>
    <n v="12510280"/>
    <n v="0"/>
    <n v="0"/>
    <n v="12510280"/>
    <n v="11342551"/>
    <m/>
    <x v="1"/>
    <n v="11342551"/>
  </r>
  <r>
    <x v="1"/>
    <x v="13"/>
    <x v="13"/>
    <x v="4"/>
    <s v="Prestación de Servicios Públicos"/>
    <x v="12"/>
    <x v="295"/>
    <x v="259"/>
    <x v="434"/>
    <n v="2"/>
    <s v="Desarrollo Social"/>
    <n v="0"/>
    <s v="Educación"/>
    <n v="6"/>
    <x v="49"/>
    <x v="9"/>
    <x v="96"/>
    <n v="1"/>
    <s v="Gasto corriente"/>
    <x v="0"/>
    <x v="0"/>
    <x v="1"/>
    <x v="0"/>
    <x v="0"/>
    <x v="0"/>
    <x v="0"/>
    <n v="1"/>
    <x v="0"/>
    <x v="0"/>
    <m/>
    <n v="207359065"/>
    <n v="3758533"/>
    <n v="-3098216"/>
    <n v="208019382"/>
    <n v="192423195"/>
    <m/>
    <x v="1"/>
    <n v="192423195"/>
  </r>
  <r>
    <x v="1"/>
    <x v="13"/>
    <x v="13"/>
    <x v="4"/>
    <s v="Prestación de Servicios Públicos"/>
    <x v="12"/>
    <x v="295"/>
    <x v="253"/>
    <x v="420"/>
    <n v="2"/>
    <s v="Desarrollo Social"/>
    <n v="0"/>
    <s v="Educación"/>
    <n v="6"/>
    <x v="49"/>
    <x v="9"/>
    <x v="96"/>
    <n v="1"/>
    <s v="Gasto corriente"/>
    <x v="0"/>
    <x v="1"/>
    <x v="1"/>
    <x v="0"/>
    <x v="0"/>
    <x v="0"/>
    <x v="0"/>
    <m/>
    <x v="0"/>
    <x v="0"/>
    <m/>
    <n v="10758541"/>
    <n v="0"/>
    <n v="0"/>
    <n v="10758541"/>
    <n v="23277151"/>
    <m/>
    <x v="1"/>
    <n v="23277151"/>
  </r>
  <r>
    <x v="1"/>
    <x v="13"/>
    <x v="13"/>
    <x v="4"/>
    <s v="Prestación de Servicios Públicos"/>
    <x v="12"/>
    <x v="295"/>
    <x v="253"/>
    <x v="420"/>
    <n v="2"/>
    <s v="Desarrollo Social"/>
    <n v="0"/>
    <s v="Educación"/>
    <n v="6"/>
    <x v="49"/>
    <x v="9"/>
    <x v="96"/>
    <n v="1"/>
    <s v="Gasto corriente"/>
    <x v="0"/>
    <x v="0"/>
    <x v="1"/>
    <x v="0"/>
    <x v="0"/>
    <x v="0"/>
    <x v="0"/>
    <m/>
    <x v="0"/>
    <x v="0"/>
    <m/>
    <n v="222111914"/>
    <n v="249000000"/>
    <n v="-3318643"/>
    <n v="467793271"/>
    <n v="668988864"/>
    <m/>
    <x v="1"/>
    <n v="668988864"/>
  </r>
  <r>
    <x v="1"/>
    <x v="13"/>
    <x v="13"/>
    <x v="4"/>
    <s v="Prestación de Servicios Públicos"/>
    <x v="12"/>
    <x v="295"/>
    <x v="253"/>
    <x v="420"/>
    <n v="2"/>
    <s v="Desarrollo Social"/>
    <n v="0"/>
    <s v="Educación"/>
    <n v="6"/>
    <x v="49"/>
    <x v="9"/>
    <x v="96"/>
    <n v="2"/>
    <s v="Gasto de capital"/>
    <x v="0"/>
    <x v="0"/>
    <x v="1"/>
    <x v="0"/>
    <x v="0"/>
    <x v="0"/>
    <x v="0"/>
    <m/>
    <x v="0"/>
    <x v="0"/>
    <m/>
    <n v="13057423"/>
    <n v="40000000"/>
    <n v="-195096"/>
    <n v="52862327"/>
    <n v="63057423"/>
    <m/>
    <x v="1"/>
    <n v="63057423"/>
  </r>
  <r>
    <x v="1"/>
    <x v="13"/>
    <x v="13"/>
    <x v="4"/>
    <s v="Prestación de Servicios Públicos"/>
    <x v="12"/>
    <x v="295"/>
    <x v="40"/>
    <x v="435"/>
    <n v="2"/>
    <s v="Desarrollo Social"/>
    <n v="0"/>
    <s v="Educación"/>
    <n v="6"/>
    <x v="49"/>
    <x v="9"/>
    <x v="96"/>
    <n v="1"/>
    <s v="Gasto corriente"/>
    <x v="0"/>
    <x v="1"/>
    <x v="1"/>
    <x v="0"/>
    <x v="0"/>
    <x v="0"/>
    <x v="0"/>
    <m/>
    <x v="0"/>
    <x v="0"/>
    <m/>
    <n v="25799602"/>
    <n v="0"/>
    <n v="0"/>
    <n v="25799602"/>
    <n v="27530320"/>
    <m/>
    <x v="1"/>
    <n v="27530320"/>
  </r>
  <r>
    <x v="1"/>
    <x v="13"/>
    <x v="13"/>
    <x v="4"/>
    <s v="Prestación de Servicios Públicos"/>
    <x v="12"/>
    <x v="295"/>
    <x v="40"/>
    <x v="435"/>
    <n v="2"/>
    <s v="Desarrollo Social"/>
    <n v="0"/>
    <s v="Educación"/>
    <n v="6"/>
    <x v="49"/>
    <x v="9"/>
    <x v="96"/>
    <n v="1"/>
    <s v="Gasto corriente"/>
    <x v="0"/>
    <x v="0"/>
    <x v="1"/>
    <x v="0"/>
    <x v="0"/>
    <x v="1"/>
    <x v="0"/>
    <m/>
    <x v="0"/>
    <x v="0"/>
    <m/>
    <n v="459157201"/>
    <n v="100000000"/>
    <n v="-6860413"/>
    <n v="552296788"/>
    <n v="595611719"/>
    <m/>
    <x v="62"/>
    <n v="741696804"/>
  </r>
  <r>
    <x v="1"/>
    <x v="13"/>
    <x v="13"/>
    <x v="4"/>
    <s v="Prestación de Servicios Públicos"/>
    <x v="12"/>
    <x v="295"/>
    <x v="92"/>
    <x v="438"/>
    <n v="2"/>
    <s v="Desarrollo Social"/>
    <n v="0"/>
    <s v="Educación"/>
    <n v="6"/>
    <x v="49"/>
    <x v="9"/>
    <x v="96"/>
    <n v="1"/>
    <s v="Gasto corriente"/>
    <x v="0"/>
    <x v="0"/>
    <x v="1"/>
    <x v="0"/>
    <x v="0"/>
    <x v="0"/>
    <x v="0"/>
    <m/>
    <x v="0"/>
    <x v="0"/>
    <m/>
    <n v="845423801"/>
    <n v="507800000"/>
    <n v="-12631740"/>
    <n v="1340592061"/>
    <n v="843622883"/>
    <m/>
    <x v="63"/>
    <n v="1145181442"/>
  </r>
  <r>
    <x v="1"/>
    <x v="13"/>
    <x v="13"/>
    <x v="4"/>
    <s v="Prestación de Servicios Públicos"/>
    <x v="12"/>
    <x v="295"/>
    <x v="92"/>
    <x v="438"/>
    <n v="2"/>
    <s v="Desarrollo Social"/>
    <n v="0"/>
    <s v="Educación"/>
    <n v="6"/>
    <x v="49"/>
    <x v="9"/>
    <x v="96"/>
    <n v="2"/>
    <s v="Gasto de capital"/>
    <x v="0"/>
    <x v="0"/>
    <x v="1"/>
    <x v="0"/>
    <x v="0"/>
    <x v="0"/>
    <x v="0"/>
    <m/>
    <x v="0"/>
    <x v="0"/>
    <m/>
    <n v="76211013"/>
    <n v="0"/>
    <n v="-1138693"/>
    <n v="75072320"/>
    <n v="80911105"/>
    <m/>
    <x v="1"/>
    <n v="80911105"/>
  </r>
  <r>
    <x v="1"/>
    <x v="13"/>
    <x v="13"/>
    <x v="4"/>
    <s v="Prestación de Servicios Públicos"/>
    <x v="12"/>
    <x v="295"/>
    <x v="49"/>
    <x v="439"/>
    <n v="2"/>
    <s v="Desarrollo Social"/>
    <n v="0"/>
    <s v="Educación"/>
    <n v="6"/>
    <x v="49"/>
    <x v="9"/>
    <x v="96"/>
    <n v="1"/>
    <s v="Gasto corriente"/>
    <x v="0"/>
    <x v="0"/>
    <x v="1"/>
    <x v="0"/>
    <x v="0"/>
    <x v="0"/>
    <x v="0"/>
    <m/>
    <x v="0"/>
    <x v="0"/>
    <m/>
    <n v="1686996311"/>
    <n v="89800000"/>
    <n v="-25205938"/>
    <n v="1751590373"/>
    <n v="1292729262"/>
    <m/>
    <x v="60"/>
    <n v="1752729262"/>
  </r>
  <r>
    <x v="1"/>
    <x v="13"/>
    <x v="13"/>
    <x v="4"/>
    <s v="Prestación de Servicios Públicos"/>
    <x v="12"/>
    <x v="295"/>
    <x v="49"/>
    <x v="439"/>
    <n v="2"/>
    <s v="Desarrollo Social"/>
    <n v="0"/>
    <s v="Educación"/>
    <n v="6"/>
    <x v="49"/>
    <x v="9"/>
    <x v="96"/>
    <n v="2"/>
    <s v="Gasto de capital"/>
    <x v="0"/>
    <x v="0"/>
    <x v="1"/>
    <x v="0"/>
    <x v="0"/>
    <x v="1"/>
    <x v="0"/>
    <m/>
    <x v="0"/>
    <x v="0"/>
    <m/>
    <n v="2041767"/>
    <n v="50000000"/>
    <n v="-30506"/>
    <n v="52011261"/>
    <n v="43745479"/>
    <m/>
    <x v="1"/>
    <n v="43745479"/>
  </r>
  <r>
    <x v="1"/>
    <x v="13"/>
    <x v="13"/>
    <x v="4"/>
    <s v="Prestación de Servicios Públicos"/>
    <x v="12"/>
    <x v="295"/>
    <x v="262"/>
    <x v="440"/>
    <n v="2"/>
    <s v="Desarrollo Social"/>
    <n v="0"/>
    <s v="Educación"/>
    <n v="6"/>
    <x v="49"/>
    <x v="9"/>
    <x v="96"/>
    <n v="1"/>
    <s v="Gasto corriente"/>
    <x v="0"/>
    <x v="0"/>
    <x v="1"/>
    <x v="0"/>
    <x v="0"/>
    <x v="0"/>
    <x v="0"/>
    <m/>
    <x v="0"/>
    <x v="0"/>
    <m/>
    <n v="59030517"/>
    <n v="20100000"/>
    <n v="-881993"/>
    <n v="78248524"/>
    <n v="79857395"/>
    <m/>
    <x v="64"/>
    <n v="84069107"/>
  </r>
  <r>
    <x v="1"/>
    <x v="13"/>
    <x v="13"/>
    <x v="4"/>
    <s v="Prestación de Servicios Públicos"/>
    <x v="12"/>
    <x v="295"/>
    <x v="262"/>
    <x v="440"/>
    <n v="2"/>
    <s v="Desarrollo Social"/>
    <n v="0"/>
    <s v="Educación"/>
    <n v="6"/>
    <x v="49"/>
    <x v="9"/>
    <x v="96"/>
    <n v="2"/>
    <s v="Gasto de capital"/>
    <x v="0"/>
    <x v="0"/>
    <x v="1"/>
    <x v="0"/>
    <x v="0"/>
    <x v="0"/>
    <x v="0"/>
    <m/>
    <x v="0"/>
    <x v="0"/>
    <m/>
    <n v="550000"/>
    <n v="0"/>
    <n v="-8218"/>
    <n v="541782"/>
    <m/>
    <m/>
    <x v="1"/>
    <n v="0"/>
  </r>
  <r>
    <x v="1"/>
    <x v="13"/>
    <x v="13"/>
    <x v="4"/>
    <s v="Prestación de Servicios Públicos"/>
    <x v="13"/>
    <x v="296"/>
    <x v="40"/>
    <x v="435"/>
    <n v="2"/>
    <s v="Desarrollo Social"/>
    <n v="0"/>
    <s v="Educación"/>
    <n v="6"/>
    <x v="49"/>
    <x v="9"/>
    <x v="96"/>
    <n v="1"/>
    <s v="Gasto corriente"/>
    <x v="0"/>
    <x v="1"/>
    <x v="0"/>
    <x v="0"/>
    <x v="0"/>
    <x v="0"/>
    <x v="0"/>
    <m/>
    <x v="0"/>
    <x v="0"/>
    <m/>
    <n v="56247784"/>
    <n v="0"/>
    <n v="0"/>
    <n v="56247784"/>
    <n v="58941511"/>
    <m/>
    <x v="1"/>
    <n v="58941511"/>
  </r>
  <r>
    <x v="1"/>
    <x v="13"/>
    <x v="13"/>
    <x v="4"/>
    <s v="Prestación de Servicios Públicos"/>
    <x v="13"/>
    <x v="296"/>
    <x v="40"/>
    <x v="435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1197180737"/>
    <n v="261000000"/>
    <n v="-17887450"/>
    <n v="1440293287"/>
    <n v="1565821760"/>
    <m/>
    <x v="1"/>
    <n v="1565821760"/>
  </r>
  <r>
    <x v="1"/>
    <x v="13"/>
    <x v="13"/>
    <x v="4"/>
    <s v="Prestación de Servicios Públicos"/>
    <x v="13"/>
    <x v="296"/>
    <x v="40"/>
    <x v="435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129271280"/>
    <n v="0"/>
    <n v="-1931482"/>
    <n v="127339798"/>
    <n v="126497252"/>
    <m/>
    <x v="1"/>
    <n v="126497252"/>
  </r>
  <r>
    <x v="1"/>
    <x v="13"/>
    <x v="13"/>
    <x v="4"/>
    <s v="Prestación de Servicios Públicos"/>
    <x v="13"/>
    <x v="296"/>
    <x v="92"/>
    <x v="438"/>
    <n v="2"/>
    <s v="Desarrollo Social"/>
    <n v="0"/>
    <s v="Educación"/>
    <n v="6"/>
    <x v="49"/>
    <x v="9"/>
    <x v="96"/>
    <n v="1"/>
    <s v="Gasto corriente"/>
    <x v="0"/>
    <x v="1"/>
    <x v="0"/>
    <x v="0"/>
    <x v="0"/>
    <x v="0"/>
    <x v="0"/>
    <m/>
    <x v="0"/>
    <x v="0"/>
    <m/>
    <m/>
    <m/>
    <m/>
    <m/>
    <n v="10428736"/>
    <m/>
    <x v="1"/>
    <n v="10428736"/>
  </r>
  <r>
    <x v="1"/>
    <x v="13"/>
    <x v="13"/>
    <x v="4"/>
    <s v="Prestación de Servicios Públicos"/>
    <x v="13"/>
    <x v="296"/>
    <x v="92"/>
    <x v="438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m/>
    <m/>
    <m/>
    <m/>
    <n v="66118418"/>
    <m/>
    <x v="1"/>
    <n v="66118418"/>
  </r>
  <r>
    <x v="1"/>
    <x v="13"/>
    <x v="13"/>
    <x v="4"/>
    <s v="Prestación de Servicios Públicos"/>
    <x v="13"/>
    <x v="296"/>
    <x v="49"/>
    <x v="439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102082365"/>
    <n v="156000000"/>
    <n v="-1525244"/>
    <n v="256557121"/>
    <n v="160557121"/>
    <m/>
    <x v="1"/>
    <n v="160557121"/>
  </r>
  <r>
    <x v="1"/>
    <x v="13"/>
    <x v="13"/>
    <x v="4"/>
    <s v="Prestación de Servicios Públicos"/>
    <x v="14"/>
    <x v="297"/>
    <x v="263"/>
    <x v="441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m/>
    <x v="0"/>
    <x v="0"/>
    <m/>
    <n v="266021911"/>
    <n v="0"/>
    <n v="-3974716"/>
    <n v="262047195"/>
    <n v="260805890"/>
    <m/>
    <x v="1"/>
    <n v="260805890"/>
  </r>
  <r>
    <x v="1"/>
    <x v="13"/>
    <x v="13"/>
    <x v="4"/>
    <s v="Prestación de Servicios Públicos"/>
    <x v="14"/>
    <x v="297"/>
    <x v="264"/>
    <x v="442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422545814"/>
    <n v="0"/>
    <n v="-6313388"/>
    <n v="416232426"/>
    <n v="563759663"/>
    <m/>
    <x v="65"/>
    <n v="653759663"/>
  </r>
  <r>
    <x v="1"/>
    <x v="13"/>
    <x v="13"/>
    <x v="4"/>
    <s v="Prestación de Servicios Públicos"/>
    <x v="14"/>
    <x v="297"/>
    <x v="264"/>
    <x v="442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11029655"/>
    <n v="0"/>
    <n v="-164798"/>
    <n v="10864857"/>
    <n v="29117683"/>
    <m/>
    <x v="1"/>
    <n v="29117683"/>
  </r>
  <r>
    <x v="1"/>
    <x v="13"/>
    <x v="13"/>
    <x v="4"/>
    <s v="Prestación de Servicios Públicos"/>
    <x v="14"/>
    <x v="297"/>
    <x v="36"/>
    <x v="443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22970300"/>
    <n v="0"/>
    <n v="-343207"/>
    <n v="22627093"/>
    <n v="31336251"/>
    <m/>
    <x v="66"/>
    <n v="35079995"/>
  </r>
  <r>
    <x v="1"/>
    <x v="13"/>
    <x v="13"/>
    <x v="4"/>
    <s v="Prestación de Servicios Públicos"/>
    <x v="14"/>
    <x v="297"/>
    <x v="36"/>
    <x v="443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4651903"/>
    <n v="2600000"/>
    <n v="-69506"/>
    <n v="7182397"/>
    <n v="4000000"/>
    <m/>
    <x v="1"/>
    <n v="4000000"/>
  </r>
  <r>
    <x v="1"/>
    <x v="13"/>
    <x v="13"/>
    <x v="4"/>
    <s v="Prestación de Servicios Públicos"/>
    <x v="14"/>
    <x v="297"/>
    <x v="265"/>
    <x v="444"/>
    <n v="2"/>
    <s v="Desarrollo Social"/>
    <n v="0"/>
    <s v="Educación"/>
    <n v="6"/>
    <x v="49"/>
    <x v="9"/>
    <x v="96"/>
    <n v="1"/>
    <s v="Gasto corriente"/>
    <x v="0"/>
    <x v="1"/>
    <x v="0"/>
    <x v="0"/>
    <x v="0"/>
    <x v="0"/>
    <x v="0"/>
    <m/>
    <x v="0"/>
    <x v="0"/>
    <m/>
    <n v="5085451"/>
    <n v="0"/>
    <n v="0"/>
    <n v="5085451"/>
    <n v="5290664"/>
    <m/>
    <x v="1"/>
    <n v="5290664"/>
  </r>
  <r>
    <x v="1"/>
    <x v="13"/>
    <x v="13"/>
    <x v="4"/>
    <s v="Prestación de Servicios Públicos"/>
    <x v="14"/>
    <x v="297"/>
    <x v="265"/>
    <x v="444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121498028"/>
    <n v="0"/>
    <n v="-1815342"/>
    <n v="119682686"/>
    <n v="125603907"/>
    <m/>
    <x v="1"/>
    <n v="125603907"/>
  </r>
  <r>
    <x v="1"/>
    <x v="13"/>
    <x v="13"/>
    <x v="4"/>
    <s v="Prestación de Servicios Públicos"/>
    <x v="14"/>
    <x v="297"/>
    <x v="265"/>
    <x v="444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0"/>
    <n v="18800000"/>
    <n v="0"/>
    <n v="18800000"/>
    <n v="36300000"/>
    <m/>
    <x v="1"/>
    <n v="36300000"/>
  </r>
  <r>
    <x v="1"/>
    <x v="13"/>
    <x v="13"/>
    <x v="4"/>
    <s v="Prestación de Servicios Públicos"/>
    <x v="14"/>
    <x v="297"/>
    <x v="266"/>
    <x v="445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113689298"/>
    <n v="1000000"/>
    <n v="-1698666"/>
    <n v="112990632"/>
    <n v="118271004"/>
    <m/>
    <x v="67"/>
    <n v="128285519"/>
  </r>
  <r>
    <x v="1"/>
    <x v="13"/>
    <x v="13"/>
    <x v="4"/>
    <s v="Prestación de Servicios Públicos"/>
    <x v="14"/>
    <x v="297"/>
    <x v="266"/>
    <x v="445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56659803"/>
    <n v="27800000"/>
    <n v="-846572"/>
    <n v="83613231"/>
    <n v="83613231"/>
    <m/>
    <x v="1"/>
    <n v="83613231"/>
  </r>
  <r>
    <x v="1"/>
    <x v="13"/>
    <x v="13"/>
    <x v="4"/>
    <s v="Prestación de Servicios Públicos"/>
    <x v="15"/>
    <x v="298"/>
    <x v="54"/>
    <x v="413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n v="1"/>
    <x v="0"/>
    <x v="0"/>
    <m/>
    <n v="124724820"/>
    <n v="0"/>
    <n v="-1863551"/>
    <n v="122861269"/>
    <n v="127449640"/>
    <m/>
    <x v="1"/>
    <n v="127449640"/>
  </r>
  <r>
    <x v="1"/>
    <x v="13"/>
    <x v="13"/>
    <x v="4"/>
    <s v="Prestación de Servicios Públicos"/>
    <x v="16"/>
    <x v="299"/>
    <x v="267"/>
    <x v="446"/>
    <n v="2"/>
    <s v="Desarrollo Social"/>
    <n v="0"/>
    <s v="Educación"/>
    <n v="2"/>
    <x v="28"/>
    <x v="0"/>
    <x v="93"/>
    <n v="1"/>
    <s v="Gasto corriente"/>
    <x v="0"/>
    <x v="1"/>
    <x v="0"/>
    <x v="0"/>
    <x v="0"/>
    <x v="0"/>
    <x v="0"/>
    <m/>
    <x v="0"/>
    <x v="0"/>
    <m/>
    <n v="1627733"/>
    <n v="0"/>
    <n v="0"/>
    <n v="1627733"/>
    <n v="1792360"/>
    <m/>
    <x v="1"/>
    <n v="1792360"/>
  </r>
  <r>
    <x v="1"/>
    <x v="13"/>
    <x v="13"/>
    <x v="4"/>
    <s v="Prestación de Servicios Públicos"/>
    <x v="16"/>
    <x v="299"/>
    <x v="267"/>
    <x v="446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0"/>
    <x v="0"/>
    <m/>
    <n v="29229628"/>
    <n v="0"/>
    <n v="-436728"/>
    <n v="28792900"/>
    <n v="37993941"/>
    <m/>
    <x v="1"/>
    <n v="37993941"/>
  </r>
  <r>
    <x v="1"/>
    <x v="13"/>
    <x v="13"/>
    <x v="4"/>
    <s v="Prestación de Servicios Públicos"/>
    <x v="17"/>
    <x v="300"/>
    <x v="268"/>
    <x v="447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155676310"/>
    <n v="31900000"/>
    <n v="-2326007"/>
    <n v="185250303"/>
    <n v="190853060"/>
    <m/>
    <x v="1"/>
    <n v="190853060"/>
  </r>
  <r>
    <x v="1"/>
    <x v="13"/>
    <x v="13"/>
    <x v="4"/>
    <s v="Prestación de Servicios Públicos"/>
    <x v="17"/>
    <x v="300"/>
    <x v="268"/>
    <x v="447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4884047"/>
    <n v="0"/>
    <n v="-72973"/>
    <n v="4811074"/>
    <n v="4811074"/>
    <m/>
    <x v="1"/>
    <n v="4811074"/>
  </r>
  <r>
    <x v="1"/>
    <x v="13"/>
    <x v="13"/>
    <x v="4"/>
    <s v="Prestación de Servicios Públicos"/>
    <x v="17"/>
    <x v="300"/>
    <x v="269"/>
    <x v="448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12406450"/>
    <n v="0"/>
    <n v="-185371"/>
    <n v="12221079"/>
    <n v="35723023"/>
    <m/>
    <x v="68"/>
    <n v="37969269"/>
  </r>
  <r>
    <x v="1"/>
    <x v="13"/>
    <x v="13"/>
    <x v="4"/>
    <s v="Prestación de Servicios Públicos"/>
    <x v="17"/>
    <x v="300"/>
    <x v="269"/>
    <x v="448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1295219"/>
    <n v="7000000"/>
    <n v="-19352"/>
    <n v="8275867"/>
    <n v="10650494"/>
    <m/>
    <x v="1"/>
    <n v="10650494"/>
  </r>
  <r>
    <x v="1"/>
    <x v="13"/>
    <x v="13"/>
    <x v="4"/>
    <s v="Prestación de Servicios Públicos"/>
    <x v="18"/>
    <x v="301"/>
    <x v="66"/>
    <x v="449"/>
    <n v="2"/>
    <s v="Desarrollo Social"/>
    <n v="0"/>
    <s v="Educación"/>
    <n v="7"/>
    <x v="50"/>
    <x v="5"/>
    <x v="97"/>
    <n v="1"/>
    <s v="Gasto corriente"/>
    <x v="0"/>
    <x v="0"/>
    <x v="0"/>
    <x v="0"/>
    <x v="0"/>
    <x v="0"/>
    <x v="0"/>
    <m/>
    <x v="0"/>
    <x v="0"/>
    <m/>
    <n v="9920609"/>
    <n v="0"/>
    <n v="-148228"/>
    <n v="9772381"/>
    <n v="9510280"/>
    <m/>
    <x v="3"/>
    <n v="19510280"/>
  </r>
  <r>
    <x v="1"/>
    <x v="13"/>
    <x v="13"/>
    <x v="4"/>
    <s v="Prestación de Servicios Públicos"/>
    <x v="18"/>
    <x v="301"/>
    <x v="270"/>
    <x v="450"/>
    <n v="2"/>
    <s v="Desarrollo Social"/>
    <n v="0"/>
    <s v="Educación"/>
    <n v="7"/>
    <x v="50"/>
    <x v="5"/>
    <x v="97"/>
    <n v="1"/>
    <s v="Gasto corriente"/>
    <x v="0"/>
    <x v="1"/>
    <x v="0"/>
    <x v="0"/>
    <x v="0"/>
    <x v="0"/>
    <x v="0"/>
    <m/>
    <x v="0"/>
    <x v="0"/>
    <m/>
    <n v="8468802"/>
    <n v="0"/>
    <n v="0"/>
    <n v="8468802"/>
    <n v="8750115"/>
    <m/>
    <x v="1"/>
    <n v="8750115"/>
  </r>
  <r>
    <x v="1"/>
    <x v="13"/>
    <x v="13"/>
    <x v="4"/>
    <s v="Prestación de Servicios Públicos"/>
    <x v="18"/>
    <x v="301"/>
    <x v="270"/>
    <x v="450"/>
    <n v="2"/>
    <s v="Desarrollo Social"/>
    <n v="0"/>
    <s v="Educación"/>
    <n v="7"/>
    <x v="50"/>
    <x v="5"/>
    <x v="97"/>
    <n v="1"/>
    <s v="Gasto corriente"/>
    <x v="0"/>
    <x v="0"/>
    <x v="0"/>
    <x v="0"/>
    <x v="0"/>
    <x v="0"/>
    <x v="0"/>
    <m/>
    <x v="0"/>
    <x v="0"/>
    <m/>
    <n v="626877602"/>
    <n v="0"/>
    <n v="-9366379"/>
    <n v="617511223"/>
    <n v="668596240"/>
    <m/>
    <x v="1"/>
    <n v="668596240"/>
  </r>
  <r>
    <x v="1"/>
    <x v="13"/>
    <x v="13"/>
    <x v="4"/>
    <s v="Prestación de Servicios Públicos"/>
    <x v="23"/>
    <x v="302"/>
    <x v="72"/>
    <x v="426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1"/>
    <x v="0"/>
    <m/>
    <x v="0"/>
    <x v="0"/>
    <m/>
    <n v="3263801"/>
    <n v="0"/>
    <n v="-48766"/>
    <n v="3215035"/>
    <n v="3059815"/>
    <m/>
    <x v="1"/>
    <n v="3059815"/>
  </r>
  <r>
    <x v="1"/>
    <x v="13"/>
    <x v="13"/>
    <x v="4"/>
    <s v="Prestación de Servicios Públicos"/>
    <x v="23"/>
    <x v="302"/>
    <x v="271"/>
    <x v="451"/>
    <n v="2"/>
    <s v="Desarrollo Social"/>
    <n v="0"/>
    <s v="Educación"/>
    <n v="9"/>
    <x v="47"/>
    <x v="10"/>
    <x v="98"/>
    <n v="1"/>
    <s v="Gasto corriente"/>
    <x v="0"/>
    <x v="1"/>
    <x v="0"/>
    <x v="0"/>
    <x v="0"/>
    <x v="1"/>
    <x v="0"/>
    <m/>
    <x v="1"/>
    <x v="0"/>
    <m/>
    <n v="1820270"/>
    <n v="0"/>
    <n v="0"/>
    <n v="1820270"/>
    <n v="1770722"/>
    <m/>
    <x v="1"/>
    <n v="1770722"/>
  </r>
  <r>
    <x v="1"/>
    <x v="13"/>
    <x v="13"/>
    <x v="4"/>
    <s v="Prestación de Servicios Públicos"/>
    <x v="23"/>
    <x v="302"/>
    <x v="271"/>
    <x v="451"/>
    <n v="2"/>
    <s v="Desarrollo Social"/>
    <n v="0"/>
    <s v="Educación"/>
    <n v="9"/>
    <x v="47"/>
    <x v="10"/>
    <x v="98"/>
    <n v="1"/>
    <s v="Gasto corriente"/>
    <x v="0"/>
    <x v="0"/>
    <x v="0"/>
    <x v="0"/>
    <x v="0"/>
    <x v="1"/>
    <x v="0"/>
    <m/>
    <x v="1"/>
    <x v="0"/>
    <m/>
    <n v="139032344"/>
    <n v="51000000"/>
    <n v="-2077327"/>
    <n v="187955017"/>
    <n v="198680668"/>
    <m/>
    <x v="1"/>
    <n v="198680668"/>
  </r>
  <r>
    <x v="1"/>
    <x v="13"/>
    <x v="13"/>
    <x v="4"/>
    <s v="Prestación de Servicios Públicos"/>
    <x v="24"/>
    <x v="303"/>
    <x v="53"/>
    <x v="452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m/>
    <x v="0"/>
    <x v="0"/>
    <m/>
    <n v="3438814"/>
    <n v="0"/>
    <n v="-51380"/>
    <n v="3387434"/>
    <n v="2963635"/>
    <m/>
    <x v="1"/>
    <n v="2963635"/>
  </r>
  <r>
    <x v="1"/>
    <x v="13"/>
    <x v="13"/>
    <x v="4"/>
    <s v="Prestación de Servicios Públicos"/>
    <x v="24"/>
    <x v="303"/>
    <x v="105"/>
    <x v="423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m/>
    <x v="0"/>
    <x v="0"/>
    <m/>
    <n v="6302600"/>
    <n v="0"/>
    <n v="0"/>
    <n v="6302600"/>
    <n v="6554704"/>
    <m/>
    <x v="1"/>
    <n v="6554704"/>
  </r>
  <r>
    <x v="1"/>
    <x v="13"/>
    <x v="13"/>
    <x v="4"/>
    <s v="Prestación de Servicios Públicos"/>
    <x v="24"/>
    <x v="303"/>
    <x v="105"/>
    <x v="423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m/>
    <x v="0"/>
    <x v="0"/>
    <m/>
    <n v="154054912"/>
    <n v="0"/>
    <n v="-2301783"/>
    <n v="151753129"/>
    <n v="128764984"/>
    <m/>
    <x v="1"/>
    <n v="128764984"/>
  </r>
  <r>
    <x v="1"/>
    <x v="13"/>
    <x v="13"/>
    <x v="4"/>
    <s v="Prestación de Servicios Públicos"/>
    <x v="24"/>
    <x v="303"/>
    <x v="105"/>
    <x v="423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m/>
    <x v="0"/>
    <x v="0"/>
    <m/>
    <m/>
    <m/>
    <m/>
    <m/>
    <n v="28714342"/>
    <m/>
    <x v="1"/>
    <n v="28714342"/>
  </r>
  <r>
    <x v="1"/>
    <x v="13"/>
    <x v="13"/>
    <x v="4"/>
    <s v="Prestación de Servicios Públicos"/>
    <x v="24"/>
    <x v="303"/>
    <x v="74"/>
    <x v="424"/>
    <n v="3"/>
    <s v="Desarrollo Económico"/>
    <n v="7"/>
    <s v="Ciencia y Tecnología"/>
    <n v="2"/>
    <x v="42"/>
    <x v="14"/>
    <x v="89"/>
    <n v="1"/>
    <s v="Gasto corriente"/>
    <x v="0"/>
    <x v="0"/>
    <x v="0"/>
    <x v="1"/>
    <x v="0"/>
    <x v="0"/>
    <x v="0"/>
    <m/>
    <x v="0"/>
    <x v="0"/>
    <m/>
    <n v="8153277"/>
    <n v="0"/>
    <n v="-121820"/>
    <n v="8031457"/>
    <n v="8031457"/>
    <m/>
    <x v="1"/>
    <n v="8031457"/>
  </r>
  <r>
    <x v="1"/>
    <x v="13"/>
    <x v="13"/>
    <x v="4"/>
    <s v="Prestación de Servicios Públicos"/>
    <x v="24"/>
    <x v="303"/>
    <x v="72"/>
    <x v="426"/>
    <n v="2"/>
    <s v="Desarrollo Social"/>
    <n v="0"/>
    <s v="Educación"/>
    <n v="2"/>
    <x v="28"/>
    <x v="0"/>
    <x v="93"/>
    <n v="1"/>
    <s v="Gasto corriente"/>
    <x v="0"/>
    <x v="0"/>
    <x v="0"/>
    <x v="1"/>
    <x v="0"/>
    <x v="0"/>
    <x v="0"/>
    <m/>
    <x v="0"/>
    <x v="0"/>
    <m/>
    <n v="3263390"/>
    <n v="0"/>
    <n v="-48759"/>
    <n v="3214631"/>
    <n v="3103052"/>
    <m/>
    <x v="1"/>
    <n v="3103052"/>
  </r>
  <r>
    <x v="1"/>
    <x v="13"/>
    <x v="13"/>
    <x v="4"/>
    <s v="Prestación de Servicios Públicos"/>
    <x v="24"/>
    <x v="303"/>
    <x v="57"/>
    <x v="433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n v="1"/>
    <x v="0"/>
    <x v="0"/>
    <m/>
    <n v="1212610"/>
    <n v="0"/>
    <n v="0"/>
    <n v="1212610"/>
    <n v="4149276"/>
    <m/>
    <x v="1"/>
    <n v="4149276"/>
  </r>
  <r>
    <x v="1"/>
    <x v="13"/>
    <x v="13"/>
    <x v="4"/>
    <s v="Prestación de Servicios Públicos"/>
    <x v="24"/>
    <x v="303"/>
    <x v="57"/>
    <x v="433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n v="1"/>
    <x v="0"/>
    <x v="0"/>
    <m/>
    <n v="21533756"/>
    <n v="0"/>
    <n v="-321744"/>
    <n v="21212012"/>
    <n v="20601557"/>
    <m/>
    <x v="1"/>
    <n v="20601557"/>
  </r>
  <r>
    <x v="1"/>
    <x v="13"/>
    <x v="13"/>
    <x v="4"/>
    <s v="Prestación de Servicios Públicos"/>
    <x v="24"/>
    <x v="303"/>
    <x v="259"/>
    <x v="434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n v="1"/>
    <x v="0"/>
    <x v="0"/>
    <m/>
    <n v="43701876"/>
    <n v="0"/>
    <n v="0"/>
    <n v="43701876"/>
    <n v="38129399"/>
    <m/>
    <x v="1"/>
    <n v="38129399"/>
  </r>
  <r>
    <x v="1"/>
    <x v="13"/>
    <x v="13"/>
    <x v="4"/>
    <s v="Prestación de Servicios Públicos"/>
    <x v="24"/>
    <x v="303"/>
    <x v="259"/>
    <x v="434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n v="1"/>
    <x v="0"/>
    <x v="0"/>
    <m/>
    <n v="696636352"/>
    <n v="9583868"/>
    <n v="-10408661"/>
    <n v="695811559"/>
    <n v="634024678"/>
    <m/>
    <x v="1"/>
    <n v="634024678"/>
  </r>
  <r>
    <x v="1"/>
    <x v="13"/>
    <x v="13"/>
    <x v="4"/>
    <s v="Prestación de Servicios Públicos"/>
    <x v="24"/>
    <x v="303"/>
    <x v="259"/>
    <x v="434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n v="1"/>
    <x v="0"/>
    <x v="0"/>
    <m/>
    <m/>
    <n v="0"/>
    <n v="0"/>
    <m/>
    <n v="55054399"/>
    <m/>
    <x v="1"/>
    <n v="55054399"/>
  </r>
  <r>
    <x v="1"/>
    <x v="13"/>
    <x v="13"/>
    <x v="4"/>
    <s v="Prestación de Servicios Públicos"/>
    <x v="24"/>
    <x v="303"/>
    <x v="253"/>
    <x v="420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m/>
    <x v="0"/>
    <x v="0"/>
    <m/>
    <n v="131940244"/>
    <n v="0"/>
    <n v="0"/>
    <n v="131940244"/>
    <n v="181230428"/>
    <m/>
    <x v="1"/>
    <n v="181230428"/>
  </r>
  <r>
    <x v="1"/>
    <x v="13"/>
    <x v="13"/>
    <x v="4"/>
    <s v="Prestación de Servicios Públicos"/>
    <x v="24"/>
    <x v="303"/>
    <x v="253"/>
    <x v="420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m/>
    <x v="0"/>
    <x v="0"/>
    <m/>
    <n v="2869250910"/>
    <n v="0"/>
    <n v="-42870368"/>
    <n v="2826380542"/>
    <n v="3325208373"/>
    <m/>
    <x v="1"/>
    <n v="3325208373"/>
  </r>
  <r>
    <x v="1"/>
    <x v="13"/>
    <x v="13"/>
    <x v="4"/>
    <s v="Prestación de Servicios Públicos"/>
    <x v="24"/>
    <x v="303"/>
    <x v="253"/>
    <x v="420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m/>
    <x v="0"/>
    <x v="0"/>
    <m/>
    <n v="120042535"/>
    <n v="150000000"/>
    <n v="-1793593"/>
    <n v="268248942"/>
    <n v="440042535"/>
    <m/>
    <x v="1"/>
    <n v="440042535"/>
  </r>
  <r>
    <x v="1"/>
    <x v="13"/>
    <x v="13"/>
    <x v="4"/>
    <s v="Prestación de Servicios Públicos"/>
    <x v="24"/>
    <x v="303"/>
    <x v="31"/>
    <x v="428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n v="1"/>
    <x v="0"/>
    <x v="0"/>
    <m/>
    <n v="65101644"/>
    <n v="0"/>
    <n v="0"/>
    <n v="65101644"/>
    <n v="90403585"/>
    <m/>
    <x v="1"/>
    <n v="90403585"/>
  </r>
  <r>
    <x v="1"/>
    <x v="13"/>
    <x v="13"/>
    <x v="4"/>
    <s v="Prestación de Servicios Públicos"/>
    <x v="24"/>
    <x v="303"/>
    <x v="31"/>
    <x v="428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n v="1"/>
    <x v="0"/>
    <x v="0"/>
    <m/>
    <n v="973045826"/>
    <n v="0"/>
    <n v="-14538578"/>
    <n v="958507248"/>
    <n v="492948609"/>
    <m/>
    <x v="1"/>
    <n v="492948609"/>
  </r>
  <r>
    <x v="1"/>
    <x v="13"/>
    <x v="13"/>
    <x v="4"/>
    <s v="Prestación de Servicios Públicos"/>
    <x v="24"/>
    <x v="303"/>
    <x v="40"/>
    <x v="435"/>
    <n v="2"/>
    <s v="Desarrollo Social"/>
    <n v="0"/>
    <s v="Educación"/>
    <n v="6"/>
    <x v="49"/>
    <x v="9"/>
    <x v="96"/>
    <n v="1"/>
    <s v="Gasto corriente"/>
    <x v="0"/>
    <x v="1"/>
    <x v="0"/>
    <x v="1"/>
    <x v="0"/>
    <x v="0"/>
    <x v="0"/>
    <m/>
    <x v="0"/>
    <x v="0"/>
    <m/>
    <n v="7937445"/>
    <n v="0"/>
    <n v="0"/>
    <n v="7937445"/>
    <n v="7915916"/>
    <m/>
    <x v="1"/>
    <n v="7915916"/>
  </r>
  <r>
    <x v="1"/>
    <x v="13"/>
    <x v="13"/>
    <x v="4"/>
    <s v="Prestación de Servicios Públicos"/>
    <x v="24"/>
    <x v="303"/>
    <x v="40"/>
    <x v="435"/>
    <n v="2"/>
    <s v="Desarrollo Social"/>
    <n v="0"/>
    <s v="Educación"/>
    <n v="6"/>
    <x v="49"/>
    <x v="9"/>
    <x v="96"/>
    <n v="1"/>
    <s v="Gasto corriente"/>
    <x v="0"/>
    <x v="0"/>
    <x v="0"/>
    <x v="1"/>
    <x v="0"/>
    <x v="0"/>
    <x v="0"/>
    <m/>
    <x v="0"/>
    <x v="0"/>
    <m/>
    <n v="156560960"/>
    <n v="0"/>
    <n v="-2339222"/>
    <n v="154221738"/>
    <n v="164849162"/>
    <m/>
    <x v="1"/>
    <n v="164849162"/>
  </r>
  <r>
    <x v="1"/>
    <x v="13"/>
    <x v="13"/>
    <x v="4"/>
    <s v="Prestación de Servicios Públicos"/>
    <x v="24"/>
    <x v="303"/>
    <x v="40"/>
    <x v="435"/>
    <n v="2"/>
    <s v="Desarrollo Social"/>
    <n v="0"/>
    <s v="Educación"/>
    <n v="6"/>
    <x v="49"/>
    <x v="9"/>
    <x v="96"/>
    <n v="2"/>
    <s v="Gasto de capital"/>
    <x v="0"/>
    <x v="0"/>
    <x v="0"/>
    <x v="1"/>
    <x v="0"/>
    <x v="0"/>
    <x v="0"/>
    <m/>
    <x v="0"/>
    <x v="0"/>
    <m/>
    <m/>
    <m/>
    <m/>
    <m/>
    <n v="884612"/>
    <m/>
    <x v="1"/>
    <n v="884612"/>
  </r>
  <r>
    <x v="1"/>
    <x v="13"/>
    <x v="13"/>
    <x v="4"/>
    <s v="Prestación de Servicios Públicos"/>
    <x v="24"/>
    <x v="303"/>
    <x v="256"/>
    <x v="429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n v="1"/>
    <x v="0"/>
    <x v="0"/>
    <m/>
    <n v="185531"/>
    <n v="0"/>
    <n v="0"/>
    <n v="185531"/>
    <n v="1119971"/>
    <m/>
    <x v="1"/>
    <n v="1119971"/>
  </r>
  <r>
    <x v="1"/>
    <x v="13"/>
    <x v="13"/>
    <x v="4"/>
    <s v="Prestación de Servicios Públicos"/>
    <x v="24"/>
    <x v="303"/>
    <x v="256"/>
    <x v="429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n v="1"/>
    <x v="0"/>
    <x v="0"/>
    <m/>
    <n v="3399341"/>
    <n v="0"/>
    <n v="-50791"/>
    <n v="3348550"/>
    <n v="4296362"/>
    <m/>
    <x v="1"/>
    <n v="4296362"/>
  </r>
  <r>
    <x v="1"/>
    <x v="13"/>
    <x v="13"/>
    <x v="4"/>
    <s v="Prestación de Servicios Públicos"/>
    <x v="24"/>
    <x v="303"/>
    <x v="256"/>
    <x v="429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n v="1"/>
    <x v="0"/>
    <x v="0"/>
    <m/>
    <n v="668788"/>
    <n v="0"/>
    <n v="-9993"/>
    <n v="658795"/>
    <n v="56770"/>
    <m/>
    <x v="1"/>
    <n v="56770"/>
  </r>
  <r>
    <x v="1"/>
    <x v="13"/>
    <x v="13"/>
    <x v="4"/>
    <s v="Prestación de Servicios Públicos"/>
    <x v="24"/>
    <x v="303"/>
    <x v="260"/>
    <x v="436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n v="1"/>
    <x v="0"/>
    <x v="0"/>
    <m/>
    <n v="54052257"/>
    <n v="0"/>
    <n v="0"/>
    <n v="54052257"/>
    <n v="54826907"/>
    <m/>
    <x v="1"/>
    <n v="54826907"/>
  </r>
  <r>
    <x v="1"/>
    <x v="13"/>
    <x v="13"/>
    <x v="4"/>
    <s v="Prestación de Servicios Públicos"/>
    <x v="24"/>
    <x v="303"/>
    <x v="260"/>
    <x v="436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n v="1"/>
    <x v="0"/>
    <x v="0"/>
    <m/>
    <n v="1334247886"/>
    <n v="40000000"/>
    <n v="-19935409"/>
    <n v="1354312477"/>
    <n v="1391612846"/>
    <m/>
    <x v="24"/>
    <n v="1441612846"/>
  </r>
  <r>
    <x v="1"/>
    <x v="13"/>
    <x v="13"/>
    <x v="4"/>
    <s v="Prestación de Servicios Públicos"/>
    <x v="24"/>
    <x v="303"/>
    <x v="260"/>
    <x v="436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n v="1"/>
    <x v="0"/>
    <x v="0"/>
    <m/>
    <n v="0"/>
    <n v="40000000"/>
    <n v="0"/>
    <n v="40000000"/>
    <n v="171031542"/>
    <m/>
    <x v="1"/>
    <n v="171031542"/>
  </r>
  <r>
    <x v="1"/>
    <x v="13"/>
    <x v="13"/>
    <x v="4"/>
    <s v="Prestación de Servicios Públicos"/>
    <x v="24"/>
    <x v="303"/>
    <x v="255"/>
    <x v="422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m/>
    <x v="0"/>
    <x v="0"/>
    <m/>
    <n v="3383803"/>
    <n v="0"/>
    <n v="0"/>
    <n v="3383803"/>
    <n v="4714177"/>
    <m/>
    <x v="1"/>
    <n v="4714177"/>
  </r>
  <r>
    <x v="1"/>
    <x v="13"/>
    <x v="13"/>
    <x v="4"/>
    <s v="Prestación de Servicios Públicos"/>
    <x v="24"/>
    <x v="303"/>
    <x v="255"/>
    <x v="422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m/>
    <x v="0"/>
    <x v="0"/>
    <m/>
    <n v="36007487"/>
    <n v="0"/>
    <n v="-537996"/>
    <n v="35469491"/>
    <n v="34507252"/>
    <m/>
    <x v="1"/>
    <n v="34507252"/>
  </r>
  <r>
    <x v="1"/>
    <x v="13"/>
    <x v="13"/>
    <x v="4"/>
    <s v="Prestación de Servicios Públicos"/>
    <x v="24"/>
    <x v="303"/>
    <x v="255"/>
    <x v="422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m/>
    <x v="0"/>
    <x v="0"/>
    <m/>
    <n v="992653"/>
    <n v="0"/>
    <n v="-14831"/>
    <n v="977822"/>
    <n v="992653"/>
    <m/>
    <x v="1"/>
    <n v="992653"/>
  </r>
  <r>
    <x v="1"/>
    <x v="13"/>
    <x v="13"/>
    <x v="4"/>
    <s v="Prestación de Servicios Públicos"/>
    <x v="24"/>
    <x v="303"/>
    <x v="251"/>
    <x v="414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n v="1"/>
    <x v="0"/>
    <x v="0"/>
    <m/>
    <n v="9879407"/>
    <n v="0"/>
    <n v="0"/>
    <n v="9879407"/>
    <n v="7158075"/>
    <m/>
    <x v="1"/>
    <n v="7158075"/>
  </r>
  <r>
    <x v="1"/>
    <x v="13"/>
    <x v="13"/>
    <x v="4"/>
    <s v="Prestación de Servicios Públicos"/>
    <x v="24"/>
    <x v="303"/>
    <x v="251"/>
    <x v="414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n v="1"/>
    <x v="0"/>
    <x v="0"/>
    <m/>
    <n v="303130350"/>
    <n v="5000000"/>
    <n v="-4529166"/>
    <n v="303601184"/>
    <n v="298408916"/>
    <m/>
    <x v="1"/>
    <n v="298408916"/>
  </r>
  <r>
    <x v="1"/>
    <x v="13"/>
    <x v="13"/>
    <x v="4"/>
    <s v="Prestación de Servicios Públicos"/>
    <x v="24"/>
    <x v="303"/>
    <x v="251"/>
    <x v="414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n v="1"/>
    <x v="0"/>
    <x v="0"/>
    <m/>
    <n v="11000000"/>
    <n v="0"/>
    <n v="-164355"/>
    <n v="10835645"/>
    <n v="7000000"/>
    <m/>
    <x v="1"/>
    <n v="7000000"/>
  </r>
  <r>
    <x v="1"/>
    <x v="13"/>
    <x v="13"/>
    <x v="4"/>
    <s v="Prestación de Servicios Públicos"/>
    <x v="24"/>
    <x v="303"/>
    <x v="251"/>
    <x v="414"/>
    <n v="3"/>
    <s v="Desarrollo Económico"/>
    <n v="7"/>
    <s v="Ciencia y Tecnología"/>
    <n v="3"/>
    <x v="46"/>
    <x v="14"/>
    <x v="89"/>
    <n v="1"/>
    <s v="Gasto corriente"/>
    <x v="0"/>
    <x v="1"/>
    <x v="0"/>
    <x v="1"/>
    <x v="0"/>
    <x v="0"/>
    <x v="0"/>
    <n v="1"/>
    <x v="0"/>
    <x v="0"/>
    <m/>
    <n v="709928"/>
    <n v="0"/>
    <n v="0"/>
    <n v="709928"/>
    <n v="3297058"/>
    <m/>
    <x v="1"/>
    <n v="3297058"/>
  </r>
  <r>
    <x v="1"/>
    <x v="13"/>
    <x v="13"/>
    <x v="4"/>
    <s v="Prestación de Servicios Públicos"/>
    <x v="24"/>
    <x v="303"/>
    <x v="251"/>
    <x v="414"/>
    <n v="3"/>
    <s v="Desarrollo Económico"/>
    <n v="7"/>
    <s v="Ciencia y Tecnología"/>
    <n v="3"/>
    <x v="46"/>
    <x v="14"/>
    <x v="89"/>
    <n v="1"/>
    <s v="Gasto corriente"/>
    <x v="0"/>
    <x v="0"/>
    <x v="0"/>
    <x v="1"/>
    <x v="0"/>
    <x v="0"/>
    <x v="0"/>
    <n v="1"/>
    <x v="0"/>
    <x v="0"/>
    <m/>
    <n v="17854727"/>
    <n v="0"/>
    <n v="-266772"/>
    <n v="17587955"/>
    <n v="46019750"/>
    <m/>
    <x v="1"/>
    <n v="46019750"/>
  </r>
  <r>
    <x v="1"/>
    <x v="13"/>
    <x v="13"/>
    <x v="4"/>
    <s v="Prestación de Servicios Públicos"/>
    <x v="24"/>
    <x v="303"/>
    <x v="261"/>
    <x v="437"/>
    <n v="3"/>
    <s v="Desarrollo Económico"/>
    <n v="7"/>
    <s v="Ciencia y Tecnología"/>
    <n v="1"/>
    <x v="33"/>
    <x v="14"/>
    <x v="89"/>
    <n v="1"/>
    <s v="Gasto corriente"/>
    <x v="0"/>
    <x v="1"/>
    <x v="0"/>
    <x v="1"/>
    <x v="0"/>
    <x v="0"/>
    <x v="0"/>
    <n v="1"/>
    <x v="0"/>
    <x v="0"/>
    <m/>
    <n v="2347953"/>
    <n v="0"/>
    <n v="0"/>
    <n v="2347953"/>
    <m/>
    <m/>
    <x v="1"/>
    <n v="0"/>
  </r>
  <r>
    <x v="1"/>
    <x v="13"/>
    <x v="13"/>
    <x v="4"/>
    <s v="Prestación de Servicios Públicos"/>
    <x v="24"/>
    <x v="303"/>
    <x v="261"/>
    <x v="437"/>
    <n v="3"/>
    <s v="Desarrollo Económico"/>
    <n v="7"/>
    <s v="Ciencia y Tecnología"/>
    <n v="1"/>
    <x v="33"/>
    <x v="14"/>
    <x v="89"/>
    <n v="1"/>
    <s v="Gasto corriente"/>
    <x v="0"/>
    <x v="0"/>
    <x v="0"/>
    <x v="1"/>
    <x v="0"/>
    <x v="0"/>
    <x v="0"/>
    <n v="1"/>
    <x v="0"/>
    <x v="0"/>
    <m/>
    <n v="63572224"/>
    <n v="0"/>
    <n v="-949851"/>
    <n v="62622373"/>
    <n v="73104719"/>
    <m/>
    <x v="1"/>
    <n v="73104719"/>
  </r>
  <r>
    <x v="1"/>
    <x v="13"/>
    <x v="13"/>
    <x v="4"/>
    <s v="Prestación de Servicios Públicos"/>
    <x v="24"/>
    <x v="303"/>
    <x v="261"/>
    <x v="437"/>
    <n v="3"/>
    <s v="Desarrollo Económico"/>
    <n v="7"/>
    <s v="Ciencia y Tecnología"/>
    <n v="1"/>
    <x v="33"/>
    <x v="14"/>
    <x v="89"/>
    <n v="1"/>
    <s v="Gasto corriente"/>
    <x v="0"/>
    <x v="0"/>
    <x v="0"/>
    <x v="0"/>
    <x v="0"/>
    <x v="0"/>
    <x v="0"/>
    <n v="1"/>
    <x v="0"/>
    <x v="0"/>
    <m/>
    <m/>
    <m/>
    <m/>
    <m/>
    <n v="5115243"/>
    <m/>
    <x v="1"/>
    <n v="5115243"/>
  </r>
  <r>
    <x v="1"/>
    <x v="13"/>
    <x v="13"/>
    <x v="4"/>
    <s v="Prestación de Servicios Públicos"/>
    <x v="20"/>
    <x v="304"/>
    <x v="272"/>
    <x v="453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27895624"/>
    <n v="3400000"/>
    <n v="-416794"/>
    <n v="30878830"/>
    <n v="33456148"/>
    <m/>
    <x v="69"/>
    <n v="35983175"/>
  </r>
  <r>
    <x v="1"/>
    <x v="13"/>
    <x v="13"/>
    <x v="4"/>
    <s v="Prestación de Servicios Públicos"/>
    <x v="20"/>
    <x v="304"/>
    <x v="272"/>
    <x v="453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4794839"/>
    <n v="4300000"/>
    <n v="-71641"/>
    <n v="9023198"/>
    <n v="22115904"/>
    <m/>
    <x v="1"/>
    <n v="22115904"/>
  </r>
  <r>
    <x v="1"/>
    <x v="13"/>
    <x v="13"/>
    <x v="4"/>
    <s v="Prestación de Servicios Públicos"/>
    <x v="20"/>
    <x v="304"/>
    <x v="273"/>
    <x v="454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29996507"/>
    <n v="7000000"/>
    <n v="-448187"/>
    <n v="36548320"/>
    <n v="39273251"/>
    <m/>
    <x v="70"/>
    <n v="42174652"/>
  </r>
  <r>
    <x v="1"/>
    <x v="13"/>
    <x v="13"/>
    <x v="4"/>
    <s v="Prestación de Servicios Públicos"/>
    <x v="20"/>
    <x v="304"/>
    <x v="273"/>
    <x v="454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8945717"/>
    <n v="5000000"/>
    <n v="-133661"/>
    <n v="13812056"/>
    <n v="13812056"/>
    <m/>
    <x v="1"/>
    <n v="13812056"/>
  </r>
  <r>
    <x v="1"/>
    <x v="13"/>
    <x v="13"/>
    <x v="4"/>
    <s v="Prestación de Servicios Públicos"/>
    <x v="20"/>
    <x v="304"/>
    <x v="274"/>
    <x v="455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33085079"/>
    <n v="5900000"/>
    <n v="-494333"/>
    <n v="38490746"/>
    <n v="40814433"/>
    <m/>
    <x v="71"/>
    <n v="43435054"/>
  </r>
  <r>
    <x v="1"/>
    <x v="13"/>
    <x v="13"/>
    <x v="4"/>
    <s v="Prestación de Servicios Públicos"/>
    <x v="20"/>
    <x v="304"/>
    <x v="274"/>
    <x v="455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7908230"/>
    <n v="0"/>
    <n v="-118159"/>
    <n v="7790071"/>
    <n v="10252718"/>
    <m/>
    <x v="1"/>
    <n v="10252718"/>
  </r>
  <r>
    <x v="1"/>
    <x v="13"/>
    <x v="13"/>
    <x v="4"/>
    <s v="Prestación de Servicios Públicos"/>
    <x v="20"/>
    <x v="304"/>
    <x v="275"/>
    <x v="456"/>
    <n v="2"/>
    <s v="Desarrollo Social"/>
    <n v="0"/>
    <s v="Educación"/>
    <n v="6"/>
    <x v="49"/>
    <x v="9"/>
    <x v="96"/>
    <n v="1"/>
    <s v="Gasto corriente"/>
    <x v="0"/>
    <x v="1"/>
    <x v="0"/>
    <x v="0"/>
    <x v="0"/>
    <x v="0"/>
    <x v="0"/>
    <m/>
    <x v="0"/>
    <x v="0"/>
    <m/>
    <n v="1694211"/>
    <n v="0"/>
    <n v="0"/>
    <n v="1694211"/>
    <n v="1861173"/>
    <m/>
    <x v="1"/>
    <n v="1861173"/>
  </r>
  <r>
    <x v="1"/>
    <x v="13"/>
    <x v="13"/>
    <x v="4"/>
    <s v="Prestación de Servicios Públicos"/>
    <x v="20"/>
    <x v="304"/>
    <x v="275"/>
    <x v="456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136001575"/>
    <n v="164600000"/>
    <n v="-2032039"/>
    <n v="298569536"/>
    <n v="257026741"/>
    <m/>
    <x v="72"/>
    <n v="300317831"/>
  </r>
  <r>
    <x v="1"/>
    <x v="13"/>
    <x v="13"/>
    <x v="4"/>
    <s v="Prestación de Servicios Públicos"/>
    <x v="20"/>
    <x v="304"/>
    <x v="275"/>
    <x v="456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41287967"/>
    <n v="0"/>
    <n v="-616896"/>
    <n v="40671071"/>
    <n v="39120532"/>
    <m/>
    <x v="1"/>
    <n v="39120532"/>
  </r>
  <r>
    <x v="1"/>
    <x v="13"/>
    <x v="13"/>
    <x v="4"/>
    <s v="Prestación de Servicios Públicos"/>
    <x v="31"/>
    <x v="305"/>
    <x v="258"/>
    <x v="432"/>
    <n v="2"/>
    <s v="Desarrollo Social"/>
    <n v="0"/>
    <s v="Educación"/>
    <n v="9"/>
    <x v="47"/>
    <x v="15"/>
    <x v="91"/>
    <n v="1"/>
    <s v="Gasto corriente"/>
    <x v="0"/>
    <x v="0"/>
    <x v="0"/>
    <x v="0"/>
    <x v="0"/>
    <x v="0"/>
    <x v="0"/>
    <m/>
    <x v="0"/>
    <x v="0"/>
    <m/>
    <n v="80980237"/>
    <n v="0"/>
    <n v="-1209952"/>
    <n v="79770285"/>
    <n v="76947922"/>
    <m/>
    <x v="1"/>
    <n v="76947922"/>
  </r>
  <r>
    <x v="1"/>
    <x v="13"/>
    <x v="13"/>
    <x v="4"/>
    <s v="Prestación de Servicios Públicos"/>
    <x v="29"/>
    <x v="306"/>
    <x v="0"/>
    <x v="457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1"/>
    <n v="1"/>
    <x v="0"/>
    <x v="0"/>
    <m/>
    <n v="58750375"/>
    <n v="5000000"/>
    <n v="-877807"/>
    <n v="62872568"/>
    <n v="52772806"/>
    <m/>
    <x v="73"/>
    <n v="127772806"/>
  </r>
  <r>
    <x v="1"/>
    <x v="13"/>
    <x v="13"/>
    <x v="4"/>
    <s v="Prestación de Servicios Públicos"/>
    <x v="58"/>
    <x v="307"/>
    <x v="81"/>
    <x v="458"/>
    <n v="2"/>
    <s v="Desarrollo Social"/>
    <n v="0"/>
    <s v="Educación"/>
    <n v="9"/>
    <x v="47"/>
    <x v="7"/>
    <x v="92"/>
    <n v="1"/>
    <s v="Gasto corriente"/>
    <x v="0"/>
    <x v="0"/>
    <x v="0"/>
    <x v="0"/>
    <x v="0"/>
    <x v="0"/>
    <x v="0"/>
    <m/>
    <x v="0"/>
    <x v="0"/>
    <m/>
    <n v="30608202"/>
    <n v="0"/>
    <n v="-457329"/>
    <n v="30150873"/>
    <n v="30059536"/>
    <m/>
    <x v="1"/>
    <n v="30059536"/>
  </r>
  <r>
    <x v="1"/>
    <x v="13"/>
    <x v="13"/>
    <x v="4"/>
    <s v="Prestación de Servicios Públicos"/>
    <x v="59"/>
    <x v="308"/>
    <x v="81"/>
    <x v="458"/>
    <n v="2"/>
    <s v="Desarrollo Social"/>
    <n v="0"/>
    <s v="Educación"/>
    <n v="9"/>
    <x v="47"/>
    <x v="7"/>
    <x v="92"/>
    <n v="1"/>
    <s v="Gasto corriente"/>
    <x v="0"/>
    <x v="0"/>
    <x v="0"/>
    <x v="0"/>
    <x v="0"/>
    <x v="0"/>
    <x v="0"/>
    <m/>
    <x v="0"/>
    <x v="0"/>
    <m/>
    <n v="364677"/>
    <n v="0"/>
    <n v="-5447"/>
    <n v="359230"/>
    <n v="346116"/>
    <m/>
    <x v="1"/>
    <n v="346116"/>
  </r>
  <r>
    <x v="1"/>
    <x v="13"/>
    <x v="13"/>
    <x v="4"/>
    <s v="Prestación de Servicios Públicos"/>
    <x v="60"/>
    <x v="309"/>
    <x v="30"/>
    <x v="459"/>
    <n v="2"/>
    <s v="Desarrollo Social"/>
    <n v="0"/>
    <s v="Educación"/>
    <n v="6"/>
    <x v="49"/>
    <x v="7"/>
    <x v="92"/>
    <n v="1"/>
    <s v="Gasto corriente"/>
    <x v="0"/>
    <x v="0"/>
    <x v="0"/>
    <x v="0"/>
    <x v="0"/>
    <x v="0"/>
    <x v="0"/>
    <m/>
    <x v="0"/>
    <x v="0"/>
    <m/>
    <n v="11994673"/>
    <n v="0"/>
    <n v="-179215"/>
    <n v="11815458"/>
    <n v="15258227"/>
    <m/>
    <x v="1"/>
    <n v="15258227"/>
  </r>
  <r>
    <x v="1"/>
    <x v="13"/>
    <x v="13"/>
    <x v="4"/>
    <s v="Prestación de Servicios Públicos"/>
    <x v="60"/>
    <x v="309"/>
    <x v="30"/>
    <x v="459"/>
    <n v="2"/>
    <s v="Desarrollo Social"/>
    <n v="0"/>
    <s v="Educación"/>
    <n v="6"/>
    <x v="49"/>
    <x v="7"/>
    <x v="92"/>
    <n v="2"/>
    <s v="Gasto de capital"/>
    <x v="0"/>
    <x v="0"/>
    <x v="0"/>
    <x v="0"/>
    <x v="0"/>
    <x v="0"/>
    <x v="0"/>
    <m/>
    <x v="0"/>
    <x v="0"/>
    <m/>
    <n v="980469"/>
    <n v="0"/>
    <n v="-14649"/>
    <n v="965820"/>
    <m/>
    <m/>
    <x v="1"/>
    <n v="0"/>
  </r>
  <r>
    <x v="1"/>
    <x v="13"/>
    <x v="13"/>
    <x v="4"/>
    <s v="Prestación de Servicios Públicos"/>
    <x v="66"/>
    <x v="310"/>
    <x v="92"/>
    <x v="438"/>
    <n v="2"/>
    <s v="Desarrollo Social"/>
    <n v="0"/>
    <s v="Educación"/>
    <n v="6"/>
    <x v="49"/>
    <x v="9"/>
    <x v="96"/>
    <n v="1"/>
    <s v="Gasto corriente"/>
    <x v="0"/>
    <x v="1"/>
    <x v="0"/>
    <x v="0"/>
    <x v="0"/>
    <x v="0"/>
    <x v="0"/>
    <m/>
    <x v="0"/>
    <x v="0"/>
    <m/>
    <n v="13674707"/>
    <n v="0"/>
    <n v="0"/>
    <n v="13674707"/>
    <n v="14173655"/>
    <m/>
    <x v="1"/>
    <n v="14173655"/>
  </r>
  <r>
    <x v="1"/>
    <x v="13"/>
    <x v="13"/>
    <x v="4"/>
    <s v="Prestación de Servicios Públicos"/>
    <x v="66"/>
    <x v="310"/>
    <x v="92"/>
    <x v="438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588382970"/>
    <n v="0"/>
    <n v="-8791212"/>
    <n v="579591758"/>
    <n v="599492889"/>
    <m/>
    <x v="1"/>
    <n v="599492889"/>
  </r>
  <r>
    <x v="1"/>
    <x v="13"/>
    <x v="13"/>
    <x v="4"/>
    <s v="Prestación de Servicios Públicos"/>
    <x v="66"/>
    <x v="310"/>
    <x v="92"/>
    <x v="438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m/>
    <m/>
    <m/>
    <m/>
    <n v="2583242"/>
    <m/>
    <x v="1"/>
    <n v="2583242"/>
  </r>
  <r>
    <x v="1"/>
    <x v="13"/>
    <x v="13"/>
    <x v="4"/>
    <s v="Prestación de Servicios Públicos"/>
    <x v="67"/>
    <x v="311"/>
    <x v="276"/>
    <x v="460"/>
    <n v="2"/>
    <s v="Desarrollo Social"/>
    <n v="0"/>
    <s v="Educación"/>
    <n v="5"/>
    <x v="48"/>
    <x v="6"/>
    <x v="88"/>
    <n v="1"/>
    <s v="Gasto corriente"/>
    <x v="0"/>
    <x v="0"/>
    <x v="0"/>
    <x v="0"/>
    <x v="0"/>
    <x v="0"/>
    <x v="0"/>
    <m/>
    <x v="0"/>
    <x v="0"/>
    <m/>
    <n v="93294606"/>
    <n v="0"/>
    <n v="-1393944"/>
    <n v="91900662"/>
    <n v="91492972"/>
    <m/>
    <x v="1"/>
    <n v="91492972"/>
  </r>
  <r>
    <x v="1"/>
    <x v="13"/>
    <x v="13"/>
    <x v="4"/>
    <s v="Prestación de Servicios Públicos"/>
    <x v="67"/>
    <x v="311"/>
    <x v="276"/>
    <x v="460"/>
    <n v="2"/>
    <s v="Desarrollo Social"/>
    <n v="0"/>
    <s v="Educación"/>
    <n v="5"/>
    <x v="48"/>
    <x v="6"/>
    <x v="88"/>
    <n v="2"/>
    <s v="Gasto de capital"/>
    <x v="0"/>
    <x v="0"/>
    <x v="0"/>
    <x v="0"/>
    <x v="0"/>
    <x v="0"/>
    <x v="0"/>
    <m/>
    <x v="0"/>
    <x v="0"/>
    <m/>
    <n v="413235"/>
    <n v="0"/>
    <n v="-6174"/>
    <n v="407061"/>
    <n v="407061"/>
    <m/>
    <x v="1"/>
    <n v="407061"/>
  </r>
  <r>
    <x v="1"/>
    <x v="13"/>
    <x v="13"/>
    <x v="4"/>
    <s v="Prestación de Servicios Públicos"/>
    <x v="61"/>
    <x v="312"/>
    <x v="58"/>
    <x v="46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1"/>
    <m/>
    <m/>
    <m/>
    <m/>
    <m/>
    <n v="150835430"/>
    <m/>
    <x v="1"/>
    <n v="150835430"/>
  </r>
  <r>
    <x v="1"/>
    <x v="13"/>
    <x v="13"/>
    <x v="4"/>
    <s v="Prestación de Servicios Públicos"/>
    <x v="61"/>
    <x v="312"/>
    <x v="58"/>
    <x v="461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m/>
    <x v="0"/>
    <x v="1"/>
    <m/>
    <m/>
    <m/>
    <m/>
    <m/>
    <n v="49200000"/>
    <m/>
    <x v="1"/>
    <n v="49200000"/>
  </r>
  <r>
    <x v="1"/>
    <x v="13"/>
    <x v="13"/>
    <x v="4"/>
    <s v="Prestación de Servicios Públicos"/>
    <x v="68"/>
    <x v="313"/>
    <x v="82"/>
    <x v="431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m/>
    <x v="0"/>
    <x v="0"/>
    <m/>
    <n v="103119420"/>
    <n v="0"/>
    <n v="-1540739"/>
    <n v="101578681"/>
    <n v="159878681"/>
    <m/>
    <x v="1"/>
    <n v="159878681"/>
  </r>
  <r>
    <x v="1"/>
    <x v="13"/>
    <x v="13"/>
    <x v="4"/>
    <s v="Prestación de Servicios Públicos"/>
    <x v="69"/>
    <x v="314"/>
    <x v="277"/>
    <x v="462"/>
    <n v="2"/>
    <s v="Desarrollo Social"/>
    <n v="0"/>
    <s v="Educación"/>
    <n v="9"/>
    <x v="47"/>
    <x v="6"/>
    <x v="88"/>
    <n v="1"/>
    <s v="Gasto corriente"/>
    <x v="0"/>
    <x v="1"/>
    <x v="0"/>
    <x v="0"/>
    <x v="0"/>
    <x v="0"/>
    <x v="0"/>
    <m/>
    <x v="0"/>
    <x v="0"/>
    <m/>
    <n v="5890795"/>
    <n v="0"/>
    <n v="0"/>
    <n v="5890795"/>
    <n v="6130261"/>
    <m/>
    <x v="1"/>
    <n v="6130261"/>
  </r>
  <r>
    <x v="1"/>
    <x v="13"/>
    <x v="13"/>
    <x v="4"/>
    <s v="Prestación de Servicios Públicos"/>
    <x v="69"/>
    <x v="314"/>
    <x v="277"/>
    <x v="462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143827796"/>
    <n v="0"/>
    <n v="-2148976"/>
    <n v="141678820"/>
    <n v="176995430"/>
    <m/>
    <x v="1"/>
    <n v="176995430"/>
  </r>
  <r>
    <x v="1"/>
    <x v="13"/>
    <x v="13"/>
    <x v="4"/>
    <s v="Prestación de Servicios Públicos"/>
    <x v="70"/>
    <x v="315"/>
    <x v="277"/>
    <x v="462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1397523"/>
    <n v="0"/>
    <n v="-20881"/>
    <n v="1376642"/>
    <n v="19376248"/>
    <m/>
    <x v="1"/>
    <n v="19376248"/>
  </r>
  <r>
    <x v="1"/>
    <x v="13"/>
    <x v="13"/>
    <x v="4"/>
    <s v="Prestación de Servicios Públicos"/>
    <x v="71"/>
    <x v="316"/>
    <x v="277"/>
    <x v="462"/>
    <n v="2"/>
    <s v="Desarrollo Social"/>
    <n v="0"/>
    <s v="Educación"/>
    <n v="9"/>
    <x v="47"/>
    <x v="8"/>
    <x v="90"/>
    <n v="1"/>
    <s v="Gasto corriente"/>
    <x v="0"/>
    <x v="0"/>
    <x v="0"/>
    <x v="0"/>
    <x v="0"/>
    <x v="0"/>
    <x v="0"/>
    <n v="1"/>
    <x v="0"/>
    <x v="0"/>
    <m/>
    <n v="2681938440"/>
    <n v="0"/>
    <n v="-40071676"/>
    <n v="2641866764"/>
    <n v="2470462036"/>
    <m/>
    <x v="74"/>
    <n v="2528462036"/>
  </r>
  <r>
    <x v="1"/>
    <x v="13"/>
    <x v="13"/>
    <x v="4"/>
    <s v="Prestación de Servicios Públicos"/>
    <x v="72"/>
    <x v="317"/>
    <x v="85"/>
    <x v="463"/>
    <n v="3"/>
    <s v="Desarrollo Económico"/>
    <n v="7"/>
    <s v="Ciencia y Tecnología"/>
    <n v="3"/>
    <x v="46"/>
    <x v="14"/>
    <x v="89"/>
    <n v="1"/>
    <s v="Gasto corriente"/>
    <x v="0"/>
    <x v="0"/>
    <x v="0"/>
    <x v="1"/>
    <x v="0"/>
    <x v="0"/>
    <x v="0"/>
    <m/>
    <x v="0"/>
    <x v="0"/>
    <m/>
    <n v="175905000"/>
    <n v="0"/>
    <n v="-5000000"/>
    <n v="170905000"/>
    <n v="350005000"/>
    <m/>
    <x v="1"/>
    <n v="350005000"/>
  </r>
  <r>
    <x v="1"/>
    <x v="13"/>
    <x v="13"/>
    <x v="4"/>
    <s v="Prestación de Servicios Públicos"/>
    <x v="72"/>
    <x v="317"/>
    <x v="85"/>
    <x v="463"/>
    <n v="3"/>
    <s v="Desarrollo Económico"/>
    <n v="7"/>
    <s v="Ciencia y Tecnología"/>
    <n v="3"/>
    <x v="46"/>
    <x v="14"/>
    <x v="89"/>
    <n v="2"/>
    <s v="Gasto de capital"/>
    <x v="0"/>
    <x v="0"/>
    <x v="0"/>
    <x v="1"/>
    <x v="0"/>
    <x v="0"/>
    <x v="0"/>
    <m/>
    <x v="0"/>
    <x v="0"/>
    <m/>
    <n v="100000000"/>
    <n v="0"/>
    <n v="-5000000"/>
    <n v="95000000"/>
    <m/>
    <m/>
    <x v="1"/>
    <n v="0"/>
  </r>
  <r>
    <x v="1"/>
    <x v="13"/>
    <x v="13"/>
    <x v="4"/>
    <s v="Prestación de Servicios Públicos"/>
    <x v="73"/>
    <x v="318"/>
    <x v="254"/>
    <x v="421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m/>
    <x v="0"/>
    <x v="0"/>
    <m/>
    <n v="0"/>
    <n v="0"/>
    <n v="112000000"/>
    <n v="112000000"/>
    <m/>
    <m/>
    <x v="1"/>
    <n v="0"/>
  </r>
  <r>
    <x v="1"/>
    <x v="13"/>
    <x v="13"/>
    <x v="4"/>
    <s v="Prestación de Servicios Públicos"/>
    <x v="74"/>
    <x v="319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0"/>
    <x v="0"/>
    <m/>
    <n v="302880855"/>
    <n v="0"/>
    <n v="-4525437"/>
    <n v="298355418"/>
    <n v="297355418"/>
    <m/>
    <x v="1"/>
    <n v="297355418"/>
  </r>
  <r>
    <x v="1"/>
    <x v="13"/>
    <x v="13"/>
    <x v="4"/>
    <s v="Prestación de Servicios Públicos"/>
    <x v="75"/>
    <x v="320"/>
    <x v="105"/>
    <x v="42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m/>
    <m/>
    <m/>
    <m/>
    <n v="100000000"/>
    <m/>
    <x v="1"/>
    <n v="100000000"/>
  </r>
  <r>
    <x v="1"/>
    <x v="13"/>
    <x v="13"/>
    <x v="4"/>
    <s v="Prestación de Servicios Públicos"/>
    <x v="75"/>
    <x v="320"/>
    <x v="105"/>
    <x v="423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0"/>
    <x v="0"/>
    <m/>
    <n v="0"/>
    <n v="135000000"/>
    <n v="0"/>
    <n v="135000000"/>
    <m/>
    <m/>
    <x v="1"/>
    <n v="0"/>
  </r>
  <r>
    <x v="1"/>
    <x v="13"/>
    <x v="13"/>
    <x v="10"/>
    <s v="Regulación y supervisión"/>
    <x v="2"/>
    <x v="321"/>
    <x v="7"/>
    <x v="464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460963"/>
    <n v="0"/>
    <n v="0"/>
    <n v="1460963"/>
    <n v="1519401"/>
    <m/>
    <x v="1"/>
    <n v="1519401"/>
  </r>
  <r>
    <x v="1"/>
    <x v="13"/>
    <x v="13"/>
    <x v="10"/>
    <s v="Regulación y supervisión"/>
    <x v="2"/>
    <x v="321"/>
    <x v="7"/>
    <x v="464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90167210"/>
    <n v="0"/>
    <n v="-1347213"/>
    <n v="88819997"/>
    <n v="80594921"/>
    <m/>
    <x v="1"/>
    <n v="80594921"/>
  </r>
  <r>
    <x v="1"/>
    <x v="13"/>
    <x v="13"/>
    <x v="10"/>
    <s v="Regulación y supervisión"/>
    <x v="2"/>
    <x v="321"/>
    <x v="54"/>
    <x v="413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3001865"/>
    <n v="0"/>
    <n v="0"/>
    <n v="3001865"/>
    <n v="3121940"/>
    <m/>
    <x v="1"/>
    <n v="3121940"/>
  </r>
  <r>
    <x v="1"/>
    <x v="13"/>
    <x v="13"/>
    <x v="10"/>
    <s v="Regulación y supervisión"/>
    <x v="2"/>
    <x v="321"/>
    <x v="54"/>
    <x v="413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63722852"/>
    <n v="0"/>
    <n v="-952105"/>
    <n v="62770747"/>
    <n v="65316647"/>
    <m/>
    <x v="1"/>
    <n v="65316647"/>
  </r>
  <r>
    <x v="1"/>
    <x v="13"/>
    <x v="13"/>
    <x v="10"/>
    <s v="Regulación y supervisión"/>
    <x v="2"/>
    <x v="321"/>
    <x v="55"/>
    <x v="465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2504310"/>
    <n v="0"/>
    <n v="0"/>
    <n v="2504310"/>
    <n v="2604482"/>
    <m/>
    <x v="1"/>
    <n v="2604482"/>
  </r>
  <r>
    <x v="1"/>
    <x v="13"/>
    <x v="13"/>
    <x v="10"/>
    <s v="Regulación y supervisión"/>
    <x v="2"/>
    <x v="321"/>
    <x v="55"/>
    <x v="465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94835403"/>
    <n v="0"/>
    <n v="-1416965"/>
    <n v="93418438"/>
    <n v="86785197"/>
    <m/>
    <x v="1"/>
    <n v="86785197"/>
  </r>
  <r>
    <x v="1"/>
    <x v="13"/>
    <x v="13"/>
    <x v="10"/>
    <s v="Regulación y supervisión"/>
    <x v="2"/>
    <x v="321"/>
    <x v="161"/>
    <x v="466"/>
    <n v="2"/>
    <s v="Desarrollo Social"/>
    <n v="0"/>
    <s v="Educación"/>
    <n v="8"/>
    <x v="51"/>
    <x v="6"/>
    <x v="88"/>
    <n v="1"/>
    <s v="Gasto corriente"/>
    <x v="0"/>
    <x v="1"/>
    <x v="1"/>
    <x v="0"/>
    <x v="1"/>
    <x v="0"/>
    <x v="0"/>
    <m/>
    <x v="0"/>
    <x v="0"/>
    <m/>
    <n v="4369391"/>
    <n v="0"/>
    <n v="0"/>
    <n v="4369391"/>
    <n v="4544167"/>
    <m/>
    <x v="1"/>
    <n v="4544167"/>
  </r>
  <r>
    <x v="1"/>
    <x v="13"/>
    <x v="13"/>
    <x v="10"/>
    <s v="Regulación y supervisión"/>
    <x v="2"/>
    <x v="321"/>
    <x v="161"/>
    <x v="466"/>
    <n v="2"/>
    <s v="Desarrollo Social"/>
    <n v="0"/>
    <s v="Educación"/>
    <n v="8"/>
    <x v="51"/>
    <x v="6"/>
    <x v="88"/>
    <n v="1"/>
    <s v="Gasto corriente"/>
    <x v="0"/>
    <x v="0"/>
    <x v="1"/>
    <x v="0"/>
    <x v="1"/>
    <x v="0"/>
    <x v="0"/>
    <m/>
    <x v="0"/>
    <x v="0"/>
    <m/>
    <n v="61913259"/>
    <n v="0"/>
    <n v="-925070"/>
    <n v="60988189"/>
    <n v="63231489"/>
    <m/>
    <x v="1"/>
    <n v="63231489"/>
  </r>
  <r>
    <x v="1"/>
    <x v="13"/>
    <x v="13"/>
    <x v="10"/>
    <s v="Regulación y supervisión"/>
    <x v="2"/>
    <x v="321"/>
    <x v="278"/>
    <x v="467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740109"/>
    <n v="0"/>
    <n v="0"/>
    <n v="1740109"/>
    <n v="1809714"/>
    <m/>
    <x v="1"/>
    <n v="1809714"/>
  </r>
  <r>
    <x v="1"/>
    <x v="13"/>
    <x v="13"/>
    <x v="10"/>
    <s v="Regulación y supervisión"/>
    <x v="2"/>
    <x v="321"/>
    <x v="278"/>
    <x v="467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51336701"/>
    <n v="0"/>
    <n v="-767039"/>
    <n v="50569662"/>
    <n v="46106395"/>
    <m/>
    <x v="1"/>
    <n v="46106395"/>
  </r>
  <r>
    <x v="1"/>
    <x v="13"/>
    <x v="13"/>
    <x v="10"/>
    <s v="Regulación y supervisión"/>
    <x v="2"/>
    <x v="321"/>
    <x v="85"/>
    <x v="463"/>
    <n v="2"/>
    <s v="Desarrollo Social"/>
    <n v="0"/>
    <s v="Educación"/>
    <n v="3"/>
    <x v="29"/>
    <x v="7"/>
    <x v="92"/>
    <n v="1"/>
    <s v="Gasto corriente"/>
    <x v="0"/>
    <x v="1"/>
    <x v="0"/>
    <x v="0"/>
    <x v="0"/>
    <x v="0"/>
    <x v="0"/>
    <n v="1"/>
    <x v="0"/>
    <x v="0"/>
    <m/>
    <n v="5141596"/>
    <n v="0"/>
    <n v="0"/>
    <n v="5141596"/>
    <n v="5347260"/>
    <m/>
    <x v="1"/>
    <n v="5347260"/>
  </r>
  <r>
    <x v="1"/>
    <x v="13"/>
    <x v="13"/>
    <x v="10"/>
    <s v="Regulación y supervisión"/>
    <x v="2"/>
    <x v="321"/>
    <x v="85"/>
    <x v="463"/>
    <n v="2"/>
    <s v="Desarrollo Social"/>
    <n v="0"/>
    <s v="Educación"/>
    <n v="3"/>
    <x v="29"/>
    <x v="7"/>
    <x v="92"/>
    <n v="1"/>
    <s v="Gasto corriente"/>
    <x v="0"/>
    <x v="0"/>
    <x v="0"/>
    <x v="0"/>
    <x v="0"/>
    <x v="0"/>
    <x v="0"/>
    <n v="1"/>
    <x v="0"/>
    <x v="0"/>
    <m/>
    <n v="85146596"/>
    <n v="0"/>
    <n v="0"/>
    <n v="85146596"/>
    <n v="85308556"/>
    <m/>
    <x v="38"/>
    <n v="90308556"/>
  </r>
  <r>
    <x v="1"/>
    <x v="13"/>
    <x v="13"/>
    <x v="10"/>
    <s v="Regulación y supervisión"/>
    <x v="2"/>
    <x v="321"/>
    <x v="82"/>
    <x v="431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0"/>
    <m/>
    <x v="0"/>
    <x v="0"/>
    <m/>
    <n v="1198493"/>
    <n v="0"/>
    <n v="0"/>
    <n v="1198493"/>
    <n v="1246432"/>
    <m/>
    <x v="1"/>
    <n v="1246432"/>
  </r>
  <r>
    <x v="1"/>
    <x v="13"/>
    <x v="13"/>
    <x v="10"/>
    <s v="Regulación y supervisión"/>
    <x v="2"/>
    <x v="321"/>
    <x v="82"/>
    <x v="43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31607190"/>
    <n v="0"/>
    <n v="-472250"/>
    <n v="31134940"/>
    <n v="27234056"/>
    <m/>
    <x v="1"/>
    <n v="27234056"/>
  </r>
  <r>
    <x v="1"/>
    <x v="13"/>
    <x v="13"/>
    <x v="10"/>
    <s v="Regulación y supervisión"/>
    <x v="2"/>
    <x v="321"/>
    <x v="74"/>
    <x v="424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8947791"/>
    <n v="0"/>
    <n v="-133692"/>
    <n v="8814099"/>
    <m/>
    <m/>
    <x v="1"/>
    <n v="0"/>
  </r>
  <r>
    <x v="1"/>
    <x v="13"/>
    <x v="13"/>
    <x v="10"/>
    <s v="Regulación y supervisión"/>
    <x v="2"/>
    <x v="321"/>
    <x v="72"/>
    <x v="426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0"/>
    <x v="0"/>
    <m/>
    <n v="3351970"/>
    <n v="0"/>
    <n v="-50084"/>
    <n v="3301886"/>
    <n v="2983977"/>
    <m/>
    <x v="1"/>
    <n v="2983977"/>
  </r>
  <r>
    <x v="1"/>
    <x v="13"/>
    <x v="13"/>
    <x v="10"/>
    <s v="Regulación y supervisión"/>
    <x v="2"/>
    <x v="321"/>
    <x v="79"/>
    <x v="419"/>
    <n v="2"/>
    <s v="Desarrollo Social"/>
    <n v="0"/>
    <s v="Educación"/>
    <n v="2"/>
    <x v="28"/>
    <x v="6"/>
    <x v="88"/>
    <n v="1"/>
    <s v="Gasto corriente"/>
    <x v="0"/>
    <x v="1"/>
    <x v="0"/>
    <x v="0"/>
    <x v="0"/>
    <x v="0"/>
    <x v="0"/>
    <m/>
    <x v="0"/>
    <x v="0"/>
    <m/>
    <n v="369234"/>
    <n v="0"/>
    <n v="0"/>
    <n v="369234"/>
    <n v="384003"/>
    <m/>
    <x v="1"/>
    <n v="384003"/>
  </r>
  <r>
    <x v="1"/>
    <x v="13"/>
    <x v="13"/>
    <x v="10"/>
    <s v="Regulación y supervisión"/>
    <x v="2"/>
    <x v="321"/>
    <x v="79"/>
    <x v="419"/>
    <n v="2"/>
    <s v="Desarrollo Social"/>
    <n v="0"/>
    <s v="Educación"/>
    <n v="2"/>
    <x v="28"/>
    <x v="6"/>
    <x v="88"/>
    <n v="1"/>
    <s v="Gasto corriente"/>
    <x v="0"/>
    <x v="0"/>
    <x v="0"/>
    <x v="0"/>
    <x v="0"/>
    <x v="0"/>
    <x v="0"/>
    <m/>
    <x v="0"/>
    <x v="0"/>
    <m/>
    <n v="44502922"/>
    <n v="0"/>
    <n v="-664932"/>
    <n v="43837990"/>
    <n v="28606290"/>
    <m/>
    <x v="1"/>
    <n v="28606290"/>
  </r>
  <r>
    <x v="1"/>
    <x v="13"/>
    <x v="13"/>
    <x v="10"/>
    <s v="Regulación y supervisión"/>
    <x v="3"/>
    <x v="322"/>
    <x v="55"/>
    <x v="465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m/>
    <x v="0"/>
    <x v="0"/>
    <m/>
    <n v="539811777"/>
    <n v="0"/>
    <n v="-8065495"/>
    <n v="531746282"/>
    <n v="518386462"/>
    <m/>
    <x v="1"/>
    <n v="518386462"/>
  </r>
  <r>
    <x v="1"/>
    <x v="13"/>
    <x v="13"/>
    <x v="10"/>
    <s v="Regulación y supervisión"/>
    <x v="4"/>
    <x v="323"/>
    <x v="55"/>
    <x v="465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n v="1"/>
    <x v="0"/>
    <x v="0"/>
    <m/>
    <n v="91739460"/>
    <n v="12000000"/>
    <n v="-1370708"/>
    <n v="102368752"/>
    <n v="86906990"/>
    <m/>
    <x v="1"/>
    <n v="86906990"/>
  </r>
  <r>
    <x v="1"/>
    <x v="13"/>
    <x v="13"/>
    <x v="10"/>
    <s v="Regulación y supervisión"/>
    <x v="9"/>
    <x v="324"/>
    <x v="22"/>
    <x v="43"/>
    <n v="2"/>
    <s v="Desarrollo Social"/>
    <n v="0"/>
    <s v="Educación"/>
    <n v="9"/>
    <x v="47"/>
    <x v="7"/>
    <x v="92"/>
    <n v="1"/>
    <s v="Gasto corriente"/>
    <x v="0"/>
    <x v="1"/>
    <x v="0"/>
    <x v="0"/>
    <x v="0"/>
    <x v="0"/>
    <x v="0"/>
    <m/>
    <x v="0"/>
    <x v="0"/>
    <m/>
    <n v="1963577"/>
    <n v="0"/>
    <n v="0"/>
    <n v="1963577"/>
    <n v="2042120"/>
    <m/>
    <x v="1"/>
    <n v="2042120"/>
  </r>
  <r>
    <x v="1"/>
    <x v="13"/>
    <x v="13"/>
    <x v="10"/>
    <s v="Regulación y supervisión"/>
    <x v="9"/>
    <x v="324"/>
    <x v="22"/>
    <x v="43"/>
    <n v="2"/>
    <s v="Desarrollo Social"/>
    <n v="0"/>
    <s v="Educación"/>
    <n v="9"/>
    <x v="47"/>
    <x v="7"/>
    <x v="92"/>
    <n v="1"/>
    <s v="Gasto corriente"/>
    <x v="0"/>
    <x v="0"/>
    <x v="0"/>
    <x v="0"/>
    <x v="0"/>
    <x v="0"/>
    <x v="0"/>
    <m/>
    <x v="0"/>
    <x v="0"/>
    <m/>
    <n v="35927057"/>
    <n v="0"/>
    <n v="-536800"/>
    <n v="35390257"/>
    <n v="33520351"/>
    <m/>
    <x v="1"/>
    <n v="33520351"/>
  </r>
  <r>
    <x v="1"/>
    <x v="13"/>
    <x v="13"/>
    <x v="10"/>
    <s v="Regulación y supervisión"/>
    <x v="9"/>
    <x v="324"/>
    <x v="22"/>
    <x v="43"/>
    <n v="2"/>
    <s v="Desarrollo Social"/>
    <n v="0"/>
    <s v="Educación"/>
    <n v="9"/>
    <x v="47"/>
    <x v="7"/>
    <x v="92"/>
    <n v="2"/>
    <s v="Gasto de capital"/>
    <x v="0"/>
    <x v="0"/>
    <x v="0"/>
    <x v="0"/>
    <x v="0"/>
    <x v="0"/>
    <x v="0"/>
    <m/>
    <x v="0"/>
    <x v="0"/>
    <m/>
    <n v="291395"/>
    <n v="0"/>
    <n v="-4354"/>
    <n v="287041"/>
    <n v="287041"/>
    <m/>
    <x v="1"/>
    <n v="287041"/>
  </r>
  <r>
    <x v="1"/>
    <x v="13"/>
    <x v="13"/>
    <x v="0"/>
    <s v="Proyectos de Inversión"/>
    <x v="10"/>
    <x v="184"/>
    <x v="259"/>
    <x v="434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0"/>
    <x v="0"/>
    <m/>
    <n v="95093963"/>
    <n v="0"/>
    <n v="-1420828"/>
    <n v="93673135"/>
    <m/>
    <m/>
    <x v="1"/>
    <n v="0"/>
  </r>
  <r>
    <x v="1"/>
    <x v="13"/>
    <x v="13"/>
    <x v="0"/>
    <s v="Proyectos de Inversión"/>
    <x v="10"/>
    <x v="184"/>
    <x v="259"/>
    <x v="434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n v="1"/>
    <x v="0"/>
    <x v="0"/>
    <m/>
    <n v="55054399"/>
    <n v="0"/>
    <n v="-822585"/>
    <n v="54231814"/>
    <m/>
    <m/>
    <x v="1"/>
    <n v="0"/>
  </r>
  <r>
    <x v="1"/>
    <x v="13"/>
    <x v="13"/>
    <x v="0"/>
    <s v="Proyectos de Inversión"/>
    <x v="10"/>
    <x v="184"/>
    <x v="253"/>
    <x v="420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m/>
    <x v="0"/>
    <x v="0"/>
    <m/>
    <n v="9805612"/>
    <n v="0"/>
    <n v="-146509"/>
    <n v="9659103"/>
    <m/>
    <m/>
    <x v="1"/>
    <n v="0"/>
  </r>
  <r>
    <x v="1"/>
    <x v="13"/>
    <x v="13"/>
    <x v="0"/>
    <s v="Proyectos de Inversión"/>
    <x v="10"/>
    <x v="184"/>
    <x v="253"/>
    <x v="420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m/>
    <x v="0"/>
    <x v="0"/>
    <m/>
    <n v="13000000"/>
    <n v="0"/>
    <n v="-194237"/>
    <n v="12805763"/>
    <m/>
    <m/>
    <x v="1"/>
    <n v="0"/>
  </r>
  <r>
    <x v="1"/>
    <x v="13"/>
    <x v="13"/>
    <x v="0"/>
    <s v="Proyectos de Inversión"/>
    <x v="10"/>
    <x v="184"/>
    <x v="264"/>
    <x v="442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12094940"/>
    <n v="0"/>
    <n v="-180714"/>
    <n v="11914226"/>
    <n v="12094940"/>
    <m/>
    <x v="1"/>
    <n v="12094940"/>
  </r>
  <r>
    <x v="1"/>
    <x v="13"/>
    <x v="13"/>
    <x v="0"/>
    <s v="Proyectos de Inversión"/>
    <x v="10"/>
    <x v="184"/>
    <x v="272"/>
    <x v="453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400000"/>
    <n v="2000000"/>
    <n v="-5977"/>
    <n v="2394023"/>
    <n v="394023"/>
    <m/>
    <x v="1"/>
    <n v="394023"/>
  </r>
  <r>
    <x v="1"/>
    <x v="13"/>
    <x v="13"/>
    <x v="0"/>
    <s v="Proyectos de Inversión"/>
    <x v="10"/>
    <x v="184"/>
    <x v="256"/>
    <x v="429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n v="1"/>
    <x v="0"/>
    <x v="0"/>
    <m/>
    <n v="6000000"/>
    <n v="3400000"/>
    <n v="-89648"/>
    <n v="9310352"/>
    <n v="9311463"/>
    <m/>
    <x v="1"/>
    <n v="9311463"/>
  </r>
  <r>
    <x v="1"/>
    <x v="13"/>
    <x v="13"/>
    <x v="0"/>
    <s v="Proyectos de Inversión"/>
    <x v="10"/>
    <x v="184"/>
    <x v="270"/>
    <x v="450"/>
    <n v="2"/>
    <s v="Desarrollo Social"/>
    <n v="0"/>
    <s v="Educación"/>
    <n v="7"/>
    <x v="50"/>
    <x v="5"/>
    <x v="97"/>
    <n v="2"/>
    <s v="Gasto de capital"/>
    <x v="0"/>
    <x v="0"/>
    <x v="0"/>
    <x v="0"/>
    <x v="0"/>
    <x v="1"/>
    <x v="0"/>
    <m/>
    <x v="0"/>
    <x v="0"/>
    <m/>
    <m/>
    <n v="0"/>
    <n v="0"/>
    <m/>
    <n v="68700000"/>
    <m/>
    <x v="1"/>
    <n v="68700000"/>
  </r>
  <r>
    <x v="1"/>
    <x v="13"/>
    <x v="13"/>
    <x v="0"/>
    <s v="Proyectos de Inversión"/>
    <x v="10"/>
    <x v="184"/>
    <x v="279"/>
    <x v="468"/>
    <n v="2"/>
    <s v="Desarrollo Social"/>
    <n v="0"/>
    <s v="Educación"/>
    <n v="1"/>
    <x v="31"/>
    <x v="1"/>
    <x v="87"/>
    <n v="2"/>
    <s v="Gasto de capital"/>
    <x v="0"/>
    <x v="0"/>
    <x v="1"/>
    <x v="0"/>
    <x v="1"/>
    <x v="0"/>
    <x v="0"/>
    <m/>
    <x v="0"/>
    <x v="0"/>
    <m/>
    <n v="202166885"/>
    <n v="0"/>
    <n v="-3020638"/>
    <n v="199146247"/>
    <n v="198969801"/>
    <m/>
    <x v="1"/>
    <n v="198969801"/>
  </r>
  <r>
    <x v="1"/>
    <x v="13"/>
    <x v="13"/>
    <x v="0"/>
    <s v="Proyectos de Inversión"/>
    <x v="10"/>
    <x v="184"/>
    <x v="279"/>
    <x v="468"/>
    <n v="2"/>
    <s v="Desarrollo Social"/>
    <n v="0"/>
    <s v="Educación"/>
    <n v="1"/>
    <x v="31"/>
    <x v="8"/>
    <x v="90"/>
    <n v="2"/>
    <s v="Gasto de capital"/>
    <x v="0"/>
    <x v="0"/>
    <x v="0"/>
    <x v="0"/>
    <x v="1"/>
    <x v="0"/>
    <x v="0"/>
    <m/>
    <x v="0"/>
    <x v="0"/>
    <m/>
    <n v="630000000"/>
    <n v="0"/>
    <n v="-9413029"/>
    <n v="620586971"/>
    <n v="770218339"/>
    <m/>
    <x v="1"/>
    <n v="770218339"/>
  </r>
  <r>
    <x v="1"/>
    <x v="13"/>
    <x v="13"/>
    <x v="0"/>
    <s v="Proyectos de Inversión"/>
    <x v="10"/>
    <x v="184"/>
    <x v="269"/>
    <x v="448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7700160"/>
    <n v="0"/>
    <n v="-115050"/>
    <n v="7585110"/>
    <m/>
    <m/>
    <x v="1"/>
    <n v="0"/>
  </r>
  <r>
    <x v="1"/>
    <x v="13"/>
    <x v="13"/>
    <x v="0"/>
    <s v="Proyectos de Inversión"/>
    <x v="10"/>
    <x v="184"/>
    <x v="273"/>
    <x v="454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9193529"/>
    <n v="0"/>
    <n v="-137363"/>
    <n v="9056166"/>
    <m/>
    <m/>
    <x v="1"/>
    <n v="0"/>
  </r>
  <r>
    <x v="1"/>
    <x v="13"/>
    <x v="13"/>
    <x v="0"/>
    <s v="Proyectos de Inversión"/>
    <x v="10"/>
    <x v="184"/>
    <x v="274"/>
    <x v="455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2500000"/>
    <n v="0"/>
    <n v="-37353"/>
    <n v="2462647"/>
    <m/>
    <m/>
    <x v="1"/>
    <n v="0"/>
  </r>
  <r>
    <x v="1"/>
    <x v="13"/>
    <x v="13"/>
    <x v="0"/>
    <s v="Proyectos de Inversión"/>
    <x v="11"/>
    <x v="230"/>
    <x v="260"/>
    <x v="436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n v="1"/>
    <x v="0"/>
    <x v="0"/>
    <m/>
    <n v="98169291"/>
    <n v="10000000"/>
    <n v="-1466778"/>
    <n v="106702513"/>
    <n v="53169291"/>
    <m/>
    <x v="1"/>
    <n v="53169291"/>
  </r>
  <r>
    <x v="1"/>
    <x v="13"/>
    <x v="13"/>
    <x v="0"/>
    <s v="Proyectos de Inversión"/>
    <x v="11"/>
    <x v="230"/>
    <x v="262"/>
    <x v="440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m/>
    <m/>
    <m/>
    <m/>
    <n v="10000000"/>
    <m/>
    <x v="1"/>
    <n v="10000000"/>
  </r>
  <r>
    <x v="1"/>
    <x v="13"/>
    <x v="13"/>
    <x v="0"/>
    <s v="Proyectos de Inversión"/>
    <x v="11"/>
    <x v="230"/>
    <x v="251"/>
    <x v="414"/>
    <n v="3"/>
    <s v="Desarrollo Económico"/>
    <n v="7"/>
    <s v="Ciencia y Tecnología"/>
    <n v="1"/>
    <x v="33"/>
    <x v="14"/>
    <x v="89"/>
    <n v="2"/>
    <s v="Gasto de capital"/>
    <x v="0"/>
    <x v="0"/>
    <x v="0"/>
    <x v="0"/>
    <x v="0"/>
    <x v="0"/>
    <x v="0"/>
    <n v="1"/>
    <x v="0"/>
    <x v="0"/>
    <m/>
    <m/>
    <m/>
    <m/>
    <m/>
    <n v="4000000"/>
    <m/>
    <x v="1"/>
    <n v="4000000"/>
  </r>
  <r>
    <x v="1"/>
    <x v="13"/>
    <x v="13"/>
    <x v="0"/>
    <s v="Proyectos de Inversión"/>
    <x v="11"/>
    <x v="230"/>
    <x v="267"/>
    <x v="446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m/>
    <x v="0"/>
    <x v="0"/>
    <m/>
    <n v="22783062"/>
    <n v="0"/>
    <n v="-340409"/>
    <n v="22442653"/>
    <n v="140771634"/>
    <m/>
    <x v="1"/>
    <n v="140771634"/>
  </r>
  <r>
    <x v="1"/>
    <x v="13"/>
    <x v="13"/>
    <x v="0"/>
    <s v="Proyectos de Inversión"/>
    <x v="0"/>
    <x v="0"/>
    <x v="269"/>
    <x v="448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12175000"/>
    <n v="0"/>
    <n v="-181910"/>
    <n v="11993090"/>
    <m/>
    <m/>
    <x v="1"/>
    <n v="0"/>
  </r>
  <r>
    <x v="1"/>
    <x v="13"/>
    <x v="13"/>
    <x v="0"/>
    <s v="Proyectos de Inversión"/>
    <x v="25"/>
    <x v="186"/>
    <x v="275"/>
    <x v="456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2200349"/>
    <n v="0"/>
    <n v="-32876"/>
    <n v="2167473"/>
    <m/>
    <m/>
    <x v="1"/>
    <n v="0"/>
  </r>
  <r>
    <x v="1"/>
    <x v="13"/>
    <x v="13"/>
    <x v="0"/>
    <s v="Proyectos de Inversión"/>
    <x v="1"/>
    <x v="1"/>
    <x v="40"/>
    <x v="435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n v="63000000"/>
    <n v="0"/>
    <n v="-941303"/>
    <n v="62058697"/>
    <n v="62058697"/>
    <m/>
    <x v="1"/>
    <n v="62058697"/>
  </r>
  <r>
    <x v="1"/>
    <x v="13"/>
    <x v="13"/>
    <x v="0"/>
    <s v="Proyectos de Inversión"/>
    <x v="1"/>
    <x v="1"/>
    <x v="254"/>
    <x v="421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m/>
    <x v="0"/>
    <x v="0"/>
    <m/>
    <n v="8678336"/>
    <n v="0"/>
    <n v="-129666"/>
    <n v="8548670"/>
    <n v="23548670"/>
    <m/>
    <x v="1"/>
    <n v="23548670"/>
  </r>
  <r>
    <x v="1"/>
    <x v="13"/>
    <x v="13"/>
    <x v="0"/>
    <s v="Proyectos de Inversión"/>
    <x v="1"/>
    <x v="1"/>
    <x v="273"/>
    <x v="454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m/>
    <m/>
    <m/>
    <m/>
    <n v="9056166"/>
    <m/>
    <x v="1"/>
    <n v="9056166"/>
  </r>
  <r>
    <x v="1"/>
    <x v="13"/>
    <x v="13"/>
    <x v="0"/>
    <s v="Proyectos de Inversión"/>
    <x v="1"/>
    <x v="1"/>
    <x v="274"/>
    <x v="455"/>
    <n v="2"/>
    <s v="Desarrollo Social"/>
    <n v="0"/>
    <s v="Educación"/>
    <n v="6"/>
    <x v="49"/>
    <x v="9"/>
    <x v="96"/>
    <n v="2"/>
    <s v="Gasto de capital"/>
    <x v="0"/>
    <x v="0"/>
    <x v="0"/>
    <x v="0"/>
    <x v="0"/>
    <x v="0"/>
    <x v="0"/>
    <m/>
    <x v="0"/>
    <x v="0"/>
    <m/>
    <m/>
    <m/>
    <m/>
    <m/>
    <n v="7384000"/>
    <m/>
    <x v="1"/>
    <n v="7384000"/>
  </r>
  <r>
    <x v="1"/>
    <x v="13"/>
    <x v="13"/>
    <x v="0"/>
    <s v="Proyectos de Inversión"/>
    <x v="1"/>
    <x v="1"/>
    <x v="261"/>
    <x v="437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0"/>
    <x v="0"/>
    <m/>
    <n v="7096000"/>
    <n v="0"/>
    <n v="-106024"/>
    <n v="6989976"/>
    <n v="10096000"/>
    <m/>
    <x v="1"/>
    <n v="10096000"/>
  </r>
  <r>
    <x v="1"/>
    <x v="13"/>
    <x v="13"/>
    <x v="2"/>
    <s v="Apoyo al proceso presupuestario y para mejorar la eficiencia institucional"/>
    <x v="2"/>
    <x v="34"/>
    <x v="61"/>
    <x v="39"/>
    <n v="2"/>
    <s v="Desarrollo Social"/>
    <n v="0"/>
    <s v="Educación"/>
    <n v="9"/>
    <x v="47"/>
    <x v="3"/>
    <x v="12"/>
    <n v="1"/>
    <s v="Gasto corriente"/>
    <x v="0"/>
    <x v="1"/>
    <x v="0"/>
    <x v="0"/>
    <x v="0"/>
    <x v="0"/>
    <x v="0"/>
    <m/>
    <x v="0"/>
    <x v="0"/>
    <m/>
    <n v="19692891"/>
    <n v="0"/>
    <n v="0"/>
    <n v="19692891"/>
    <n v="112876906"/>
    <m/>
    <x v="1"/>
    <n v="112876906"/>
  </r>
  <r>
    <x v="1"/>
    <x v="13"/>
    <x v="13"/>
    <x v="2"/>
    <s v="Apoyo al proceso presupuestario y para mejorar la eficiencia institucional"/>
    <x v="2"/>
    <x v="34"/>
    <x v="61"/>
    <x v="39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m/>
    <x v="0"/>
    <x v="0"/>
    <m/>
    <n v="1618530976"/>
    <n v="0"/>
    <n v="-24182937"/>
    <n v="1594348039"/>
    <n v="3501902142"/>
    <m/>
    <x v="1"/>
    <n v="3501902142"/>
  </r>
  <r>
    <x v="1"/>
    <x v="13"/>
    <x v="13"/>
    <x v="2"/>
    <s v="Apoyo al proceso presupuestario y para mejorar la eficiencia institucional"/>
    <x v="2"/>
    <x v="34"/>
    <x v="61"/>
    <x v="39"/>
    <n v="2"/>
    <s v="Desarrollo Social"/>
    <n v="0"/>
    <s v="Educación"/>
    <n v="9"/>
    <x v="47"/>
    <x v="3"/>
    <x v="12"/>
    <n v="2"/>
    <s v="Gasto de capital"/>
    <x v="0"/>
    <x v="0"/>
    <x v="0"/>
    <x v="0"/>
    <x v="0"/>
    <x v="0"/>
    <x v="0"/>
    <m/>
    <x v="0"/>
    <x v="0"/>
    <m/>
    <n v="1116456"/>
    <n v="0"/>
    <n v="-16681"/>
    <n v="1099775"/>
    <n v="1113903"/>
    <m/>
    <x v="1"/>
    <n v="1113903"/>
  </r>
  <r>
    <x v="1"/>
    <x v="13"/>
    <x v="13"/>
    <x v="2"/>
    <s v="Apoyo al proceso presupuestario y para mejorar la eficiencia institucional"/>
    <x v="2"/>
    <x v="34"/>
    <x v="62"/>
    <x v="469"/>
    <n v="2"/>
    <s v="Desarrollo Social"/>
    <n v="0"/>
    <s v="Educación"/>
    <n v="9"/>
    <x v="47"/>
    <x v="3"/>
    <x v="12"/>
    <n v="1"/>
    <s v="Gasto corriente"/>
    <x v="0"/>
    <x v="1"/>
    <x v="0"/>
    <x v="0"/>
    <x v="0"/>
    <x v="0"/>
    <x v="0"/>
    <m/>
    <x v="0"/>
    <x v="0"/>
    <m/>
    <n v="7059526"/>
    <n v="0"/>
    <n v="0"/>
    <n v="7059526"/>
    <n v="7341907"/>
    <m/>
    <x v="1"/>
    <n v="7341907"/>
  </r>
  <r>
    <x v="1"/>
    <x v="13"/>
    <x v="13"/>
    <x v="2"/>
    <s v="Apoyo al proceso presupuestario y para mejorar la eficiencia institucional"/>
    <x v="2"/>
    <x v="34"/>
    <x v="62"/>
    <x v="469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m/>
    <x v="0"/>
    <x v="0"/>
    <m/>
    <n v="160521444"/>
    <n v="0"/>
    <n v="-2398403"/>
    <n v="158123041"/>
    <n v="144052276"/>
    <m/>
    <x v="1"/>
    <n v="144052276"/>
  </r>
  <r>
    <x v="1"/>
    <x v="13"/>
    <x v="13"/>
    <x v="2"/>
    <s v="Apoyo al proceso presupuestario y para mejorar la eficiencia institucional"/>
    <x v="2"/>
    <x v="34"/>
    <x v="63"/>
    <x v="418"/>
    <n v="2"/>
    <s v="Desarrollo Social"/>
    <n v="0"/>
    <s v="Educación"/>
    <n v="9"/>
    <x v="47"/>
    <x v="3"/>
    <x v="12"/>
    <n v="1"/>
    <s v="Gasto corriente"/>
    <x v="0"/>
    <x v="1"/>
    <x v="0"/>
    <x v="0"/>
    <x v="0"/>
    <x v="0"/>
    <x v="0"/>
    <m/>
    <x v="0"/>
    <x v="0"/>
    <m/>
    <n v="5854173"/>
    <n v="0"/>
    <n v="0"/>
    <n v="5854173"/>
    <n v="6088340"/>
    <m/>
    <x v="1"/>
    <n v="6088340"/>
  </r>
  <r>
    <x v="1"/>
    <x v="13"/>
    <x v="13"/>
    <x v="2"/>
    <s v="Apoyo al proceso presupuestario y para mejorar la eficiencia institucional"/>
    <x v="2"/>
    <x v="34"/>
    <x v="63"/>
    <x v="418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m/>
    <x v="0"/>
    <x v="0"/>
    <m/>
    <n v="122644339"/>
    <n v="0"/>
    <n v="-1832466"/>
    <n v="120811873"/>
    <n v="122950247"/>
    <m/>
    <x v="1"/>
    <n v="122950247"/>
  </r>
  <r>
    <x v="1"/>
    <x v="13"/>
    <x v="13"/>
    <x v="2"/>
    <s v="Apoyo al proceso presupuestario y para mejorar la eficiencia institucional"/>
    <x v="2"/>
    <x v="34"/>
    <x v="64"/>
    <x v="470"/>
    <n v="2"/>
    <s v="Desarrollo Social"/>
    <n v="0"/>
    <s v="Educación"/>
    <n v="9"/>
    <x v="47"/>
    <x v="3"/>
    <x v="12"/>
    <n v="1"/>
    <s v="Gasto corriente"/>
    <x v="0"/>
    <x v="1"/>
    <x v="0"/>
    <x v="0"/>
    <x v="0"/>
    <x v="0"/>
    <x v="0"/>
    <m/>
    <x v="0"/>
    <x v="0"/>
    <m/>
    <n v="13136272"/>
    <n v="0"/>
    <n v="0"/>
    <n v="13136272"/>
    <n v="13661723"/>
    <m/>
    <x v="1"/>
    <n v="13661723"/>
  </r>
  <r>
    <x v="1"/>
    <x v="13"/>
    <x v="13"/>
    <x v="2"/>
    <s v="Apoyo al proceso presupuestario y para mejorar la eficiencia institucional"/>
    <x v="2"/>
    <x v="34"/>
    <x v="64"/>
    <x v="470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m/>
    <x v="0"/>
    <x v="0"/>
    <m/>
    <n v="2038743239"/>
    <n v="0"/>
    <n v="-30461494"/>
    <n v="2008281745"/>
    <n v="2293325821"/>
    <m/>
    <x v="1"/>
    <n v="2293325821"/>
  </r>
  <r>
    <x v="1"/>
    <x v="13"/>
    <x v="13"/>
    <x v="2"/>
    <s v="Apoyo al proceso presupuestario y para mejorar la eficiencia institucional"/>
    <x v="2"/>
    <x v="34"/>
    <x v="64"/>
    <x v="470"/>
    <n v="2"/>
    <s v="Desarrollo Social"/>
    <n v="0"/>
    <s v="Educación"/>
    <n v="9"/>
    <x v="47"/>
    <x v="3"/>
    <x v="12"/>
    <n v="2"/>
    <s v="Gasto de capital"/>
    <x v="0"/>
    <x v="0"/>
    <x v="0"/>
    <x v="0"/>
    <x v="0"/>
    <x v="0"/>
    <x v="0"/>
    <m/>
    <x v="0"/>
    <x v="0"/>
    <m/>
    <n v="5833629"/>
    <n v="0"/>
    <n v="-87162"/>
    <n v="5746467"/>
    <n v="5746467"/>
    <m/>
    <x v="1"/>
    <n v="5746467"/>
  </r>
  <r>
    <x v="1"/>
    <x v="13"/>
    <x v="13"/>
    <x v="2"/>
    <s v="Apoyo al proceso presupuestario y para mejorar la eficiencia institucional"/>
    <x v="2"/>
    <x v="34"/>
    <x v="87"/>
    <x v="471"/>
    <n v="2"/>
    <s v="Desarrollo Social"/>
    <n v="0"/>
    <s v="Educación"/>
    <n v="9"/>
    <x v="47"/>
    <x v="3"/>
    <x v="12"/>
    <n v="1"/>
    <s v="Gasto corriente"/>
    <x v="0"/>
    <x v="1"/>
    <x v="0"/>
    <x v="0"/>
    <x v="0"/>
    <x v="0"/>
    <x v="0"/>
    <m/>
    <x v="0"/>
    <x v="0"/>
    <m/>
    <n v="4304807"/>
    <n v="0"/>
    <n v="0"/>
    <n v="4304807"/>
    <n v="4476999"/>
    <m/>
    <x v="1"/>
    <n v="4476999"/>
  </r>
  <r>
    <x v="1"/>
    <x v="13"/>
    <x v="13"/>
    <x v="2"/>
    <s v="Apoyo al proceso presupuestario y para mejorar la eficiencia institucional"/>
    <x v="2"/>
    <x v="34"/>
    <x v="87"/>
    <x v="471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m/>
    <x v="0"/>
    <x v="0"/>
    <m/>
    <n v="76375544"/>
    <n v="0"/>
    <n v="-1141149"/>
    <n v="75234395"/>
    <n v="69639616"/>
    <m/>
    <x v="1"/>
    <n v="69639616"/>
  </r>
  <r>
    <x v="1"/>
    <x v="13"/>
    <x v="13"/>
    <x v="2"/>
    <s v="Apoyo al proceso presupuestario y para mejorar la eficiencia institucional"/>
    <x v="2"/>
    <x v="34"/>
    <x v="87"/>
    <x v="471"/>
    <n v="2"/>
    <s v="Desarrollo Social"/>
    <n v="0"/>
    <s v="Educación"/>
    <n v="9"/>
    <x v="47"/>
    <x v="3"/>
    <x v="12"/>
    <n v="2"/>
    <s v="Gasto de capital"/>
    <x v="0"/>
    <x v="0"/>
    <x v="0"/>
    <x v="0"/>
    <x v="0"/>
    <x v="0"/>
    <x v="0"/>
    <m/>
    <x v="0"/>
    <x v="0"/>
    <m/>
    <m/>
    <m/>
    <m/>
    <m/>
    <n v="305717"/>
    <m/>
    <x v="1"/>
    <n v="305717"/>
  </r>
  <r>
    <x v="1"/>
    <x v="13"/>
    <x v="13"/>
    <x v="2"/>
    <s v="Apoyo al proceso presupuestario y para mejorar la eficiencia institucional"/>
    <x v="2"/>
    <x v="34"/>
    <x v="280"/>
    <x v="472"/>
    <n v="2"/>
    <s v="Desarrollo Social"/>
    <n v="0"/>
    <s v="Educación"/>
    <n v="8"/>
    <x v="51"/>
    <x v="3"/>
    <x v="12"/>
    <n v="1"/>
    <s v="Gasto corriente"/>
    <x v="0"/>
    <x v="1"/>
    <x v="0"/>
    <x v="0"/>
    <x v="0"/>
    <x v="0"/>
    <x v="0"/>
    <m/>
    <x v="0"/>
    <x v="0"/>
    <m/>
    <n v="739922"/>
    <n v="0"/>
    <n v="0"/>
    <n v="739922"/>
    <n v="769519"/>
    <m/>
    <x v="1"/>
    <n v="769519"/>
  </r>
  <r>
    <x v="1"/>
    <x v="13"/>
    <x v="13"/>
    <x v="2"/>
    <s v="Apoyo al proceso presupuestario y para mejorar la eficiencia institucional"/>
    <x v="2"/>
    <x v="34"/>
    <x v="280"/>
    <x v="472"/>
    <n v="2"/>
    <s v="Desarrollo Social"/>
    <n v="0"/>
    <s v="Educación"/>
    <n v="8"/>
    <x v="51"/>
    <x v="3"/>
    <x v="12"/>
    <n v="1"/>
    <s v="Gasto corriente"/>
    <x v="0"/>
    <x v="0"/>
    <x v="0"/>
    <x v="0"/>
    <x v="0"/>
    <x v="0"/>
    <x v="0"/>
    <m/>
    <x v="0"/>
    <x v="0"/>
    <m/>
    <n v="19972219"/>
    <n v="0"/>
    <n v="-298412"/>
    <n v="19673807"/>
    <n v="17810371"/>
    <m/>
    <x v="1"/>
    <n v="17810371"/>
  </r>
  <r>
    <x v="1"/>
    <x v="13"/>
    <x v="13"/>
    <x v="2"/>
    <s v="Apoyo al proceso presupuestario y para mejorar la eficiencia institucional"/>
    <x v="2"/>
    <x v="34"/>
    <x v="280"/>
    <x v="472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m/>
    <x v="0"/>
    <x v="0"/>
    <m/>
    <n v="4274983"/>
    <n v="0"/>
    <n v="-63875"/>
    <n v="4211108"/>
    <n v="3813630"/>
    <m/>
    <x v="1"/>
    <n v="3813630"/>
  </r>
  <r>
    <x v="1"/>
    <x v="13"/>
    <x v="13"/>
    <x v="2"/>
    <s v="Apoyo al proceso presupuestario y para mejorar la eficiencia institucional"/>
    <x v="2"/>
    <x v="34"/>
    <x v="268"/>
    <x v="447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2920053"/>
    <n v="0"/>
    <n v="-43629"/>
    <n v="2876424"/>
    <n v="2531253"/>
    <m/>
    <x v="1"/>
    <n v="2531253"/>
  </r>
  <r>
    <x v="1"/>
    <x v="13"/>
    <x v="13"/>
    <x v="2"/>
    <s v="Apoyo al proceso presupuestario y para mejorar la eficiencia institucional"/>
    <x v="2"/>
    <x v="34"/>
    <x v="57"/>
    <x v="433"/>
    <n v="2"/>
    <s v="Desarrollo Social"/>
    <n v="0"/>
    <s v="Educación"/>
    <n v="8"/>
    <x v="51"/>
    <x v="3"/>
    <x v="12"/>
    <n v="1"/>
    <s v="Gasto corriente"/>
    <x v="0"/>
    <x v="1"/>
    <x v="0"/>
    <x v="0"/>
    <x v="0"/>
    <x v="0"/>
    <x v="0"/>
    <n v="1"/>
    <x v="0"/>
    <x v="0"/>
    <m/>
    <m/>
    <m/>
    <m/>
    <m/>
    <n v="1481370"/>
    <m/>
    <x v="1"/>
    <n v="1481370"/>
  </r>
  <r>
    <x v="1"/>
    <x v="13"/>
    <x v="13"/>
    <x v="2"/>
    <s v="Apoyo al proceso presupuestario y para mejorar la eficiencia institucional"/>
    <x v="2"/>
    <x v="34"/>
    <x v="57"/>
    <x v="433"/>
    <n v="2"/>
    <s v="Desarrollo Social"/>
    <n v="0"/>
    <s v="Educación"/>
    <n v="8"/>
    <x v="51"/>
    <x v="3"/>
    <x v="12"/>
    <n v="1"/>
    <s v="Gasto corriente"/>
    <x v="0"/>
    <x v="0"/>
    <x v="0"/>
    <x v="0"/>
    <x v="0"/>
    <x v="0"/>
    <x v="0"/>
    <n v="1"/>
    <x v="0"/>
    <x v="0"/>
    <m/>
    <m/>
    <m/>
    <m/>
    <m/>
    <n v="43457033"/>
    <m/>
    <x v="1"/>
    <n v="43457033"/>
  </r>
  <r>
    <x v="1"/>
    <x v="13"/>
    <x v="13"/>
    <x v="2"/>
    <s v="Apoyo al proceso presupuestario y para mejorar la eficiencia institucional"/>
    <x v="2"/>
    <x v="34"/>
    <x v="31"/>
    <x v="428"/>
    <n v="2"/>
    <s v="Desarrollo Social"/>
    <n v="0"/>
    <s v="Educación"/>
    <n v="8"/>
    <x v="51"/>
    <x v="3"/>
    <x v="12"/>
    <n v="1"/>
    <s v="Gasto corriente"/>
    <x v="0"/>
    <x v="1"/>
    <x v="0"/>
    <x v="0"/>
    <x v="0"/>
    <x v="0"/>
    <x v="0"/>
    <n v="1"/>
    <x v="0"/>
    <x v="0"/>
    <m/>
    <n v="12699975"/>
    <n v="0"/>
    <n v="0"/>
    <n v="12699975"/>
    <m/>
    <m/>
    <x v="1"/>
    <n v="0"/>
  </r>
  <r>
    <x v="1"/>
    <x v="13"/>
    <x v="13"/>
    <x v="2"/>
    <s v="Apoyo al proceso presupuestario y para mejorar la eficiencia institucional"/>
    <x v="2"/>
    <x v="34"/>
    <x v="31"/>
    <x v="428"/>
    <n v="2"/>
    <s v="Desarrollo Social"/>
    <n v="0"/>
    <s v="Educación"/>
    <n v="8"/>
    <x v="51"/>
    <x v="3"/>
    <x v="12"/>
    <n v="1"/>
    <s v="Gasto corriente"/>
    <x v="0"/>
    <x v="0"/>
    <x v="0"/>
    <x v="0"/>
    <x v="0"/>
    <x v="0"/>
    <x v="0"/>
    <n v="1"/>
    <x v="0"/>
    <x v="0"/>
    <m/>
    <n v="447550041"/>
    <n v="0"/>
    <n v="-6686984"/>
    <n v="440863057"/>
    <n v="240141218"/>
    <m/>
    <x v="1"/>
    <n v="240141218"/>
  </r>
  <r>
    <x v="1"/>
    <x v="13"/>
    <x v="13"/>
    <x v="2"/>
    <s v="Apoyo al proceso presupuestario y para mejorar la eficiencia institucional"/>
    <x v="2"/>
    <x v="34"/>
    <x v="264"/>
    <x v="442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27335340"/>
    <n v="0"/>
    <n v="-408426"/>
    <n v="26926914"/>
    <n v="23695683"/>
    <m/>
    <x v="1"/>
    <n v="23695683"/>
  </r>
  <r>
    <x v="1"/>
    <x v="13"/>
    <x v="13"/>
    <x v="2"/>
    <s v="Apoyo al proceso presupuestario y para mejorar la eficiencia institucional"/>
    <x v="2"/>
    <x v="34"/>
    <x v="264"/>
    <x v="442"/>
    <n v="2"/>
    <s v="Desarrollo Social"/>
    <n v="0"/>
    <s v="Educación"/>
    <n v="6"/>
    <x v="49"/>
    <x v="3"/>
    <x v="12"/>
    <n v="2"/>
    <s v="Gasto de capital"/>
    <x v="0"/>
    <x v="0"/>
    <x v="0"/>
    <x v="0"/>
    <x v="0"/>
    <x v="0"/>
    <x v="0"/>
    <m/>
    <x v="0"/>
    <x v="0"/>
    <m/>
    <n v="134905"/>
    <n v="0"/>
    <n v="-2016"/>
    <n v="132889"/>
    <n v="134905"/>
    <m/>
    <x v="1"/>
    <n v="134905"/>
  </r>
  <r>
    <x v="1"/>
    <x v="13"/>
    <x v="13"/>
    <x v="2"/>
    <s v="Apoyo al proceso presupuestario y para mejorar la eficiencia institucional"/>
    <x v="2"/>
    <x v="34"/>
    <x v="40"/>
    <x v="435"/>
    <n v="2"/>
    <s v="Desarrollo Social"/>
    <n v="0"/>
    <s v="Educación"/>
    <n v="6"/>
    <x v="49"/>
    <x v="3"/>
    <x v="12"/>
    <n v="1"/>
    <s v="Gasto corriente"/>
    <x v="0"/>
    <x v="1"/>
    <x v="0"/>
    <x v="0"/>
    <x v="0"/>
    <x v="0"/>
    <x v="0"/>
    <m/>
    <x v="0"/>
    <x v="0"/>
    <m/>
    <n v="20279418"/>
    <n v="0"/>
    <n v="0"/>
    <n v="20279418"/>
    <n v="20211072"/>
    <m/>
    <x v="1"/>
    <n v="20211072"/>
  </r>
  <r>
    <x v="1"/>
    <x v="13"/>
    <x v="13"/>
    <x v="2"/>
    <s v="Apoyo al proceso presupuestario y para mejorar la eficiencia institucional"/>
    <x v="2"/>
    <x v="34"/>
    <x v="40"/>
    <x v="435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370944604"/>
    <n v="0"/>
    <n v="-5542401"/>
    <n v="365402203"/>
    <n v="308152597"/>
    <m/>
    <x v="1"/>
    <n v="308152597"/>
  </r>
  <r>
    <x v="1"/>
    <x v="13"/>
    <x v="13"/>
    <x v="2"/>
    <s v="Apoyo al proceso presupuestario y para mejorar la eficiencia institucional"/>
    <x v="2"/>
    <x v="34"/>
    <x v="92"/>
    <x v="438"/>
    <n v="2"/>
    <s v="Desarrollo Social"/>
    <n v="0"/>
    <s v="Educación"/>
    <n v="6"/>
    <x v="49"/>
    <x v="3"/>
    <x v="12"/>
    <n v="1"/>
    <s v="Gasto corriente"/>
    <x v="0"/>
    <x v="1"/>
    <x v="0"/>
    <x v="0"/>
    <x v="0"/>
    <x v="0"/>
    <x v="0"/>
    <m/>
    <x v="0"/>
    <x v="0"/>
    <m/>
    <n v="93632905"/>
    <n v="0"/>
    <n v="0"/>
    <n v="93632905"/>
    <n v="86997526"/>
    <m/>
    <x v="1"/>
    <n v="86997526"/>
  </r>
  <r>
    <x v="1"/>
    <x v="13"/>
    <x v="13"/>
    <x v="2"/>
    <s v="Apoyo al proceso presupuestario y para mejorar la eficiencia institucional"/>
    <x v="2"/>
    <x v="34"/>
    <x v="92"/>
    <x v="438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467786504"/>
    <n v="0"/>
    <n v="-6989343"/>
    <n v="460797161"/>
    <n v="390561696"/>
    <m/>
    <x v="1"/>
    <n v="390561696"/>
  </r>
  <r>
    <x v="1"/>
    <x v="13"/>
    <x v="13"/>
    <x v="2"/>
    <s v="Apoyo al proceso presupuestario y para mejorar la eficiencia institucional"/>
    <x v="2"/>
    <x v="34"/>
    <x v="36"/>
    <x v="443"/>
    <n v="2"/>
    <s v="Desarrollo Social"/>
    <n v="0"/>
    <s v="Educación"/>
    <n v="6"/>
    <x v="49"/>
    <x v="3"/>
    <x v="12"/>
    <n v="1"/>
    <s v="Gasto corriente"/>
    <x v="0"/>
    <x v="1"/>
    <x v="0"/>
    <x v="0"/>
    <x v="0"/>
    <x v="0"/>
    <x v="0"/>
    <m/>
    <x v="0"/>
    <x v="0"/>
    <m/>
    <n v="2863907"/>
    <n v="0"/>
    <n v="0"/>
    <n v="2863907"/>
    <n v="2978463"/>
    <m/>
    <x v="1"/>
    <n v="2978463"/>
  </r>
  <r>
    <x v="1"/>
    <x v="13"/>
    <x v="13"/>
    <x v="2"/>
    <s v="Apoyo al proceso presupuestario y para mejorar la eficiencia institucional"/>
    <x v="2"/>
    <x v="34"/>
    <x v="36"/>
    <x v="443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47609454"/>
    <n v="0"/>
    <n v="-711344"/>
    <n v="46898110"/>
    <n v="40782684"/>
    <m/>
    <x v="1"/>
    <n v="40782684"/>
  </r>
  <r>
    <x v="1"/>
    <x v="13"/>
    <x v="13"/>
    <x v="2"/>
    <s v="Apoyo al proceso presupuestario y para mejorar la eficiencia institucional"/>
    <x v="2"/>
    <x v="34"/>
    <x v="49"/>
    <x v="439"/>
    <n v="2"/>
    <s v="Desarrollo Social"/>
    <n v="0"/>
    <s v="Educación"/>
    <n v="6"/>
    <x v="49"/>
    <x v="3"/>
    <x v="12"/>
    <n v="1"/>
    <s v="Gasto corriente"/>
    <x v="0"/>
    <x v="1"/>
    <x v="0"/>
    <x v="0"/>
    <x v="0"/>
    <x v="0"/>
    <x v="0"/>
    <m/>
    <x v="0"/>
    <x v="0"/>
    <m/>
    <n v="40201506"/>
    <n v="0"/>
    <n v="0"/>
    <n v="40201506"/>
    <n v="41809566"/>
    <m/>
    <x v="1"/>
    <n v="41809566"/>
  </r>
  <r>
    <x v="1"/>
    <x v="13"/>
    <x v="13"/>
    <x v="2"/>
    <s v="Apoyo al proceso presupuestario y para mejorar la eficiencia institucional"/>
    <x v="2"/>
    <x v="34"/>
    <x v="49"/>
    <x v="439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1063066668"/>
    <n v="0"/>
    <n v="-15883612"/>
    <n v="1047183056"/>
    <n v="905692373"/>
    <m/>
    <x v="1"/>
    <n v="905692373"/>
  </r>
  <r>
    <x v="1"/>
    <x v="13"/>
    <x v="13"/>
    <x v="2"/>
    <s v="Apoyo al proceso presupuestario y para mejorar la eficiencia institucional"/>
    <x v="2"/>
    <x v="34"/>
    <x v="49"/>
    <x v="439"/>
    <n v="2"/>
    <s v="Desarrollo Social"/>
    <n v="0"/>
    <s v="Educación"/>
    <n v="6"/>
    <x v="49"/>
    <x v="3"/>
    <x v="12"/>
    <n v="2"/>
    <s v="Gasto de capital"/>
    <x v="0"/>
    <x v="0"/>
    <x v="0"/>
    <x v="0"/>
    <x v="0"/>
    <x v="0"/>
    <x v="0"/>
    <m/>
    <x v="0"/>
    <x v="0"/>
    <m/>
    <n v="43119176"/>
    <n v="0"/>
    <n v="-644257"/>
    <n v="42474919"/>
    <n v="39536264"/>
    <m/>
    <x v="1"/>
    <n v="39536264"/>
  </r>
  <r>
    <x v="1"/>
    <x v="13"/>
    <x v="13"/>
    <x v="2"/>
    <s v="Apoyo al proceso presupuestario y para mejorar la eficiencia institucional"/>
    <x v="2"/>
    <x v="34"/>
    <x v="30"/>
    <x v="459"/>
    <n v="2"/>
    <s v="Desarrollo Social"/>
    <n v="0"/>
    <s v="Educación"/>
    <n v="6"/>
    <x v="49"/>
    <x v="3"/>
    <x v="12"/>
    <n v="1"/>
    <s v="Gasto corriente"/>
    <x v="0"/>
    <x v="1"/>
    <x v="0"/>
    <x v="0"/>
    <x v="0"/>
    <x v="0"/>
    <x v="0"/>
    <m/>
    <x v="0"/>
    <x v="0"/>
    <m/>
    <n v="2385625"/>
    <n v="0"/>
    <n v="0"/>
    <n v="2385625"/>
    <n v="2481050"/>
    <m/>
    <x v="1"/>
    <n v="2481050"/>
  </r>
  <r>
    <x v="1"/>
    <x v="13"/>
    <x v="13"/>
    <x v="2"/>
    <s v="Apoyo al proceso presupuestario y para mejorar la eficiencia institucional"/>
    <x v="2"/>
    <x v="34"/>
    <x v="30"/>
    <x v="459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37676824"/>
    <n v="0"/>
    <n v="-562942"/>
    <n v="37113882"/>
    <n v="32333632"/>
    <m/>
    <x v="1"/>
    <n v="32333632"/>
  </r>
  <r>
    <x v="1"/>
    <x v="13"/>
    <x v="13"/>
    <x v="2"/>
    <s v="Apoyo al proceso presupuestario y para mejorar la eficiencia institucional"/>
    <x v="2"/>
    <x v="34"/>
    <x v="30"/>
    <x v="459"/>
    <n v="2"/>
    <s v="Desarrollo Social"/>
    <n v="0"/>
    <s v="Educación"/>
    <n v="6"/>
    <x v="49"/>
    <x v="3"/>
    <x v="12"/>
    <n v="2"/>
    <s v="Gasto de capital"/>
    <x v="0"/>
    <x v="0"/>
    <x v="0"/>
    <x v="0"/>
    <x v="0"/>
    <x v="0"/>
    <x v="0"/>
    <m/>
    <x v="0"/>
    <x v="0"/>
    <m/>
    <n v="180165"/>
    <n v="0"/>
    <n v="-2693"/>
    <n v="177472"/>
    <m/>
    <m/>
    <x v="1"/>
    <n v="0"/>
  </r>
  <r>
    <x v="1"/>
    <x v="13"/>
    <x v="13"/>
    <x v="2"/>
    <s v="Apoyo al proceso presupuestario y para mejorar la eficiencia institucional"/>
    <x v="2"/>
    <x v="34"/>
    <x v="272"/>
    <x v="453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322678"/>
    <n v="0"/>
    <n v="-4821"/>
    <n v="317857"/>
    <n v="279714"/>
    <m/>
    <x v="1"/>
    <n v="279714"/>
  </r>
  <r>
    <x v="1"/>
    <x v="13"/>
    <x v="13"/>
    <x v="2"/>
    <s v="Apoyo al proceso presupuestario y para mejorar la eficiencia institucional"/>
    <x v="2"/>
    <x v="34"/>
    <x v="256"/>
    <x v="429"/>
    <n v="2"/>
    <s v="Desarrollo Social"/>
    <n v="0"/>
    <s v="Educación"/>
    <n v="8"/>
    <x v="51"/>
    <x v="3"/>
    <x v="12"/>
    <n v="1"/>
    <s v="Gasto corriente"/>
    <x v="0"/>
    <x v="1"/>
    <x v="0"/>
    <x v="0"/>
    <x v="0"/>
    <x v="0"/>
    <x v="0"/>
    <n v="1"/>
    <x v="0"/>
    <x v="0"/>
    <m/>
    <n v="1109780"/>
    <n v="0"/>
    <n v="0"/>
    <n v="1109780"/>
    <n v="250203"/>
    <m/>
    <x v="1"/>
    <n v="250203"/>
  </r>
  <r>
    <x v="1"/>
    <x v="13"/>
    <x v="13"/>
    <x v="2"/>
    <s v="Apoyo al proceso presupuestario y para mejorar la eficiencia institucional"/>
    <x v="2"/>
    <x v="34"/>
    <x v="256"/>
    <x v="429"/>
    <n v="2"/>
    <s v="Desarrollo Social"/>
    <n v="0"/>
    <s v="Educación"/>
    <n v="8"/>
    <x v="51"/>
    <x v="3"/>
    <x v="12"/>
    <n v="1"/>
    <s v="Gasto corriente"/>
    <x v="0"/>
    <x v="0"/>
    <x v="0"/>
    <x v="0"/>
    <x v="0"/>
    <x v="0"/>
    <x v="0"/>
    <n v="1"/>
    <x v="0"/>
    <x v="0"/>
    <m/>
    <n v="14540419"/>
    <n v="0"/>
    <n v="-217254"/>
    <n v="14323165"/>
    <n v="8626999"/>
    <m/>
    <x v="1"/>
    <n v="8626999"/>
  </r>
  <r>
    <x v="1"/>
    <x v="13"/>
    <x v="13"/>
    <x v="2"/>
    <s v="Apoyo al proceso presupuestario y para mejorar la eficiencia institucional"/>
    <x v="2"/>
    <x v="34"/>
    <x v="256"/>
    <x v="429"/>
    <n v="2"/>
    <s v="Desarrollo Social"/>
    <n v="0"/>
    <s v="Educación"/>
    <n v="8"/>
    <x v="51"/>
    <x v="3"/>
    <x v="12"/>
    <n v="2"/>
    <s v="Gasto de capital"/>
    <x v="0"/>
    <x v="0"/>
    <x v="0"/>
    <x v="0"/>
    <x v="0"/>
    <x v="0"/>
    <x v="0"/>
    <n v="1"/>
    <x v="0"/>
    <x v="0"/>
    <m/>
    <n v="166135"/>
    <n v="0"/>
    <n v="-2482"/>
    <n v="163653"/>
    <n v="865640"/>
    <m/>
    <x v="1"/>
    <n v="865640"/>
  </r>
  <r>
    <x v="1"/>
    <x v="13"/>
    <x v="13"/>
    <x v="2"/>
    <s v="Apoyo al proceso presupuestario y para mejorar la eficiencia institucional"/>
    <x v="2"/>
    <x v="34"/>
    <x v="260"/>
    <x v="436"/>
    <n v="2"/>
    <s v="Desarrollo Social"/>
    <n v="0"/>
    <s v="Educación"/>
    <n v="8"/>
    <x v="51"/>
    <x v="3"/>
    <x v="12"/>
    <n v="1"/>
    <s v="Gasto corriente"/>
    <x v="0"/>
    <x v="1"/>
    <x v="0"/>
    <x v="1"/>
    <x v="0"/>
    <x v="0"/>
    <x v="0"/>
    <n v="1"/>
    <x v="0"/>
    <x v="0"/>
    <m/>
    <n v="872008"/>
    <n v="0"/>
    <n v="0"/>
    <n v="872008"/>
    <n v="833815"/>
    <m/>
    <x v="1"/>
    <n v="833815"/>
  </r>
  <r>
    <x v="1"/>
    <x v="13"/>
    <x v="13"/>
    <x v="2"/>
    <s v="Apoyo al proceso presupuestario y para mejorar la eficiencia institucional"/>
    <x v="2"/>
    <x v="34"/>
    <x v="260"/>
    <x v="436"/>
    <n v="2"/>
    <s v="Desarrollo Social"/>
    <n v="0"/>
    <s v="Educación"/>
    <n v="8"/>
    <x v="51"/>
    <x v="3"/>
    <x v="12"/>
    <n v="1"/>
    <s v="Gasto corriente"/>
    <x v="0"/>
    <x v="0"/>
    <x v="0"/>
    <x v="1"/>
    <x v="0"/>
    <x v="0"/>
    <x v="0"/>
    <n v="1"/>
    <x v="0"/>
    <x v="0"/>
    <m/>
    <n v="19931744"/>
    <n v="0"/>
    <n v="-297806"/>
    <n v="19633938"/>
    <n v="17010805"/>
    <m/>
    <x v="1"/>
    <n v="17010805"/>
  </r>
  <r>
    <x v="1"/>
    <x v="13"/>
    <x v="13"/>
    <x v="2"/>
    <s v="Apoyo al proceso presupuestario y para mejorar la eficiencia institucional"/>
    <x v="2"/>
    <x v="34"/>
    <x v="254"/>
    <x v="421"/>
    <n v="2"/>
    <s v="Desarrollo Social"/>
    <n v="0"/>
    <s v="Educación"/>
    <n v="2"/>
    <x v="28"/>
    <x v="3"/>
    <x v="12"/>
    <n v="1"/>
    <s v="Gasto corriente"/>
    <x v="0"/>
    <x v="1"/>
    <x v="0"/>
    <x v="0"/>
    <x v="0"/>
    <x v="0"/>
    <x v="0"/>
    <m/>
    <x v="0"/>
    <x v="0"/>
    <m/>
    <n v="6496412"/>
    <n v="0"/>
    <n v="0"/>
    <n v="6496412"/>
    <n v="3535521"/>
    <m/>
    <x v="1"/>
    <n v="3535521"/>
  </r>
  <r>
    <x v="1"/>
    <x v="13"/>
    <x v="13"/>
    <x v="2"/>
    <s v="Apoyo al proceso presupuestario y para mejorar la eficiencia institucional"/>
    <x v="2"/>
    <x v="34"/>
    <x v="254"/>
    <x v="421"/>
    <n v="2"/>
    <s v="Desarrollo Social"/>
    <n v="0"/>
    <s v="Educación"/>
    <n v="2"/>
    <x v="28"/>
    <x v="3"/>
    <x v="12"/>
    <n v="1"/>
    <s v="Gasto corriente"/>
    <x v="0"/>
    <x v="0"/>
    <x v="0"/>
    <x v="0"/>
    <x v="0"/>
    <x v="0"/>
    <x v="0"/>
    <m/>
    <x v="0"/>
    <x v="0"/>
    <m/>
    <n v="79652851"/>
    <n v="0"/>
    <n v="-1190114"/>
    <n v="78462737"/>
    <n v="71228530"/>
    <m/>
    <x v="1"/>
    <n v="71228530"/>
  </r>
  <r>
    <x v="1"/>
    <x v="13"/>
    <x v="13"/>
    <x v="2"/>
    <s v="Apoyo al proceso presupuestario y para mejorar la eficiencia institucional"/>
    <x v="2"/>
    <x v="34"/>
    <x v="257"/>
    <x v="430"/>
    <n v="2"/>
    <s v="Desarrollo Social"/>
    <n v="0"/>
    <s v="Educación"/>
    <n v="2"/>
    <x v="28"/>
    <x v="3"/>
    <x v="12"/>
    <n v="1"/>
    <s v="Gasto corriente"/>
    <x v="0"/>
    <x v="0"/>
    <x v="0"/>
    <x v="0"/>
    <x v="0"/>
    <x v="0"/>
    <x v="0"/>
    <m/>
    <x v="0"/>
    <x v="0"/>
    <m/>
    <n v="64993540"/>
    <n v="0"/>
    <n v="-971089"/>
    <n v="64022451"/>
    <n v="76154296"/>
    <m/>
    <x v="1"/>
    <n v="76154296"/>
  </r>
  <r>
    <x v="1"/>
    <x v="13"/>
    <x v="13"/>
    <x v="2"/>
    <s v="Apoyo al proceso presupuestario y para mejorar la eficiencia institucional"/>
    <x v="2"/>
    <x v="34"/>
    <x v="255"/>
    <x v="422"/>
    <n v="2"/>
    <s v="Desarrollo Social"/>
    <n v="0"/>
    <s v="Educación"/>
    <n v="8"/>
    <x v="51"/>
    <x v="3"/>
    <x v="12"/>
    <n v="1"/>
    <s v="Gasto corriente"/>
    <x v="0"/>
    <x v="0"/>
    <x v="0"/>
    <x v="0"/>
    <x v="0"/>
    <x v="0"/>
    <x v="0"/>
    <m/>
    <x v="0"/>
    <x v="0"/>
    <m/>
    <n v="1382850"/>
    <n v="0"/>
    <n v="-20662"/>
    <n v="1362188"/>
    <n v="1198725"/>
    <m/>
    <x v="1"/>
    <n v="1198725"/>
  </r>
  <r>
    <x v="1"/>
    <x v="13"/>
    <x v="13"/>
    <x v="2"/>
    <s v="Apoyo al proceso presupuestario y para mejorar la eficiencia institucional"/>
    <x v="2"/>
    <x v="34"/>
    <x v="270"/>
    <x v="450"/>
    <n v="2"/>
    <s v="Desarrollo Social"/>
    <n v="0"/>
    <s v="Educación"/>
    <n v="7"/>
    <x v="50"/>
    <x v="3"/>
    <x v="12"/>
    <n v="2"/>
    <s v="Gasto de capital"/>
    <x v="0"/>
    <x v="0"/>
    <x v="0"/>
    <x v="0"/>
    <x v="0"/>
    <x v="0"/>
    <x v="0"/>
    <m/>
    <x v="0"/>
    <x v="0"/>
    <m/>
    <n v="32140461"/>
    <n v="0"/>
    <n v="-480222"/>
    <n v="31660239"/>
    <n v="31660200"/>
    <m/>
    <x v="1"/>
    <n v="31660200"/>
  </r>
  <r>
    <x v="1"/>
    <x v="13"/>
    <x v="13"/>
    <x v="2"/>
    <s v="Apoyo al proceso presupuestario y para mejorar la eficiencia institucional"/>
    <x v="2"/>
    <x v="34"/>
    <x v="250"/>
    <x v="412"/>
    <n v="2"/>
    <s v="Desarrollo Social"/>
    <n v="0"/>
    <s v="Educación"/>
    <n v="1"/>
    <x v="31"/>
    <x v="3"/>
    <x v="12"/>
    <n v="1"/>
    <s v="Gasto corriente"/>
    <x v="0"/>
    <x v="1"/>
    <x v="0"/>
    <x v="0"/>
    <x v="0"/>
    <x v="0"/>
    <x v="0"/>
    <m/>
    <x v="0"/>
    <x v="0"/>
    <m/>
    <n v="1878786"/>
    <n v="0"/>
    <n v="0"/>
    <n v="1878786"/>
    <n v="1905549"/>
    <m/>
    <x v="1"/>
    <n v="1905549"/>
  </r>
  <r>
    <x v="1"/>
    <x v="13"/>
    <x v="13"/>
    <x v="2"/>
    <s v="Apoyo al proceso presupuestario y para mejorar la eficiencia institucional"/>
    <x v="2"/>
    <x v="34"/>
    <x v="250"/>
    <x v="412"/>
    <n v="2"/>
    <s v="Desarrollo Social"/>
    <n v="0"/>
    <s v="Educación"/>
    <n v="1"/>
    <x v="31"/>
    <x v="3"/>
    <x v="12"/>
    <n v="1"/>
    <s v="Gasto corriente"/>
    <x v="0"/>
    <x v="0"/>
    <x v="0"/>
    <x v="0"/>
    <x v="0"/>
    <x v="0"/>
    <x v="0"/>
    <m/>
    <x v="0"/>
    <x v="0"/>
    <m/>
    <n v="62581896"/>
    <n v="0"/>
    <n v="-935057"/>
    <n v="61646839"/>
    <n v="53997001"/>
    <m/>
    <x v="1"/>
    <n v="53997001"/>
  </r>
  <r>
    <x v="1"/>
    <x v="13"/>
    <x v="13"/>
    <x v="2"/>
    <s v="Apoyo al proceso presupuestario y para mejorar la eficiencia institucional"/>
    <x v="2"/>
    <x v="34"/>
    <x v="262"/>
    <x v="440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946532"/>
    <n v="0"/>
    <n v="-14142"/>
    <n v="932390"/>
    <n v="820503"/>
    <m/>
    <x v="1"/>
    <n v="820503"/>
  </r>
  <r>
    <x v="1"/>
    <x v="13"/>
    <x v="13"/>
    <x v="2"/>
    <s v="Apoyo al proceso presupuestario y para mejorar la eficiencia institucional"/>
    <x v="2"/>
    <x v="34"/>
    <x v="279"/>
    <x v="468"/>
    <n v="2"/>
    <s v="Desarrollo Social"/>
    <n v="0"/>
    <s v="Educación"/>
    <n v="1"/>
    <x v="31"/>
    <x v="3"/>
    <x v="12"/>
    <n v="1"/>
    <s v="Gasto corriente"/>
    <x v="0"/>
    <x v="1"/>
    <x v="0"/>
    <x v="0"/>
    <x v="0"/>
    <x v="0"/>
    <x v="0"/>
    <n v="1"/>
    <x v="0"/>
    <x v="0"/>
    <m/>
    <n v="4838983"/>
    <n v="0"/>
    <n v="0"/>
    <n v="4838983"/>
    <n v="4182010"/>
    <m/>
    <x v="1"/>
    <n v="4182010"/>
  </r>
  <r>
    <x v="1"/>
    <x v="13"/>
    <x v="13"/>
    <x v="2"/>
    <s v="Apoyo al proceso presupuestario y para mejorar la eficiencia institucional"/>
    <x v="2"/>
    <x v="34"/>
    <x v="279"/>
    <x v="468"/>
    <n v="2"/>
    <s v="Desarrollo Social"/>
    <n v="0"/>
    <s v="Educación"/>
    <n v="1"/>
    <x v="31"/>
    <x v="3"/>
    <x v="12"/>
    <n v="1"/>
    <s v="Gasto corriente"/>
    <x v="0"/>
    <x v="0"/>
    <x v="0"/>
    <x v="0"/>
    <x v="0"/>
    <x v="0"/>
    <x v="0"/>
    <n v="1"/>
    <x v="0"/>
    <x v="0"/>
    <m/>
    <n v="154249197"/>
    <n v="0"/>
    <n v="-2304682"/>
    <n v="151944515"/>
    <n v="128787468"/>
    <m/>
    <x v="1"/>
    <n v="128787468"/>
  </r>
  <r>
    <x v="1"/>
    <x v="13"/>
    <x v="13"/>
    <x v="2"/>
    <s v="Apoyo al proceso presupuestario y para mejorar la eficiencia institucional"/>
    <x v="2"/>
    <x v="34"/>
    <x v="269"/>
    <x v="448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2674250"/>
    <n v="0"/>
    <n v="-39957"/>
    <n v="2634293"/>
    <n v="2318177"/>
    <m/>
    <x v="1"/>
    <n v="2318177"/>
  </r>
  <r>
    <x v="1"/>
    <x v="13"/>
    <x v="13"/>
    <x v="2"/>
    <s v="Apoyo al proceso presupuestario y para mejorar la eficiencia institucional"/>
    <x v="2"/>
    <x v="34"/>
    <x v="251"/>
    <x v="414"/>
    <n v="2"/>
    <s v="Desarrollo Social"/>
    <n v="0"/>
    <s v="Educación"/>
    <n v="8"/>
    <x v="51"/>
    <x v="3"/>
    <x v="12"/>
    <n v="1"/>
    <s v="Gasto corriente"/>
    <x v="0"/>
    <x v="0"/>
    <x v="0"/>
    <x v="1"/>
    <x v="0"/>
    <x v="0"/>
    <x v="0"/>
    <n v="1"/>
    <x v="0"/>
    <x v="0"/>
    <m/>
    <n v="10485032"/>
    <n v="0"/>
    <n v="-156659"/>
    <n v="10328373"/>
    <n v="9088968"/>
    <m/>
    <x v="1"/>
    <n v="9088968"/>
  </r>
  <r>
    <x v="1"/>
    <x v="13"/>
    <x v="13"/>
    <x v="2"/>
    <s v="Apoyo al proceso presupuestario y para mejorar la eficiencia institucional"/>
    <x v="2"/>
    <x v="34"/>
    <x v="273"/>
    <x v="454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2209694"/>
    <n v="0"/>
    <n v="-33015"/>
    <n v="2176679"/>
    <n v="1915477"/>
    <m/>
    <x v="1"/>
    <n v="1915477"/>
  </r>
  <r>
    <x v="1"/>
    <x v="13"/>
    <x v="13"/>
    <x v="2"/>
    <s v="Apoyo al proceso presupuestario y para mejorar la eficiencia institucional"/>
    <x v="2"/>
    <x v="34"/>
    <x v="274"/>
    <x v="455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671423"/>
    <n v="0"/>
    <n v="-10031"/>
    <n v="661392"/>
    <n v="582024"/>
    <m/>
    <x v="1"/>
    <n v="582024"/>
  </r>
  <r>
    <x v="1"/>
    <x v="13"/>
    <x v="13"/>
    <x v="2"/>
    <s v="Apoyo al proceso presupuestario y para mejorar la eficiencia institucional"/>
    <x v="2"/>
    <x v="34"/>
    <x v="276"/>
    <x v="460"/>
    <n v="2"/>
    <s v="Desarrollo Social"/>
    <n v="0"/>
    <s v="Educación"/>
    <n v="5"/>
    <x v="48"/>
    <x v="3"/>
    <x v="12"/>
    <n v="1"/>
    <s v="Gasto corriente"/>
    <x v="0"/>
    <x v="1"/>
    <x v="0"/>
    <x v="0"/>
    <x v="0"/>
    <x v="0"/>
    <x v="0"/>
    <m/>
    <x v="0"/>
    <x v="0"/>
    <m/>
    <n v="5424092"/>
    <n v="0"/>
    <n v="0"/>
    <n v="5424092"/>
    <n v="7875614"/>
    <m/>
    <x v="1"/>
    <n v="7875614"/>
  </r>
  <r>
    <x v="1"/>
    <x v="13"/>
    <x v="13"/>
    <x v="2"/>
    <s v="Apoyo al proceso presupuestario y para mejorar la eficiencia institucional"/>
    <x v="2"/>
    <x v="34"/>
    <x v="276"/>
    <x v="460"/>
    <n v="2"/>
    <s v="Desarrollo Social"/>
    <n v="0"/>
    <s v="Educación"/>
    <n v="5"/>
    <x v="48"/>
    <x v="3"/>
    <x v="12"/>
    <n v="1"/>
    <s v="Gasto corriente"/>
    <x v="0"/>
    <x v="0"/>
    <x v="0"/>
    <x v="0"/>
    <x v="0"/>
    <x v="0"/>
    <x v="0"/>
    <m/>
    <x v="0"/>
    <x v="0"/>
    <m/>
    <n v="107059814"/>
    <n v="0"/>
    <n v="-1599613"/>
    <n v="105460201"/>
    <n v="89275686"/>
    <m/>
    <x v="1"/>
    <n v="89275686"/>
  </r>
  <r>
    <x v="1"/>
    <x v="13"/>
    <x v="13"/>
    <x v="2"/>
    <s v="Apoyo al proceso presupuestario y para mejorar la eficiencia institucional"/>
    <x v="2"/>
    <x v="34"/>
    <x v="281"/>
    <x v="473"/>
    <n v="2"/>
    <s v="Desarrollo Social"/>
    <n v="0"/>
    <s v="Educación"/>
    <n v="9"/>
    <x v="47"/>
    <x v="3"/>
    <x v="12"/>
    <n v="1"/>
    <s v="Gasto corriente"/>
    <x v="0"/>
    <x v="1"/>
    <x v="0"/>
    <x v="0"/>
    <x v="0"/>
    <x v="0"/>
    <x v="0"/>
    <m/>
    <x v="0"/>
    <x v="0"/>
    <m/>
    <m/>
    <m/>
    <m/>
    <m/>
    <n v="235697"/>
    <m/>
    <x v="1"/>
    <n v="235697"/>
  </r>
  <r>
    <x v="1"/>
    <x v="13"/>
    <x v="13"/>
    <x v="2"/>
    <s v="Apoyo al proceso presupuestario y para mejorar la eficiencia institucional"/>
    <x v="2"/>
    <x v="34"/>
    <x v="281"/>
    <x v="473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n v="1"/>
    <x v="0"/>
    <x v="0"/>
    <m/>
    <m/>
    <m/>
    <m/>
    <m/>
    <n v="5893339"/>
    <m/>
    <x v="75"/>
    <n v="23893339"/>
  </r>
  <r>
    <x v="1"/>
    <x v="13"/>
    <x v="13"/>
    <x v="2"/>
    <s v="Apoyo al proceso presupuestario y para mejorar la eficiencia institucional"/>
    <x v="2"/>
    <x v="34"/>
    <x v="275"/>
    <x v="456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5241899"/>
    <n v="0"/>
    <n v="-78321"/>
    <n v="5163578"/>
    <n v="4543948"/>
    <m/>
    <x v="1"/>
    <n v="4543948"/>
  </r>
  <r>
    <x v="1"/>
    <x v="13"/>
    <x v="13"/>
    <x v="2"/>
    <s v="Apoyo al proceso presupuestario y para mejorar la eficiencia institucional"/>
    <x v="2"/>
    <x v="34"/>
    <x v="277"/>
    <x v="462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m/>
    <x v="0"/>
    <x v="0"/>
    <m/>
    <n v="3319672"/>
    <n v="0"/>
    <n v="-49599"/>
    <n v="3270073"/>
    <n v="2836545"/>
    <m/>
    <x v="1"/>
    <n v="2836545"/>
  </r>
  <r>
    <x v="1"/>
    <x v="13"/>
    <x v="13"/>
    <x v="2"/>
    <s v="Apoyo al proceso presupuestario y para mejorar la eficiencia institucional"/>
    <x v="2"/>
    <x v="34"/>
    <x v="271"/>
    <x v="451"/>
    <n v="2"/>
    <s v="Desarrollo Social"/>
    <n v="0"/>
    <s v="Educación"/>
    <n v="6"/>
    <x v="49"/>
    <x v="3"/>
    <x v="12"/>
    <n v="1"/>
    <s v="Gasto corriente"/>
    <x v="0"/>
    <x v="1"/>
    <x v="0"/>
    <x v="0"/>
    <x v="0"/>
    <x v="0"/>
    <x v="0"/>
    <m/>
    <x v="1"/>
    <x v="0"/>
    <m/>
    <n v="729701"/>
    <n v="0"/>
    <n v="0"/>
    <n v="729701"/>
    <n v="829935"/>
    <m/>
    <x v="1"/>
    <n v="829935"/>
  </r>
  <r>
    <x v="1"/>
    <x v="13"/>
    <x v="13"/>
    <x v="2"/>
    <s v="Apoyo al proceso presupuestario y para mejorar la eficiencia institucional"/>
    <x v="2"/>
    <x v="34"/>
    <x v="271"/>
    <x v="451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1"/>
    <x v="0"/>
    <m/>
    <n v="13643908"/>
    <n v="0"/>
    <n v="-203857"/>
    <n v="13440051"/>
    <n v="11639446"/>
    <m/>
    <x v="1"/>
    <n v="11639446"/>
  </r>
  <r>
    <x v="1"/>
    <x v="13"/>
    <x v="13"/>
    <x v="2"/>
    <s v="Apoyo al proceso presupuestario y para mejorar la eficiencia institucional"/>
    <x v="2"/>
    <x v="34"/>
    <x v="265"/>
    <x v="444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820068"/>
    <n v="0"/>
    <n v="-12254"/>
    <n v="807814"/>
    <n v="710876"/>
    <m/>
    <x v="1"/>
    <n v="710876"/>
  </r>
  <r>
    <x v="1"/>
    <x v="13"/>
    <x v="13"/>
    <x v="2"/>
    <s v="Apoyo al proceso presupuestario y para mejorar la eficiencia institucional"/>
    <x v="2"/>
    <x v="34"/>
    <x v="252"/>
    <x v="416"/>
    <n v="2"/>
    <s v="Desarrollo Social"/>
    <n v="0"/>
    <s v="Educación"/>
    <n v="9"/>
    <x v="47"/>
    <x v="3"/>
    <x v="12"/>
    <n v="1"/>
    <s v="Gasto corriente"/>
    <x v="0"/>
    <x v="1"/>
    <x v="0"/>
    <x v="0"/>
    <x v="0"/>
    <x v="0"/>
    <x v="0"/>
    <n v="1"/>
    <x v="0"/>
    <x v="0"/>
    <m/>
    <n v="226118"/>
    <n v="0"/>
    <n v="0"/>
    <n v="226118"/>
    <n v="216909"/>
    <m/>
    <x v="1"/>
    <n v="216909"/>
  </r>
  <r>
    <x v="1"/>
    <x v="13"/>
    <x v="13"/>
    <x v="2"/>
    <s v="Apoyo al proceso presupuestario y para mejorar la eficiencia institucional"/>
    <x v="2"/>
    <x v="34"/>
    <x v="252"/>
    <x v="416"/>
    <n v="2"/>
    <s v="Desarrollo Social"/>
    <n v="0"/>
    <s v="Educación"/>
    <n v="9"/>
    <x v="47"/>
    <x v="3"/>
    <x v="12"/>
    <n v="1"/>
    <s v="Gasto corriente"/>
    <x v="0"/>
    <x v="0"/>
    <x v="0"/>
    <x v="0"/>
    <x v="0"/>
    <x v="0"/>
    <x v="0"/>
    <n v="1"/>
    <x v="0"/>
    <x v="0"/>
    <m/>
    <n v="6222213"/>
    <n v="0"/>
    <n v="-92970"/>
    <n v="6129243"/>
    <n v="5375808"/>
    <m/>
    <x v="1"/>
    <n v="5375808"/>
  </r>
  <r>
    <x v="1"/>
    <x v="13"/>
    <x v="13"/>
    <x v="2"/>
    <s v="Apoyo al proceso presupuestario y para mejorar la eficiencia institucional"/>
    <x v="2"/>
    <x v="34"/>
    <x v="261"/>
    <x v="437"/>
    <n v="2"/>
    <s v="Desarrollo Social"/>
    <n v="0"/>
    <s v="Educación"/>
    <n v="8"/>
    <x v="51"/>
    <x v="3"/>
    <x v="12"/>
    <n v="1"/>
    <s v="Gasto corriente"/>
    <x v="0"/>
    <x v="1"/>
    <x v="0"/>
    <x v="0"/>
    <x v="0"/>
    <x v="0"/>
    <x v="0"/>
    <n v="1"/>
    <x v="0"/>
    <x v="0"/>
    <m/>
    <n v="1520063"/>
    <n v="0"/>
    <n v="0"/>
    <n v="1520063"/>
    <n v="1419736"/>
    <m/>
    <x v="1"/>
    <n v="1419736"/>
  </r>
  <r>
    <x v="1"/>
    <x v="13"/>
    <x v="13"/>
    <x v="2"/>
    <s v="Apoyo al proceso presupuestario y para mejorar la eficiencia institucional"/>
    <x v="2"/>
    <x v="34"/>
    <x v="261"/>
    <x v="437"/>
    <n v="2"/>
    <s v="Desarrollo Social"/>
    <n v="0"/>
    <s v="Educación"/>
    <n v="8"/>
    <x v="51"/>
    <x v="3"/>
    <x v="12"/>
    <n v="1"/>
    <s v="Gasto corriente"/>
    <x v="0"/>
    <x v="0"/>
    <x v="0"/>
    <x v="0"/>
    <x v="0"/>
    <x v="0"/>
    <x v="0"/>
    <n v="1"/>
    <x v="0"/>
    <x v="0"/>
    <m/>
    <n v="46188139"/>
    <n v="0"/>
    <n v="-690111"/>
    <n v="45498028"/>
    <n v="39956184"/>
    <m/>
    <x v="1"/>
    <n v="39956184"/>
  </r>
  <r>
    <x v="1"/>
    <x v="13"/>
    <x v="13"/>
    <x v="2"/>
    <s v="Apoyo al proceso presupuestario y para mejorar la eficiencia institucional"/>
    <x v="2"/>
    <x v="34"/>
    <x v="266"/>
    <x v="445"/>
    <n v="2"/>
    <s v="Desarrollo Social"/>
    <n v="0"/>
    <s v="Educación"/>
    <n v="6"/>
    <x v="49"/>
    <x v="3"/>
    <x v="12"/>
    <n v="1"/>
    <s v="Gasto corriente"/>
    <x v="0"/>
    <x v="0"/>
    <x v="0"/>
    <x v="0"/>
    <x v="0"/>
    <x v="0"/>
    <x v="0"/>
    <m/>
    <x v="0"/>
    <x v="0"/>
    <m/>
    <n v="21074685"/>
    <n v="0"/>
    <n v="-314881"/>
    <n v="20759804"/>
    <n v="18268627"/>
    <m/>
    <x v="1"/>
    <n v="18268627"/>
  </r>
  <r>
    <x v="1"/>
    <x v="13"/>
    <x v="13"/>
    <x v="3"/>
    <s v="Apoyo a la función pública y al mejoramiento de la gestión"/>
    <x v="2"/>
    <x v="42"/>
    <x v="6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4226979"/>
    <n v="0"/>
    <n v="0"/>
    <n v="4226979"/>
    <n v="4396058"/>
    <m/>
    <x v="1"/>
    <n v="4396058"/>
  </r>
  <r>
    <x v="1"/>
    <x v="13"/>
    <x v="13"/>
    <x v="3"/>
    <s v="Apoyo a la función pública y al mejoramiento de la gestión"/>
    <x v="2"/>
    <x v="42"/>
    <x v="6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07285427"/>
    <n v="0"/>
    <n v="-1602983"/>
    <n v="105682444"/>
    <n v="65141736"/>
    <m/>
    <x v="1"/>
    <n v="65141736"/>
  </r>
  <r>
    <x v="1"/>
    <x v="13"/>
    <x v="13"/>
    <x v="3"/>
    <s v="Apoyo a la función pública y al mejoramiento de la gestión"/>
    <x v="2"/>
    <x v="42"/>
    <x v="6"/>
    <x v="40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3721485"/>
    <n v="0"/>
    <n v="-55603"/>
    <n v="3665882"/>
    <n v="3665882"/>
    <m/>
    <x v="1"/>
    <n v="3665882"/>
  </r>
  <r>
    <x v="1"/>
    <x v="13"/>
    <x v="13"/>
    <x v="3"/>
    <s v="Apoyo a la función pública y al mejoramiento de la gestión"/>
    <x v="2"/>
    <x v="42"/>
    <x v="268"/>
    <x v="44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340353"/>
    <n v="0"/>
    <n v="-64850"/>
    <n v="4275503"/>
    <n v="4275503"/>
    <m/>
    <x v="1"/>
    <n v="4275503"/>
  </r>
  <r>
    <x v="1"/>
    <x v="13"/>
    <x v="13"/>
    <x v="3"/>
    <s v="Apoyo a la función pública y al mejoramiento de la gestión"/>
    <x v="2"/>
    <x v="42"/>
    <x v="57"/>
    <x v="433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n v="1"/>
    <x v="0"/>
    <x v="0"/>
    <m/>
    <n v="195703"/>
    <n v="0"/>
    <n v="0"/>
    <n v="195703"/>
    <n v="186150"/>
    <m/>
    <x v="1"/>
    <n v="186150"/>
  </r>
  <r>
    <x v="1"/>
    <x v="13"/>
    <x v="13"/>
    <x v="3"/>
    <s v="Apoyo a la función pública y al mejoramiento de la gestión"/>
    <x v="2"/>
    <x v="42"/>
    <x v="57"/>
    <x v="43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n v="1"/>
    <x v="0"/>
    <x v="0"/>
    <m/>
    <n v="3509219"/>
    <n v="0"/>
    <n v="-52433"/>
    <n v="3456786"/>
    <n v="3341713"/>
    <m/>
    <x v="1"/>
    <n v="3341713"/>
  </r>
  <r>
    <x v="1"/>
    <x v="13"/>
    <x v="13"/>
    <x v="3"/>
    <s v="Apoyo a la función pública y al mejoramiento de la gestión"/>
    <x v="2"/>
    <x v="42"/>
    <x v="259"/>
    <x v="434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n v="1"/>
    <x v="0"/>
    <x v="0"/>
    <m/>
    <n v="2449654"/>
    <n v="0"/>
    <n v="0"/>
    <n v="2449654"/>
    <n v="2025189"/>
    <m/>
    <x v="1"/>
    <n v="2025189"/>
  </r>
  <r>
    <x v="1"/>
    <x v="13"/>
    <x v="13"/>
    <x v="3"/>
    <s v="Apoyo a la función pública y al mejoramiento de la gestión"/>
    <x v="2"/>
    <x v="42"/>
    <x v="259"/>
    <x v="43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n v="1"/>
    <x v="0"/>
    <x v="0"/>
    <m/>
    <n v="143143410"/>
    <n v="0"/>
    <n v="-2138749"/>
    <n v="141004661"/>
    <n v="141429126"/>
    <m/>
    <x v="1"/>
    <n v="141429126"/>
  </r>
  <r>
    <x v="1"/>
    <x v="13"/>
    <x v="13"/>
    <x v="3"/>
    <s v="Apoyo a la función pública y al mejoramiento de la gestión"/>
    <x v="2"/>
    <x v="42"/>
    <x v="31"/>
    <x v="42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n v="1"/>
    <x v="0"/>
    <x v="0"/>
    <m/>
    <n v="193103"/>
    <n v="0"/>
    <n v="-2885"/>
    <n v="190218"/>
    <n v="2703"/>
    <m/>
    <x v="1"/>
    <n v="2703"/>
  </r>
  <r>
    <x v="1"/>
    <x v="13"/>
    <x v="13"/>
    <x v="3"/>
    <s v="Apoyo a la función pública y al mejoramiento de la gestión"/>
    <x v="2"/>
    <x v="42"/>
    <x v="40"/>
    <x v="435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034309"/>
    <n v="0"/>
    <n v="0"/>
    <n v="1034309"/>
    <n v="1364885"/>
    <m/>
    <x v="1"/>
    <n v="1364885"/>
  </r>
  <r>
    <x v="1"/>
    <x v="13"/>
    <x v="13"/>
    <x v="3"/>
    <s v="Apoyo a la función pública y al mejoramiento de la gestión"/>
    <x v="2"/>
    <x v="42"/>
    <x v="40"/>
    <x v="43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9749250"/>
    <n v="0"/>
    <n v="-295078"/>
    <n v="19454172"/>
    <n v="19123596"/>
    <m/>
    <x v="1"/>
    <n v="19123596"/>
  </r>
  <r>
    <x v="1"/>
    <x v="13"/>
    <x v="13"/>
    <x v="3"/>
    <s v="Apoyo a la función pública y al mejoramiento de la gestión"/>
    <x v="2"/>
    <x v="42"/>
    <x v="92"/>
    <x v="43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"/>
    <n v="0"/>
    <n v="0"/>
    <n v="1"/>
    <m/>
    <m/>
    <x v="1"/>
    <n v="0"/>
  </r>
  <r>
    <x v="1"/>
    <x v="13"/>
    <x v="13"/>
    <x v="3"/>
    <s v="Apoyo a la función pública y al mejoramiento de la gestión"/>
    <x v="2"/>
    <x v="42"/>
    <x v="92"/>
    <x v="43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9463831"/>
    <n v="0"/>
    <n v="-141403"/>
    <n v="9322428"/>
    <n v="9322429"/>
    <m/>
    <x v="1"/>
    <n v="9322429"/>
  </r>
  <r>
    <x v="1"/>
    <x v="13"/>
    <x v="13"/>
    <x v="3"/>
    <s v="Apoyo a la función pública y al mejoramiento de la gestión"/>
    <x v="2"/>
    <x v="42"/>
    <x v="49"/>
    <x v="43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770876"/>
    <n v="0"/>
    <n v="-11517"/>
    <n v="759359"/>
    <n v="759359"/>
    <m/>
    <x v="1"/>
    <n v="759359"/>
  </r>
  <r>
    <x v="1"/>
    <x v="13"/>
    <x v="13"/>
    <x v="3"/>
    <s v="Apoyo a la función pública y al mejoramiento de la gestión"/>
    <x v="2"/>
    <x v="42"/>
    <x v="49"/>
    <x v="439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359778"/>
    <n v="0"/>
    <n v="-5376"/>
    <n v="354402"/>
    <n v="359402"/>
    <m/>
    <x v="1"/>
    <n v="359402"/>
  </r>
  <r>
    <x v="1"/>
    <x v="13"/>
    <x v="13"/>
    <x v="3"/>
    <s v="Apoyo a la función pública y al mejoramiento de la gestión"/>
    <x v="2"/>
    <x v="42"/>
    <x v="256"/>
    <x v="429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n v="1"/>
    <x v="0"/>
    <x v="0"/>
    <m/>
    <n v="70839"/>
    <n v="0"/>
    <n v="0"/>
    <n v="70839"/>
    <n v="63356"/>
    <m/>
    <x v="1"/>
    <n v="63356"/>
  </r>
  <r>
    <x v="1"/>
    <x v="13"/>
    <x v="13"/>
    <x v="3"/>
    <s v="Apoyo a la función pública y al mejoramiento de la gestión"/>
    <x v="2"/>
    <x v="42"/>
    <x v="256"/>
    <x v="42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n v="1"/>
    <x v="0"/>
    <x v="0"/>
    <m/>
    <n v="990839"/>
    <n v="0"/>
    <n v="-14804"/>
    <n v="976035"/>
    <n v="761900"/>
    <m/>
    <x v="1"/>
    <n v="761900"/>
  </r>
  <r>
    <x v="1"/>
    <x v="13"/>
    <x v="13"/>
    <x v="3"/>
    <s v="Apoyo a la función pública y al mejoramiento de la gestión"/>
    <x v="2"/>
    <x v="42"/>
    <x v="256"/>
    <x v="429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n v="1"/>
    <x v="0"/>
    <x v="0"/>
    <m/>
    <m/>
    <m/>
    <m/>
    <m/>
    <n v="8500"/>
    <m/>
    <x v="1"/>
    <n v="8500"/>
  </r>
  <r>
    <x v="1"/>
    <x v="13"/>
    <x v="13"/>
    <x v="3"/>
    <s v="Apoyo a la función pública y al mejoramiento de la gestión"/>
    <x v="2"/>
    <x v="42"/>
    <x v="260"/>
    <x v="436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n v="1"/>
    <x v="0"/>
    <x v="0"/>
    <m/>
    <n v="162572"/>
    <n v="0"/>
    <n v="0"/>
    <n v="162572"/>
    <n v="155451"/>
    <m/>
    <x v="1"/>
    <n v="155451"/>
  </r>
  <r>
    <x v="1"/>
    <x v="13"/>
    <x v="13"/>
    <x v="3"/>
    <s v="Apoyo a la función pública y al mejoramiento de la gestión"/>
    <x v="2"/>
    <x v="42"/>
    <x v="260"/>
    <x v="436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n v="1"/>
    <x v="0"/>
    <x v="0"/>
    <m/>
    <n v="3522488"/>
    <n v="0"/>
    <n v="-52630"/>
    <n v="3469858"/>
    <n v="3351327"/>
    <m/>
    <x v="1"/>
    <n v="3351327"/>
  </r>
  <r>
    <x v="1"/>
    <x v="13"/>
    <x v="13"/>
    <x v="3"/>
    <s v="Apoyo a la función pública y al mejoramiento de la gestión"/>
    <x v="2"/>
    <x v="42"/>
    <x v="254"/>
    <x v="421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92949"/>
    <n v="0"/>
    <n v="0"/>
    <n v="292949"/>
    <n v="276356"/>
    <m/>
    <x v="1"/>
    <n v="276356"/>
  </r>
  <r>
    <x v="1"/>
    <x v="13"/>
    <x v="13"/>
    <x v="3"/>
    <s v="Apoyo a la función pública y al mejoramiento de la gestión"/>
    <x v="2"/>
    <x v="42"/>
    <x v="254"/>
    <x v="42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396726"/>
    <n v="0"/>
    <n v="-50753"/>
    <n v="3345973"/>
    <n v="3116148"/>
    <m/>
    <x v="1"/>
    <n v="3116148"/>
  </r>
  <r>
    <x v="1"/>
    <x v="13"/>
    <x v="13"/>
    <x v="3"/>
    <s v="Apoyo a la función pública y al mejoramiento de la gestión"/>
    <x v="2"/>
    <x v="42"/>
    <x v="257"/>
    <x v="43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879503"/>
    <n v="0"/>
    <n v="0"/>
    <n v="879503"/>
    <m/>
    <m/>
    <x v="1"/>
    <n v="0"/>
  </r>
  <r>
    <x v="1"/>
    <x v="13"/>
    <x v="13"/>
    <x v="3"/>
    <s v="Apoyo a la función pública y al mejoramiento de la gestión"/>
    <x v="2"/>
    <x v="42"/>
    <x v="257"/>
    <x v="43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7194030"/>
    <n v="0"/>
    <n v="-256900"/>
    <n v="16937130"/>
    <n v="7025123"/>
    <m/>
    <x v="1"/>
    <n v="7025123"/>
  </r>
  <r>
    <x v="1"/>
    <x v="13"/>
    <x v="13"/>
    <x v="3"/>
    <s v="Apoyo a la función pública y al mejoramiento de la gestión"/>
    <x v="2"/>
    <x v="42"/>
    <x v="255"/>
    <x v="42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67389"/>
    <n v="0"/>
    <n v="0"/>
    <n v="267389"/>
    <n v="255601"/>
    <m/>
    <x v="1"/>
    <n v="255601"/>
  </r>
  <r>
    <x v="1"/>
    <x v="13"/>
    <x v="13"/>
    <x v="3"/>
    <s v="Apoyo a la función pública y al mejoramiento de la gestión"/>
    <x v="2"/>
    <x v="42"/>
    <x v="255"/>
    <x v="42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281150"/>
    <n v="0"/>
    <n v="-63966"/>
    <n v="4217184"/>
    <n v="4096846"/>
    <m/>
    <x v="1"/>
    <n v="4096846"/>
  </r>
  <r>
    <x v="1"/>
    <x v="13"/>
    <x v="13"/>
    <x v="3"/>
    <s v="Apoyo a la función pública y al mejoramiento de la gestión"/>
    <x v="2"/>
    <x v="42"/>
    <x v="270"/>
    <x v="45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77539"/>
    <n v="0"/>
    <n v="0"/>
    <n v="177539"/>
    <n v="242080"/>
    <m/>
    <x v="1"/>
    <n v="242080"/>
  </r>
  <r>
    <x v="1"/>
    <x v="13"/>
    <x v="13"/>
    <x v="3"/>
    <s v="Apoyo a la función pública y al mejoramiento de la gestión"/>
    <x v="2"/>
    <x v="42"/>
    <x v="270"/>
    <x v="45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2146065"/>
    <n v="0"/>
    <n v="-181478"/>
    <n v="11964587"/>
    <n v="10824715"/>
    <m/>
    <x v="1"/>
    <n v="10824715"/>
  </r>
  <r>
    <x v="1"/>
    <x v="13"/>
    <x v="13"/>
    <x v="3"/>
    <s v="Apoyo a la función pública y al mejoramiento de la gestión"/>
    <x v="2"/>
    <x v="42"/>
    <x v="250"/>
    <x v="41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345821"/>
    <n v="0"/>
    <n v="0"/>
    <n v="345821"/>
    <n v="348741"/>
    <m/>
    <x v="1"/>
    <n v="348741"/>
  </r>
  <r>
    <x v="1"/>
    <x v="13"/>
    <x v="13"/>
    <x v="3"/>
    <s v="Apoyo a la función pública y al mejoramiento de la gestión"/>
    <x v="2"/>
    <x v="42"/>
    <x v="250"/>
    <x v="41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7103345"/>
    <n v="0"/>
    <n v="-106134"/>
    <n v="6997211"/>
    <n v="6994291"/>
    <m/>
    <x v="1"/>
    <n v="6994291"/>
  </r>
  <r>
    <x v="1"/>
    <x v="13"/>
    <x v="13"/>
    <x v="3"/>
    <s v="Apoyo a la función pública y al mejoramiento de la gestión"/>
    <x v="2"/>
    <x v="42"/>
    <x v="279"/>
    <x v="46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n v="1"/>
    <x v="0"/>
    <x v="0"/>
    <m/>
    <n v="241246"/>
    <n v="0"/>
    <n v="0"/>
    <n v="241246"/>
    <n v="240619"/>
    <m/>
    <x v="1"/>
    <n v="240619"/>
  </r>
  <r>
    <x v="1"/>
    <x v="13"/>
    <x v="13"/>
    <x v="3"/>
    <s v="Apoyo a la función pública y al mejoramiento de la gestión"/>
    <x v="2"/>
    <x v="42"/>
    <x v="279"/>
    <x v="46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n v="1"/>
    <x v="0"/>
    <x v="0"/>
    <m/>
    <n v="11665047"/>
    <n v="0"/>
    <n v="-174295"/>
    <n v="11490752"/>
    <n v="10963505"/>
    <m/>
    <x v="23"/>
    <n v="35963505"/>
  </r>
  <r>
    <x v="1"/>
    <x v="13"/>
    <x v="13"/>
    <x v="3"/>
    <s v="Apoyo a la función pública y al mejoramiento de la gestión"/>
    <x v="2"/>
    <x v="42"/>
    <x v="251"/>
    <x v="414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n v="1"/>
    <x v="0"/>
    <x v="0"/>
    <m/>
    <n v="62273"/>
    <n v="0"/>
    <n v="0"/>
    <n v="62273"/>
    <n v="55506"/>
    <m/>
    <x v="1"/>
    <n v="55506"/>
  </r>
  <r>
    <x v="1"/>
    <x v="13"/>
    <x v="13"/>
    <x v="3"/>
    <s v="Apoyo a la función pública y al mejoramiento de la gestión"/>
    <x v="2"/>
    <x v="42"/>
    <x v="251"/>
    <x v="414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n v="1"/>
    <x v="0"/>
    <x v="0"/>
    <m/>
    <n v="1710028"/>
    <n v="0"/>
    <n v="-25549"/>
    <n v="1684479"/>
    <n v="1691246"/>
    <m/>
    <x v="1"/>
    <n v="1691246"/>
  </r>
  <r>
    <x v="1"/>
    <x v="13"/>
    <x v="13"/>
    <x v="3"/>
    <s v="Apoyo a la función pública y al mejoramiento de la gestión"/>
    <x v="2"/>
    <x v="42"/>
    <x v="276"/>
    <x v="46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428581"/>
    <n v="0"/>
    <n v="0"/>
    <n v="428581"/>
    <n v="258645"/>
    <m/>
    <x v="1"/>
    <n v="258645"/>
  </r>
  <r>
    <x v="1"/>
    <x v="13"/>
    <x v="13"/>
    <x v="3"/>
    <s v="Apoyo a la función pública y al mejoramiento de la gestión"/>
    <x v="2"/>
    <x v="42"/>
    <x v="276"/>
    <x v="46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0972093"/>
    <n v="0"/>
    <n v="-163940"/>
    <n v="10808153"/>
    <n v="10509079"/>
    <m/>
    <x v="1"/>
    <n v="10509079"/>
  </r>
  <r>
    <x v="1"/>
    <x v="13"/>
    <x v="13"/>
    <x v="3"/>
    <s v="Apoyo a la función pública y al mejoramiento de la gestión"/>
    <x v="2"/>
    <x v="42"/>
    <x v="275"/>
    <x v="456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78471"/>
    <n v="0"/>
    <n v="0"/>
    <n v="178471"/>
    <n v="86416"/>
    <m/>
    <x v="1"/>
    <n v="86416"/>
  </r>
  <r>
    <x v="1"/>
    <x v="13"/>
    <x v="13"/>
    <x v="3"/>
    <s v="Apoyo a la función pública y al mejoramiento de la gestión"/>
    <x v="2"/>
    <x v="42"/>
    <x v="275"/>
    <x v="45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961821"/>
    <n v="0"/>
    <n v="-44254"/>
    <n v="2917567"/>
    <n v="3009622"/>
    <m/>
    <x v="1"/>
    <n v="3009622"/>
  </r>
  <r>
    <x v="1"/>
    <x v="13"/>
    <x v="13"/>
    <x v="3"/>
    <s v="Apoyo a la función pública y al mejoramiento de la gestión"/>
    <x v="2"/>
    <x v="42"/>
    <x v="277"/>
    <x v="46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84770"/>
    <n v="0"/>
    <n v="0"/>
    <n v="284770"/>
    <n v="292327"/>
    <m/>
    <x v="1"/>
    <n v="292327"/>
  </r>
  <r>
    <x v="1"/>
    <x v="13"/>
    <x v="13"/>
    <x v="3"/>
    <s v="Apoyo a la función pública y al mejoramiento de la gestión"/>
    <x v="2"/>
    <x v="42"/>
    <x v="277"/>
    <x v="46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8345442"/>
    <n v="0"/>
    <n v="-124691"/>
    <n v="8220751"/>
    <n v="8213194"/>
    <m/>
    <x v="1"/>
    <n v="8213194"/>
  </r>
  <r>
    <x v="1"/>
    <x v="13"/>
    <x v="13"/>
    <x v="3"/>
    <s v="Apoyo a la función pública y al mejoramiento de la gestión"/>
    <x v="2"/>
    <x v="42"/>
    <x v="271"/>
    <x v="451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1"/>
    <x v="0"/>
    <m/>
    <m/>
    <m/>
    <m/>
    <m/>
    <n v="51312"/>
    <m/>
    <x v="1"/>
    <n v="51312"/>
  </r>
  <r>
    <x v="1"/>
    <x v="13"/>
    <x v="13"/>
    <x v="3"/>
    <s v="Apoyo a la función pública y al mejoramiento de la gestión"/>
    <x v="2"/>
    <x v="42"/>
    <x v="271"/>
    <x v="45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1"/>
    <x v="0"/>
    <m/>
    <m/>
    <m/>
    <m/>
    <m/>
    <n v="2014962"/>
    <m/>
    <x v="1"/>
    <n v="2014962"/>
  </r>
  <r>
    <x v="1"/>
    <x v="13"/>
    <x v="13"/>
    <x v="3"/>
    <s v="Apoyo a la función pública y al mejoramiento de la gestión"/>
    <x v="2"/>
    <x v="42"/>
    <x v="265"/>
    <x v="444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22552"/>
    <n v="0"/>
    <n v="0"/>
    <n v="122552"/>
    <n v="125659"/>
    <m/>
    <x v="1"/>
    <n v="125659"/>
  </r>
  <r>
    <x v="1"/>
    <x v="13"/>
    <x v="13"/>
    <x v="3"/>
    <s v="Apoyo a la función pública y al mejoramiento de la gestión"/>
    <x v="2"/>
    <x v="42"/>
    <x v="265"/>
    <x v="44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019020"/>
    <n v="0"/>
    <n v="-60049"/>
    <n v="3958971"/>
    <n v="3955864"/>
    <m/>
    <x v="1"/>
    <n v="3955864"/>
  </r>
  <r>
    <x v="1"/>
    <x v="13"/>
    <x v="13"/>
    <x v="3"/>
    <s v="Apoyo a la función pública y al mejoramiento de la gestión"/>
    <x v="2"/>
    <x v="42"/>
    <x v="252"/>
    <x v="416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n v="1"/>
    <x v="0"/>
    <x v="0"/>
    <m/>
    <n v="131035"/>
    <n v="0"/>
    <n v="0"/>
    <n v="131035"/>
    <n v="138889"/>
    <m/>
    <x v="1"/>
    <n v="138889"/>
  </r>
  <r>
    <x v="1"/>
    <x v="13"/>
    <x v="13"/>
    <x v="3"/>
    <s v="Apoyo a la función pública y al mejoramiento de la gestión"/>
    <x v="2"/>
    <x v="42"/>
    <x v="252"/>
    <x v="41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n v="1"/>
    <x v="0"/>
    <x v="0"/>
    <m/>
    <n v="5448019"/>
    <n v="0"/>
    <n v="-81401"/>
    <n v="5366618"/>
    <n v="5358764"/>
    <m/>
    <x v="38"/>
    <n v="10358764"/>
  </r>
  <r>
    <x v="1"/>
    <x v="13"/>
    <x v="13"/>
    <x v="3"/>
    <s v="Apoyo a la función pública y al mejoramiento de la gestión"/>
    <x v="2"/>
    <x v="42"/>
    <x v="267"/>
    <x v="446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64627"/>
    <n v="0"/>
    <n v="0"/>
    <n v="164627"/>
    <n v="71694"/>
    <m/>
    <x v="1"/>
    <n v="71694"/>
  </r>
  <r>
    <x v="1"/>
    <x v="13"/>
    <x v="13"/>
    <x v="3"/>
    <s v="Apoyo a la función pública y al mejoramiento de la gestión"/>
    <x v="2"/>
    <x v="42"/>
    <x v="267"/>
    <x v="44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203015"/>
    <n v="0"/>
    <n v="-32916"/>
    <n v="2170099"/>
    <n v="1402182"/>
    <m/>
    <x v="1"/>
    <n v="1402182"/>
  </r>
  <r>
    <x v="1"/>
    <x v="13"/>
    <x v="13"/>
    <x v="3"/>
    <s v="Apoyo a la función pública y al mejoramiento de la gestión"/>
    <x v="2"/>
    <x v="42"/>
    <x v="261"/>
    <x v="437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n v="1"/>
    <x v="0"/>
    <x v="0"/>
    <m/>
    <n v="88336"/>
    <n v="0"/>
    <n v="0"/>
    <n v="88336"/>
    <n v="82506"/>
    <m/>
    <x v="1"/>
    <n v="82506"/>
  </r>
  <r>
    <x v="1"/>
    <x v="13"/>
    <x v="13"/>
    <x v="3"/>
    <s v="Apoyo a la función pública y al mejoramiento de la gestión"/>
    <x v="2"/>
    <x v="42"/>
    <x v="261"/>
    <x v="43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n v="1"/>
    <x v="0"/>
    <x v="0"/>
    <m/>
    <n v="2651289"/>
    <n v="0"/>
    <n v="-39612"/>
    <n v="2611677"/>
    <n v="2617507"/>
    <m/>
    <x v="1"/>
    <n v="2617507"/>
  </r>
  <r>
    <x v="1"/>
    <x v="13"/>
    <x v="13"/>
    <x v="3"/>
    <s v="Apoyo a la función pública y al mejoramiento de la gestión"/>
    <x v="2"/>
    <x v="42"/>
    <x v="266"/>
    <x v="44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046987"/>
    <n v="0"/>
    <n v="-45525"/>
    <n v="3001462"/>
    <n v="3001462"/>
    <m/>
    <x v="1"/>
    <n v="3001462"/>
  </r>
  <r>
    <x v="1"/>
    <x v="13"/>
    <x v="13"/>
    <x v="3"/>
    <s v="Apoyo a la función pública y al mejoramiento de la gestión"/>
    <x v="32"/>
    <x v="121"/>
    <x v="63"/>
    <x v="41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3356609"/>
    <n v="0"/>
    <n v="-199565"/>
    <n v="13157044"/>
    <n v="6578522"/>
    <m/>
    <x v="1"/>
    <n v="6578522"/>
  </r>
  <r>
    <x v="1"/>
    <x v="13"/>
    <x v="13"/>
    <x v="3"/>
    <s v="Apoyo a la función pública y al mejoramiento de la gestión"/>
    <x v="32"/>
    <x v="121"/>
    <x v="31"/>
    <x v="42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n v="1"/>
    <x v="0"/>
    <x v="0"/>
    <m/>
    <n v="933146"/>
    <n v="0"/>
    <n v="-13942"/>
    <n v="919204"/>
    <n v="13942"/>
    <m/>
    <x v="1"/>
    <n v="13942"/>
  </r>
  <r>
    <x v="1"/>
    <x v="13"/>
    <x v="13"/>
    <x v="3"/>
    <s v="Apoyo a la función pública y al mejoramiento de la gestión"/>
    <x v="32"/>
    <x v="121"/>
    <x v="40"/>
    <x v="43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778877"/>
    <n v="0"/>
    <n v="-11637"/>
    <n v="767240"/>
    <m/>
    <m/>
    <x v="1"/>
    <n v="0"/>
  </r>
  <r>
    <x v="1"/>
    <x v="13"/>
    <x v="13"/>
    <x v="3"/>
    <s v="Apoyo a la función pública y al mejoramiento de la gestión"/>
    <x v="32"/>
    <x v="121"/>
    <x v="40"/>
    <x v="435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42704"/>
    <n v="0"/>
    <n v="-638"/>
    <n v="42066"/>
    <m/>
    <m/>
    <x v="1"/>
    <n v="0"/>
  </r>
  <r>
    <x v="1"/>
    <x v="13"/>
    <x v="13"/>
    <x v="3"/>
    <s v="Apoyo a la función pública y al mejoramiento de la gestión"/>
    <x v="32"/>
    <x v="121"/>
    <x v="92"/>
    <x v="43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034706"/>
    <n v="0"/>
    <n v="-15460"/>
    <n v="1019246"/>
    <n v="1019246"/>
    <m/>
    <x v="1"/>
    <n v="1019246"/>
  </r>
  <r>
    <x v="1"/>
    <x v="13"/>
    <x v="13"/>
    <x v="3"/>
    <s v="Apoyo a la función pública y al mejoramiento de la gestión"/>
    <x v="32"/>
    <x v="121"/>
    <x v="92"/>
    <x v="438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53590"/>
    <n v="0"/>
    <n v="-801"/>
    <n v="52789"/>
    <n v="52789"/>
    <m/>
    <x v="1"/>
    <n v="52789"/>
  </r>
  <r>
    <x v="1"/>
    <x v="13"/>
    <x v="13"/>
    <x v="3"/>
    <s v="Apoyo a la función pública y al mejoramiento de la gestión"/>
    <x v="32"/>
    <x v="121"/>
    <x v="36"/>
    <x v="44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74986"/>
    <n v="0"/>
    <n v="-2615"/>
    <n v="172371"/>
    <n v="181032"/>
    <m/>
    <x v="1"/>
    <n v="181032"/>
  </r>
  <r>
    <x v="1"/>
    <x v="13"/>
    <x v="13"/>
    <x v="3"/>
    <s v="Apoyo a la función pública y al mejoramiento de la gestión"/>
    <x v="32"/>
    <x v="121"/>
    <x v="36"/>
    <x v="443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8792"/>
    <n v="0"/>
    <n v="-131"/>
    <n v="8661"/>
    <m/>
    <m/>
    <x v="1"/>
    <n v="0"/>
  </r>
  <r>
    <x v="1"/>
    <x v="13"/>
    <x v="13"/>
    <x v="3"/>
    <s v="Apoyo a la función pública y al mejoramiento de la gestión"/>
    <x v="32"/>
    <x v="121"/>
    <x v="49"/>
    <x v="43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920000"/>
    <n v="0"/>
    <n v="-103394"/>
    <n v="6816606"/>
    <n v="7949606"/>
    <m/>
    <x v="1"/>
    <n v="7949606"/>
  </r>
  <r>
    <x v="1"/>
    <x v="13"/>
    <x v="13"/>
    <x v="3"/>
    <s v="Apoyo a la función pública y al mejoramiento de la gestión"/>
    <x v="32"/>
    <x v="121"/>
    <x v="30"/>
    <x v="45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591831"/>
    <n v="0"/>
    <n v="-8843"/>
    <n v="582988"/>
    <n v="457913"/>
    <m/>
    <x v="1"/>
    <n v="457913"/>
  </r>
  <r>
    <x v="1"/>
    <x v="13"/>
    <x v="13"/>
    <x v="3"/>
    <s v="Apoyo a la función pública y al mejoramiento de la gestión"/>
    <x v="32"/>
    <x v="121"/>
    <x v="30"/>
    <x v="459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40472"/>
    <n v="0"/>
    <n v="-605"/>
    <n v="39867"/>
    <m/>
    <m/>
    <x v="1"/>
    <n v="0"/>
  </r>
  <r>
    <x v="1"/>
    <x v="13"/>
    <x v="13"/>
    <x v="5"/>
    <s v="Planeación, seguimiento y evaluación de políticas públicas"/>
    <x v="2"/>
    <x v="325"/>
    <x v="1"/>
    <x v="78"/>
    <n v="2"/>
    <s v="Desarrollo Social"/>
    <n v="0"/>
    <s v="Educación"/>
    <n v="9"/>
    <x v="47"/>
    <x v="6"/>
    <x v="88"/>
    <n v="1"/>
    <s v="Gasto corriente"/>
    <x v="0"/>
    <x v="1"/>
    <x v="0"/>
    <x v="0"/>
    <x v="0"/>
    <x v="0"/>
    <x v="0"/>
    <m/>
    <x v="0"/>
    <x v="0"/>
    <m/>
    <n v="1820557"/>
    <n v="0"/>
    <n v="0"/>
    <n v="1820557"/>
    <n v="1893379"/>
    <m/>
    <x v="1"/>
    <n v="1893379"/>
  </r>
  <r>
    <x v="1"/>
    <x v="13"/>
    <x v="13"/>
    <x v="5"/>
    <s v="Planeación, seguimiento y evaluación de políticas públicas"/>
    <x v="2"/>
    <x v="325"/>
    <x v="1"/>
    <x v="78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77452163"/>
    <n v="0"/>
    <n v="-1157233"/>
    <n v="76294930"/>
    <n v="65001949"/>
    <m/>
    <x v="1"/>
    <n v="65001949"/>
  </r>
  <r>
    <x v="1"/>
    <x v="13"/>
    <x v="13"/>
    <x v="5"/>
    <s v="Planeación, seguimiento y evaluación de políticas públicas"/>
    <x v="2"/>
    <x v="325"/>
    <x v="23"/>
    <x v="474"/>
    <n v="2"/>
    <s v="Desarrollo Social"/>
    <n v="0"/>
    <s v="Educación"/>
    <n v="9"/>
    <x v="47"/>
    <x v="6"/>
    <x v="88"/>
    <n v="1"/>
    <s v="Gasto corriente"/>
    <x v="0"/>
    <x v="1"/>
    <x v="0"/>
    <x v="0"/>
    <x v="0"/>
    <x v="0"/>
    <x v="0"/>
    <m/>
    <x v="0"/>
    <x v="0"/>
    <m/>
    <n v="1340271"/>
    <n v="0"/>
    <n v="0"/>
    <n v="1340271"/>
    <n v="1393882"/>
    <m/>
    <x v="1"/>
    <n v="1393882"/>
  </r>
  <r>
    <x v="1"/>
    <x v="13"/>
    <x v="13"/>
    <x v="5"/>
    <s v="Planeación, seguimiento y evaluación de políticas públicas"/>
    <x v="2"/>
    <x v="325"/>
    <x v="23"/>
    <x v="474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28977767"/>
    <n v="0"/>
    <n v="-432965"/>
    <n v="28544802"/>
    <n v="27270765"/>
    <m/>
    <x v="1"/>
    <n v="27270765"/>
  </r>
  <r>
    <x v="1"/>
    <x v="13"/>
    <x v="13"/>
    <x v="5"/>
    <s v="Planeación, seguimiento y evaluación de políticas públicas"/>
    <x v="2"/>
    <x v="325"/>
    <x v="21"/>
    <x v="475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2216433"/>
    <n v="0"/>
    <n v="0"/>
    <n v="2216433"/>
    <n v="2305090"/>
    <m/>
    <x v="1"/>
    <n v="2305090"/>
  </r>
  <r>
    <x v="1"/>
    <x v="13"/>
    <x v="13"/>
    <x v="5"/>
    <s v="Planeación, seguimiento y evaluación de políticas públicas"/>
    <x v="2"/>
    <x v="325"/>
    <x v="21"/>
    <x v="475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7334512"/>
    <n v="0"/>
    <n v="-707241"/>
    <n v="46627271"/>
    <n v="42619477"/>
    <m/>
    <x v="1"/>
    <n v="42619477"/>
  </r>
  <r>
    <x v="1"/>
    <x v="13"/>
    <x v="13"/>
    <x v="5"/>
    <s v="Planeación, seguimiento y evaluación de políticas públicas"/>
    <x v="2"/>
    <x v="325"/>
    <x v="20"/>
    <x v="476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370366"/>
    <n v="0"/>
    <n v="0"/>
    <n v="370366"/>
    <n v="385181"/>
    <m/>
    <x v="1"/>
    <n v="385181"/>
  </r>
  <r>
    <x v="1"/>
    <x v="13"/>
    <x v="13"/>
    <x v="5"/>
    <s v="Planeación, seguimiento y evaluación de políticas públicas"/>
    <x v="2"/>
    <x v="325"/>
    <x v="20"/>
    <x v="476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3994221"/>
    <n v="0"/>
    <n v="-507918"/>
    <n v="33486303"/>
    <n v="29681408"/>
    <m/>
    <x v="1"/>
    <n v="29681408"/>
  </r>
  <r>
    <x v="1"/>
    <x v="13"/>
    <x v="13"/>
    <x v="5"/>
    <s v="Planeación, seguimiento y evaluación de políticas públicas"/>
    <x v="2"/>
    <x v="325"/>
    <x v="24"/>
    <x v="477"/>
    <n v="2"/>
    <s v="Desarrollo Social"/>
    <n v="0"/>
    <s v="Educación"/>
    <n v="9"/>
    <x v="47"/>
    <x v="7"/>
    <x v="92"/>
    <n v="1"/>
    <s v="Gasto corriente"/>
    <x v="0"/>
    <x v="1"/>
    <x v="0"/>
    <x v="0"/>
    <x v="0"/>
    <x v="0"/>
    <x v="0"/>
    <m/>
    <x v="0"/>
    <x v="0"/>
    <m/>
    <n v="849909"/>
    <n v="0"/>
    <n v="0"/>
    <n v="849909"/>
    <n v="1222268"/>
    <m/>
    <x v="1"/>
    <n v="1222268"/>
  </r>
  <r>
    <x v="1"/>
    <x v="13"/>
    <x v="13"/>
    <x v="5"/>
    <s v="Planeación, seguimiento y evaluación de políticas públicas"/>
    <x v="2"/>
    <x v="325"/>
    <x v="24"/>
    <x v="477"/>
    <n v="2"/>
    <s v="Desarrollo Social"/>
    <n v="0"/>
    <s v="Educación"/>
    <n v="9"/>
    <x v="47"/>
    <x v="7"/>
    <x v="92"/>
    <n v="1"/>
    <s v="Gasto corriente"/>
    <x v="0"/>
    <x v="0"/>
    <x v="0"/>
    <x v="0"/>
    <x v="0"/>
    <x v="0"/>
    <x v="0"/>
    <m/>
    <x v="0"/>
    <x v="0"/>
    <m/>
    <n v="34017762"/>
    <n v="0"/>
    <n v="-508269"/>
    <n v="33509493"/>
    <n v="42806777"/>
    <m/>
    <x v="1"/>
    <n v="42806777"/>
  </r>
  <r>
    <x v="1"/>
    <x v="13"/>
    <x v="13"/>
    <x v="5"/>
    <s v="Planeación, seguimiento y evaluación de políticas públicas"/>
    <x v="2"/>
    <x v="325"/>
    <x v="24"/>
    <x v="477"/>
    <n v="2"/>
    <s v="Desarrollo Social"/>
    <n v="0"/>
    <s v="Educación"/>
    <n v="9"/>
    <x v="47"/>
    <x v="7"/>
    <x v="92"/>
    <n v="2"/>
    <s v="Gasto de capital"/>
    <x v="0"/>
    <x v="0"/>
    <x v="0"/>
    <x v="0"/>
    <x v="0"/>
    <x v="0"/>
    <x v="0"/>
    <m/>
    <x v="0"/>
    <x v="0"/>
    <m/>
    <m/>
    <m/>
    <m/>
    <m/>
    <n v="50000"/>
    <m/>
    <x v="1"/>
    <n v="50000"/>
  </r>
  <r>
    <x v="1"/>
    <x v="13"/>
    <x v="13"/>
    <x v="5"/>
    <s v="Planeación, seguimiento y evaluación de políticas públicas"/>
    <x v="2"/>
    <x v="325"/>
    <x v="18"/>
    <x v="478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64152"/>
    <n v="0"/>
    <n v="0"/>
    <n v="164152"/>
    <n v="170718"/>
    <m/>
    <x v="1"/>
    <n v="170718"/>
  </r>
  <r>
    <x v="1"/>
    <x v="13"/>
    <x v="13"/>
    <x v="5"/>
    <s v="Planeación, seguimiento y evaluación de políticas públicas"/>
    <x v="2"/>
    <x v="325"/>
    <x v="18"/>
    <x v="478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097095"/>
    <n v="0"/>
    <n v="-61214"/>
    <n v="4035881"/>
    <n v="4105107"/>
    <m/>
    <x v="1"/>
    <n v="4105107"/>
  </r>
  <r>
    <x v="1"/>
    <x v="13"/>
    <x v="13"/>
    <x v="5"/>
    <s v="Planeación, seguimiento y evaluación de políticas públicas"/>
    <x v="2"/>
    <x v="325"/>
    <x v="107"/>
    <x v="479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73556"/>
    <n v="0"/>
    <n v="0"/>
    <n v="173556"/>
    <n v="180498"/>
    <m/>
    <x v="1"/>
    <n v="180498"/>
  </r>
  <r>
    <x v="1"/>
    <x v="13"/>
    <x v="13"/>
    <x v="5"/>
    <s v="Planeación, seguimiento y evaluación de políticas públicas"/>
    <x v="2"/>
    <x v="325"/>
    <x v="107"/>
    <x v="479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371442"/>
    <n v="0"/>
    <n v="-65315"/>
    <n v="4306127"/>
    <n v="4340630"/>
    <m/>
    <x v="1"/>
    <n v="4340630"/>
  </r>
  <r>
    <x v="1"/>
    <x v="13"/>
    <x v="13"/>
    <x v="5"/>
    <s v="Planeación, seguimiento y evaluación de políticas públicas"/>
    <x v="2"/>
    <x v="325"/>
    <x v="83"/>
    <x v="480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28115"/>
    <n v="0"/>
    <n v="0"/>
    <n v="128115"/>
    <n v="133240"/>
    <m/>
    <x v="1"/>
    <n v="133240"/>
  </r>
  <r>
    <x v="1"/>
    <x v="13"/>
    <x v="13"/>
    <x v="5"/>
    <s v="Planeación, seguimiento y evaluación de políticas públicas"/>
    <x v="2"/>
    <x v="325"/>
    <x v="83"/>
    <x v="480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923915"/>
    <n v="0"/>
    <n v="-58632"/>
    <n v="3865283"/>
    <n v="3860242"/>
    <m/>
    <x v="1"/>
    <n v="3860242"/>
  </r>
  <r>
    <x v="1"/>
    <x v="13"/>
    <x v="13"/>
    <x v="5"/>
    <s v="Planeación, seguimiento y evaluación de políticas públicas"/>
    <x v="2"/>
    <x v="325"/>
    <x v="108"/>
    <x v="481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51916"/>
    <n v="0"/>
    <n v="0"/>
    <n v="151916"/>
    <n v="157992"/>
    <m/>
    <x v="1"/>
    <n v="157992"/>
  </r>
  <r>
    <x v="1"/>
    <x v="13"/>
    <x v="13"/>
    <x v="5"/>
    <s v="Planeación, seguimiento y evaluación de políticas públicas"/>
    <x v="2"/>
    <x v="325"/>
    <x v="108"/>
    <x v="481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017306"/>
    <n v="0"/>
    <n v="-60024"/>
    <n v="3957282"/>
    <n v="3986165"/>
    <m/>
    <x v="1"/>
    <n v="3986165"/>
  </r>
  <r>
    <x v="1"/>
    <x v="13"/>
    <x v="13"/>
    <x v="5"/>
    <s v="Planeación, seguimiento y evaluación de políticas públicas"/>
    <x v="2"/>
    <x v="325"/>
    <x v="109"/>
    <x v="482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31373"/>
    <n v="0"/>
    <n v="0"/>
    <n v="131373"/>
    <n v="136628"/>
    <m/>
    <x v="1"/>
    <n v="136628"/>
  </r>
  <r>
    <x v="1"/>
    <x v="13"/>
    <x v="13"/>
    <x v="5"/>
    <s v="Planeación, seguimiento y evaluación de políticas públicas"/>
    <x v="2"/>
    <x v="325"/>
    <x v="109"/>
    <x v="482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828951"/>
    <n v="0"/>
    <n v="-57207"/>
    <n v="3771744"/>
    <n v="3860848"/>
    <m/>
    <x v="1"/>
    <n v="3860848"/>
  </r>
  <r>
    <x v="1"/>
    <x v="13"/>
    <x v="13"/>
    <x v="5"/>
    <s v="Planeación, seguimiento y evaluación de políticas públicas"/>
    <x v="2"/>
    <x v="325"/>
    <x v="110"/>
    <x v="483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23670"/>
    <n v="0"/>
    <n v="0"/>
    <n v="123670"/>
    <n v="128617"/>
    <m/>
    <x v="1"/>
    <n v="128617"/>
  </r>
  <r>
    <x v="1"/>
    <x v="13"/>
    <x v="13"/>
    <x v="5"/>
    <s v="Planeación, seguimiento y evaluación de políticas públicas"/>
    <x v="2"/>
    <x v="325"/>
    <x v="110"/>
    <x v="483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560802"/>
    <n v="0"/>
    <n v="-53202"/>
    <n v="3507600"/>
    <n v="3619097"/>
    <m/>
    <x v="1"/>
    <n v="3619097"/>
  </r>
  <r>
    <x v="1"/>
    <x v="13"/>
    <x v="13"/>
    <x v="5"/>
    <s v="Planeación, seguimiento y evaluación de políticas públicas"/>
    <x v="2"/>
    <x v="325"/>
    <x v="26"/>
    <x v="484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217876"/>
    <n v="0"/>
    <n v="0"/>
    <n v="217876"/>
    <n v="226591"/>
    <m/>
    <x v="1"/>
    <n v="226591"/>
  </r>
  <r>
    <x v="1"/>
    <x v="13"/>
    <x v="13"/>
    <x v="5"/>
    <s v="Planeación, seguimiento y evaluación de políticas públicas"/>
    <x v="2"/>
    <x v="325"/>
    <x v="26"/>
    <x v="484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866050"/>
    <n v="0"/>
    <n v="-72703"/>
    <n v="4793347"/>
    <n v="4525160"/>
    <m/>
    <x v="1"/>
    <n v="4525160"/>
  </r>
  <r>
    <x v="1"/>
    <x v="13"/>
    <x v="13"/>
    <x v="5"/>
    <s v="Planeación, seguimiento y evaluación de políticas públicas"/>
    <x v="2"/>
    <x v="325"/>
    <x v="27"/>
    <x v="485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52026"/>
    <n v="0"/>
    <n v="0"/>
    <n v="152026"/>
    <n v="158107"/>
    <m/>
    <x v="1"/>
    <n v="158107"/>
  </r>
  <r>
    <x v="1"/>
    <x v="13"/>
    <x v="13"/>
    <x v="5"/>
    <s v="Planeación, seguimiento y evaluación de políticas públicas"/>
    <x v="2"/>
    <x v="325"/>
    <x v="27"/>
    <x v="485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980109"/>
    <n v="0"/>
    <n v="-59470"/>
    <n v="3920639"/>
    <n v="3941144"/>
    <m/>
    <x v="1"/>
    <n v="3941144"/>
  </r>
  <r>
    <x v="1"/>
    <x v="13"/>
    <x v="13"/>
    <x v="5"/>
    <s v="Planeación, seguimiento y evaluación de políticas públicas"/>
    <x v="2"/>
    <x v="325"/>
    <x v="28"/>
    <x v="486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74047"/>
    <n v="0"/>
    <n v="0"/>
    <n v="174047"/>
    <n v="181009"/>
    <m/>
    <x v="1"/>
    <n v="181009"/>
  </r>
  <r>
    <x v="1"/>
    <x v="13"/>
    <x v="13"/>
    <x v="5"/>
    <s v="Planeación, seguimiento y evaluación de políticas públicas"/>
    <x v="2"/>
    <x v="325"/>
    <x v="28"/>
    <x v="486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236105"/>
    <n v="0"/>
    <n v="-63295"/>
    <n v="4172810"/>
    <n v="4211387"/>
    <m/>
    <x v="1"/>
    <n v="4211387"/>
  </r>
  <r>
    <x v="1"/>
    <x v="13"/>
    <x v="13"/>
    <x v="5"/>
    <s v="Planeación, seguimiento y evaluación de políticas públicas"/>
    <x v="2"/>
    <x v="325"/>
    <x v="29"/>
    <x v="487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21375"/>
    <n v="0"/>
    <n v="0"/>
    <n v="121375"/>
    <n v="126230"/>
    <m/>
    <x v="1"/>
    <n v="126230"/>
  </r>
  <r>
    <x v="1"/>
    <x v="13"/>
    <x v="13"/>
    <x v="5"/>
    <s v="Planeación, seguimiento y evaluación de políticas públicas"/>
    <x v="2"/>
    <x v="325"/>
    <x v="29"/>
    <x v="487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504103"/>
    <n v="0"/>
    <n v="-52357"/>
    <n v="3451746"/>
    <n v="3520282"/>
    <m/>
    <x v="1"/>
    <n v="3520282"/>
  </r>
  <r>
    <x v="1"/>
    <x v="13"/>
    <x v="13"/>
    <x v="5"/>
    <s v="Planeación, seguimiento y evaluación de políticas públicas"/>
    <x v="2"/>
    <x v="325"/>
    <x v="111"/>
    <x v="488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73401"/>
    <n v="0"/>
    <n v="0"/>
    <n v="173401"/>
    <n v="180337"/>
    <m/>
    <x v="1"/>
    <n v="180337"/>
  </r>
  <r>
    <x v="1"/>
    <x v="13"/>
    <x v="13"/>
    <x v="5"/>
    <s v="Planeación, seguimiento y evaluación de políticas públicas"/>
    <x v="2"/>
    <x v="325"/>
    <x v="111"/>
    <x v="488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348149"/>
    <n v="0"/>
    <n v="-64970"/>
    <n v="4283179"/>
    <n v="4404582"/>
    <m/>
    <x v="1"/>
    <n v="4404582"/>
  </r>
  <r>
    <x v="1"/>
    <x v="13"/>
    <x v="13"/>
    <x v="5"/>
    <s v="Planeación, seguimiento y evaluación de políticas públicas"/>
    <x v="2"/>
    <x v="325"/>
    <x v="121"/>
    <x v="489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226475"/>
    <n v="0"/>
    <n v="0"/>
    <n v="226475"/>
    <n v="235534"/>
    <m/>
    <x v="1"/>
    <n v="235534"/>
  </r>
  <r>
    <x v="1"/>
    <x v="13"/>
    <x v="13"/>
    <x v="5"/>
    <s v="Planeación, seguimiento y evaluación de políticas públicas"/>
    <x v="2"/>
    <x v="325"/>
    <x v="121"/>
    <x v="489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535720"/>
    <n v="0"/>
    <n v="-67772"/>
    <n v="4467948"/>
    <n v="4487531"/>
    <m/>
    <x v="1"/>
    <n v="4487531"/>
  </r>
  <r>
    <x v="1"/>
    <x v="13"/>
    <x v="13"/>
    <x v="5"/>
    <s v="Planeación, seguimiento y evaluación de políticas públicas"/>
    <x v="2"/>
    <x v="325"/>
    <x v="122"/>
    <x v="490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73807"/>
    <n v="0"/>
    <n v="0"/>
    <n v="173807"/>
    <n v="180760"/>
    <m/>
    <x v="1"/>
    <n v="180760"/>
  </r>
  <r>
    <x v="1"/>
    <x v="13"/>
    <x v="13"/>
    <x v="5"/>
    <s v="Planeación, seguimiento y evaluación de políticas públicas"/>
    <x v="2"/>
    <x v="325"/>
    <x v="122"/>
    <x v="490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144827"/>
    <n v="0"/>
    <n v="-61930"/>
    <n v="4082897"/>
    <n v="4259370"/>
    <m/>
    <x v="1"/>
    <n v="4259370"/>
  </r>
  <r>
    <x v="1"/>
    <x v="13"/>
    <x v="13"/>
    <x v="5"/>
    <s v="Planeación, seguimiento y evaluación de políticas públicas"/>
    <x v="2"/>
    <x v="325"/>
    <x v="113"/>
    <x v="491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51185"/>
    <n v="0"/>
    <n v="0"/>
    <n v="151185"/>
    <n v="157233"/>
    <m/>
    <x v="1"/>
    <n v="157233"/>
  </r>
  <r>
    <x v="1"/>
    <x v="13"/>
    <x v="13"/>
    <x v="5"/>
    <s v="Planeación, seguimiento y evaluación de políticas públicas"/>
    <x v="2"/>
    <x v="325"/>
    <x v="113"/>
    <x v="491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799402"/>
    <n v="0"/>
    <n v="-56768"/>
    <n v="3742634"/>
    <n v="3863264"/>
    <m/>
    <x v="1"/>
    <n v="3863264"/>
  </r>
  <r>
    <x v="1"/>
    <x v="13"/>
    <x v="13"/>
    <x v="5"/>
    <s v="Planeación, seguimiento y evaluación de políticas públicas"/>
    <x v="2"/>
    <x v="325"/>
    <x v="112"/>
    <x v="492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52721"/>
    <n v="0"/>
    <n v="0"/>
    <n v="152721"/>
    <n v="158829"/>
    <m/>
    <x v="1"/>
    <n v="158829"/>
  </r>
  <r>
    <x v="1"/>
    <x v="13"/>
    <x v="13"/>
    <x v="5"/>
    <s v="Planeación, seguimiento y evaluación de políticas públicas"/>
    <x v="2"/>
    <x v="325"/>
    <x v="112"/>
    <x v="492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837377"/>
    <n v="0"/>
    <n v="-57339"/>
    <n v="3780038"/>
    <n v="3936212"/>
    <m/>
    <x v="1"/>
    <n v="3936212"/>
  </r>
  <r>
    <x v="1"/>
    <x v="13"/>
    <x v="13"/>
    <x v="5"/>
    <s v="Planeación, seguimiento y evaluación de políticas públicas"/>
    <x v="2"/>
    <x v="325"/>
    <x v="123"/>
    <x v="493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64343"/>
    <n v="0"/>
    <n v="0"/>
    <n v="164343"/>
    <n v="170917"/>
    <m/>
    <x v="1"/>
    <n v="170917"/>
  </r>
  <r>
    <x v="1"/>
    <x v="13"/>
    <x v="13"/>
    <x v="5"/>
    <s v="Planeación, seguimiento y evaluación de políticas públicas"/>
    <x v="2"/>
    <x v="325"/>
    <x v="123"/>
    <x v="493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082214"/>
    <n v="0"/>
    <n v="-60994"/>
    <n v="4021220"/>
    <n v="4208594"/>
    <m/>
    <x v="1"/>
    <n v="4208594"/>
  </r>
  <r>
    <x v="1"/>
    <x v="13"/>
    <x v="13"/>
    <x v="5"/>
    <s v="Planeación, seguimiento y evaluación de políticas públicas"/>
    <x v="2"/>
    <x v="325"/>
    <x v="116"/>
    <x v="494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53856"/>
    <n v="0"/>
    <n v="0"/>
    <n v="153856"/>
    <n v="160010"/>
    <m/>
    <x v="1"/>
    <n v="160010"/>
  </r>
  <r>
    <x v="1"/>
    <x v="13"/>
    <x v="13"/>
    <x v="5"/>
    <s v="Planeación, seguimiento y evaluación de políticas públicas"/>
    <x v="2"/>
    <x v="325"/>
    <x v="116"/>
    <x v="494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062468"/>
    <n v="0"/>
    <n v="-60702"/>
    <n v="4001766"/>
    <n v="3990827"/>
    <m/>
    <x v="1"/>
    <n v="3990827"/>
  </r>
  <r>
    <x v="1"/>
    <x v="13"/>
    <x v="13"/>
    <x v="5"/>
    <s v="Planeación, seguimiento y evaluación de políticas públicas"/>
    <x v="2"/>
    <x v="325"/>
    <x v="114"/>
    <x v="495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32223"/>
    <n v="0"/>
    <n v="0"/>
    <n v="132223"/>
    <n v="137512"/>
    <m/>
    <x v="1"/>
    <n v="137512"/>
  </r>
  <r>
    <x v="1"/>
    <x v="13"/>
    <x v="13"/>
    <x v="5"/>
    <s v="Planeación, seguimiento y evaluación de políticas públicas"/>
    <x v="2"/>
    <x v="325"/>
    <x v="114"/>
    <x v="495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845190"/>
    <n v="0"/>
    <n v="-57450"/>
    <n v="3787740"/>
    <n v="3840672"/>
    <m/>
    <x v="1"/>
    <n v="3840672"/>
  </r>
  <r>
    <x v="1"/>
    <x v="13"/>
    <x v="13"/>
    <x v="5"/>
    <s v="Planeación, seguimiento y evaluación de políticas públicas"/>
    <x v="2"/>
    <x v="325"/>
    <x v="117"/>
    <x v="496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280824"/>
    <n v="0"/>
    <n v="0"/>
    <n v="280824"/>
    <n v="292057"/>
    <m/>
    <x v="1"/>
    <n v="292057"/>
  </r>
  <r>
    <x v="1"/>
    <x v="13"/>
    <x v="13"/>
    <x v="5"/>
    <s v="Planeación, seguimiento y evaluación de políticas públicas"/>
    <x v="2"/>
    <x v="325"/>
    <x v="117"/>
    <x v="496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5191242"/>
    <n v="0"/>
    <n v="-77567"/>
    <n v="5113675"/>
    <n v="5239548"/>
    <m/>
    <x v="1"/>
    <n v="5239548"/>
  </r>
  <r>
    <x v="1"/>
    <x v="13"/>
    <x v="13"/>
    <x v="5"/>
    <s v="Planeación, seguimiento y evaluación de políticas públicas"/>
    <x v="2"/>
    <x v="325"/>
    <x v="124"/>
    <x v="497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63134"/>
    <n v="0"/>
    <n v="0"/>
    <n v="163134"/>
    <n v="169659"/>
    <m/>
    <x v="1"/>
    <n v="169659"/>
  </r>
  <r>
    <x v="1"/>
    <x v="13"/>
    <x v="13"/>
    <x v="5"/>
    <s v="Planeación, seguimiento y evaluación de políticas públicas"/>
    <x v="2"/>
    <x v="325"/>
    <x v="124"/>
    <x v="497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067049"/>
    <n v="0"/>
    <n v="-60768"/>
    <n v="4006281"/>
    <n v="4070154"/>
    <m/>
    <x v="1"/>
    <n v="4070154"/>
  </r>
  <r>
    <x v="1"/>
    <x v="13"/>
    <x v="13"/>
    <x v="5"/>
    <s v="Planeación, seguimiento y evaluación de políticas públicas"/>
    <x v="2"/>
    <x v="325"/>
    <x v="125"/>
    <x v="498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54107"/>
    <n v="0"/>
    <n v="0"/>
    <n v="154107"/>
    <n v="160271"/>
    <m/>
    <x v="1"/>
    <n v="160271"/>
  </r>
  <r>
    <x v="1"/>
    <x v="13"/>
    <x v="13"/>
    <x v="5"/>
    <s v="Planeación, seguimiento y evaluación de políticas públicas"/>
    <x v="2"/>
    <x v="325"/>
    <x v="125"/>
    <x v="498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883552"/>
    <n v="0"/>
    <n v="-58027"/>
    <n v="3825525"/>
    <n v="3870750"/>
    <m/>
    <x v="1"/>
    <n v="3870750"/>
  </r>
  <r>
    <x v="1"/>
    <x v="13"/>
    <x v="13"/>
    <x v="5"/>
    <s v="Planeación, seguimiento y evaluación de políticas públicas"/>
    <x v="2"/>
    <x v="325"/>
    <x v="126"/>
    <x v="499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39806"/>
    <n v="0"/>
    <n v="0"/>
    <n v="139806"/>
    <n v="145398"/>
    <m/>
    <x v="1"/>
    <n v="145398"/>
  </r>
  <r>
    <x v="1"/>
    <x v="13"/>
    <x v="13"/>
    <x v="5"/>
    <s v="Planeación, seguimiento y evaluación de políticas públicas"/>
    <x v="2"/>
    <x v="325"/>
    <x v="126"/>
    <x v="499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108095"/>
    <n v="0"/>
    <n v="-61380"/>
    <n v="4046715"/>
    <n v="3910604"/>
    <m/>
    <x v="1"/>
    <n v="3910604"/>
  </r>
  <r>
    <x v="1"/>
    <x v="13"/>
    <x v="13"/>
    <x v="5"/>
    <s v="Planeación, seguimiento y evaluación de políticas públicas"/>
    <x v="2"/>
    <x v="325"/>
    <x v="127"/>
    <x v="500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53868"/>
    <n v="0"/>
    <n v="0"/>
    <n v="153868"/>
    <n v="160023"/>
    <m/>
    <x v="1"/>
    <n v="160023"/>
  </r>
  <r>
    <x v="1"/>
    <x v="13"/>
    <x v="13"/>
    <x v="5"/>
    <s v="Planeación, seguimiento y evaluación de políticas públicas"/>
    <x v="2"/>
    <x v="325"/>
    <x v="127"/>
    <x v="500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915078"/>
    <n v="0"/>
    <n v="-58496"/>
    <n v="3856582"/>
    <n v="3943727"/>
    <m/>
    <x v="1"/>
    <n v="3943727"/>
  </r>
  <r>
    <x v="1"/>
    <x v="13"/>
    <x v="13"/>
    <x v="5"/>
    <s v="Planeación, seguimiento y evaluación de políticas públicas"/>
    <x v="2"/>
    <x v="325"/>
    <x v="128"/>
    <x v="501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63134"/>
    <n v="0"/>
    <n v="0"/>
    <n v="163134"/>
    <n v="169659"/>
    <m/>
    <x v="1"/>
    <n v="169659"/>
  </r>
  <r>
    <x v="1"/>
    <x v="13"/>
    <x v="13"/>
    <x v="5"/>
    <s v="Planeación, seguimiento y evaluación de políticas públicas"/>
    <x v="2"/>
    <x v="325"/>
    <x v="128"/>
    <x v="501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141442"/>
    <n v="0"/>
    <n v="-61879"/>
    <n v="4079563"/>
    <n v="4084327"/>
    <m/>
    <x v="1"/>
    <n v="4084327"/>
  </r>
  <r>
    <x v="1"/>
    <x v="13"/>
    <x v="13"/>
    <x v="5"/>
    <s v="Planeación, seguimiento y evaluación de políticas públicas"/>
    <x v="2"/>
    <x v="325"/>
    <x v="129"/>
    <x v="502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63855"/>
    <n v="0"/>
    <n v="0"/>
    <n v="163855"/>
    <n v="170409"/>
    <m/>
    <x v="1"/>
    <n v="170409"/>
  </r>
  <r>
    <x v="1"/>
    <x v="13"/>
    <x v="13"/>
    <x v="5"/>
    <s v="Planeación, seguimiento y evaluación de políticas públicas"/>
    <x v="2"/>
    <x v="325"/>
    <x v="129"/>
    <x v="502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139269"/>
    <n v="0"/>
    <n v="-61847"/>
    <n v="4077422"/>
    <n v="4018277"/>
    <m/>
    <x v="1"/>
    <n v="4018277"/>
  </r>
  <r>
    <x v="1"/>
    <x v="13"/>
    <x v="13"/>
    <x v="5"/>
    <s v="Planeación, seguimiento y evaluación de políticas públicas"/>
    <x v="2"/>
    <x v="325"/>
    <x v="130"/>
    <x v="503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205860"/>
    <n v="0"/>
    <n v="0"/>
    <n v="205860"/>
    <n v="214095"/>
    <m/>
    <x v="1"/>
    <n v="214095"/>
  </r>
  <r>
    <x v="1"/>
    <x v="13"/>
    <x v="13"/>
    <x v="5"/>
    <s v="Planeación, seguimiento y evaluación de políticas públicas"/>
    <x v="2"/>
    <x v="325"/>
    <x v="130"/>
    <x v="503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729847"/>
    <n v="0"/>
    <n v="-70671"/>
    <n v="4659176"/>
    <n v="4573170"/>
    <m/>
    <x v="1"/>
    <n v="4573170"/>
  </r>
  <r>
    <x v="1"/>
    <x v="13"/>
    <x v="13"/>
    <x v="5"/>
    <s v="Planeación, seguimiento y evaluación de políticas públicas"/>
    <x v="2"/>
    <x v="325"/>
    <x v="131"/>
    <x v="504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74701"/>
    <n v="0"/>
    <n v="0"/>
    <n v="174701"/>
    <n v="181689"/>
    <m/>
    <x v="1"/>
    <n v="181689"/>
  </r>
  <r>
    <x v="1"/>
    <x v="13"/>
    <x v="13"/>
    <x v="5"/>
    <s v="Planeación, seguimiento y evaluación de políticas públicas"/>
    <x v="2"/>
    <x v="325"/>
    <x v="131"/>
    <x v="504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286298"/>
    <n v="0"/>
    <n v="-64045"/>
    <n v="4222253"/>
    <n v="4138767"/>
    <m/>
    <x v="1"/>
    <n v="4138767"/>
  </r>
  <r>
    <x v="1"/>
    <x v="13"/>
    <x v="13"/>
    <x v="5"/>
    <s v="Planeación, seguimiento y evaluación de políticas públicas"/>
    <x v="2"/>
    <x v="325"/>
    <x v="132"/>
    <x v="505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75144"/>
    <n v="0"/>
    <n v="0"/>
    <n v="175144"/>
    <n v="182150"/>
    <m/>
    <x v="1"/>
    <n v="182150"/>
  </r>
  <r>
    <x v="1"/>
    <x v="13"/>
    <x v="13"/>
    <x v="5"/>
    <s v="Planeación, seguimiento y evaluación de políticas públicas"/>
    <x v="2"/>
    <x v="325"/>
    <x v="132"/>
    <x v="505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084233"/>
    <n v="0"/>
    <n v="-61026"/>
    <n v="4023207"/>
    <n v="3970677"/>
    <m/>
    <x v="1"/>
    <n v="3970677"/>
  </r>
  <r>
    <x v="1"/>
    <x v="13"/>
    <x v="13"/>
    <x v="5"/>
    <s v="Planeación, seguimiento y evaluación de políticas públicas"/>
    <x v="2"/>
    <x v="325"/>
    <x v="133"/>
    <x v="506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258054"/>
    <n v="0"/>
    <n v="0"/>
    <n v="258054"/>
    <n v="268377"/>
    <m/>
    <x v="1"/>
    <n v="268377"/>
  </r>
  <r>
    <x v="1"/>
    <x v="13"/>
    <x v="13"/>
    <x v="5"/>
    <s v="Planeación, seguimiento y evaluación de políticas públicas"/>
    <x v="2"/>
    <x v="325"/>
    <x v="133"/>
    <x v="506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5036209"/>
    <n v="0"/>
    <n v="-75248"/>
    <n v="4960961"/>
    <n v="4962355"/>
    <m/>
    <x v="1"/>
    <n v="4962355"/>
  </r>
  <r>
    <x v="1"/>
    <x v="13"/>
    <x v="13"/>
    <x v="5"/>
    <s v="Planeación, seguimiento y evaluación de políticas públicas"/>
    <x v="2"/>
    <x v="325"/>
    <x v="134"/>
    <x v="507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225992"/>
    <n v="0"/>
    <n v="0"/>
    <n v="225992"/>
    <n v="235032"/>
    <m/>
    <x v="1"/>
    <n v="235032"/>
  </r>
  <r>
    <x v="1"/>
    <x v="13"/>
    <x v="13"/>
    <x v="5"/>
    <s v="Planeación, seguimiento y evaluación de políticas públicas"/>
    <x v="2"/>
    <x v="325"/>
    <x v="134"/>
    <x v="507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4859891"/>
    <n v="0"/>
    <n v="-72615"/>
    <n v="4787276"/>
    <n v="4830101"/>
    <m/>
    <x v="1"/>
    <n v="4830101"/>
  </r>
  <r>
    <x v="1"/>
    <x v="13"/>
    <x v="13"/>
    <x v="5"/>
    <s v="Planeación, seguimiento y evaluación de políticas públicas"/>
    <x v="2"/>
    <x v="325"/>
    <x v="135"/>
    <x v="508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44030"/>
    <n v="0"/>
    <n v="0"/>
    <n v="144030"/>
    <n v="149791"/>
    <m/>
    <x v="1"/>
    <n v="149791"/>
  </r>
  <r>
    <x v="1"/>
    <x v="13"/>
    <x v="13"/>
    <x v="5"/>
    <s v="Planeación, seguimiento y evaluación de políticas públicas"/>
    <x v="2"/>
    <x v="325"/>
    <x v="135"/>
    <x v="508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3818750"/>
    <n v="0"/>
    <n v="-57059"/>
    <n v="3761691"/>
    <n v="3929928"/>
    <m/>
    <x v="1"/>
    <n v="3929928"/>
  </r>
  <r>
    <x v="1"/>
    <x v="13"/>
    <x v="13"/>
    <x v="5"/>
    <s v="Planeación, seguimiento y evaluación de políticas públicas"/>
    <x v="2"/>
    <x v="325"/>
    <x v="0"/>
    <x v="457"/>
    <n v="2"/>
    <s v="Desarrollo Social"/>
    <n v="0"/>
    <s v="Educación"/>
    <n v="9"/>
    <x v="47"/>
    <x v="6"/>
    <x v="88"/>
    <n v="1"/>
    <s v="Gasto corriente"/>
    <x v="0"/>
    <x v="1"/>
    <x v="0"/>
    <x v="0"/>
    <x v="0"/>
    <x v="0"/>
    <x v="0"/>
    <m/>
    <x v="0"/>
    <x v="0"/>
    <m/>
    <n v="1046802"/>
    <n v="0"/>
    <n v="0"/>
    <n v="1046802"/>
    <n v="1088674"/>
    <m/>
    <x v="1"/>
    <n v="1088674"/>
  </r>
  <r>
    <x v="1"/>
    <x v="13"/>
    <x v="13"/>
    <x v="5"/>
    <s v="Planeación, seguimiento y evaluación de políticas públicas"/>
    <x v="2"/>
    <x v="325"/>
    <x v="0"/>
    <x v="457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71612432"/>
    <n v="35000000"/>
    <n v="-1069985"/>
    <n v="105542447"/>
    <n v="325366894"/>
    <m/>
    <x v="1"/>
    <n v="325366894"/>
  </r>
  <r>
    <x v="1"/>
    <x v="13"/>
    <x v="13"/>
    <x v="5"/>
    <s v="Planeación, seguimiento y evaluación de políticas públicas"/>
    <x v="2"/>
    <x v="325"/>
    <x v="0"/>
    <x v="457"/>
    <n v="2"/>
    <s v="Desarrollo Social"/>
    <n v="0"/>
    <s v="Educación"/>
    <n v="9"/>
    <x v="47"/>
    <x v="6"/>
    <x v="88"/>
    <n v="2"/>
    <s v="Gasto de capital"/>
    <x v="0"/>
    <x v="0"/>
    <x v="0"/>
    <x v="0"/>
    <x v="0"/>
    <x v="0"/>
    <x v="0"/>
    <m/>
    <x v="0"/>
    <x v="0"/>
    <m/>
    <n v="576836"/>
    <n v="0"/>
    <n v="-8619"/>
    <n v="568217"/>
    <n v="568217"/>
    <m/>
    <x v="1"/>
    <n v="568217"/>
  </r>
  <r>
    <x v="1"/>
    <x v="13"/>
    <x v="13"/>
    <x v="5"/>
    <s v="Planeación, seguimiento y evaluación de políticas públicas"/>
    <x v="2"/>
    <x v="325"/>
    <x v="0"/>
    <x v="457"/>
    <n v="2"/>
    <s v="Desarrollo Social"/>
    <n v="0"/>
    <s v="Educación"/>
    <n v="9"/>
    <x v="47"/>
    <x v="8"/>
    <x v="90"/>
    <n v="1"/>
    <s v="Gasto corriente"/>
    <x v="0"/>
    <x v="0"/>
    <x v="0"/>
    <x v="0"/>
    <x v="0"/>
    <x v="0"/>
    <x v="0"/>
    <m/>
    <x v="0"/>
    <x v="0"/>
    <m/>
    <n v="35076314"/>
    <n v="0"/>
    <n v="-524086"/>
    <n v="34552228"/>
    <n v="46404943"/>
    <m/>
    <x v="1"/>
    <n v="46404943"/>
  </r>
  <r>
    <x v="1"/>
    <x v="13"/>
    <x v="13"/>
    <x v="5"/>
    <s v="Planeación, seguimiento y evaluación de políticas públicas"/>
    <x v="2"/>
    <x v="325"/>
    <x v="4"/>
    <x v="509"/>
    <n v="2"/>
    <s v="Desarrollo Social"/>
    <n v="0"/>
    <s v="Educación"/>
    <n v="9"/>
    <x v="47"/>
    <x v="6"/>
    <x v="88"/>
    <n v="1"/>
    <s v="Gasto corriente"/>
    <x v="0"/>
    <x v="1"/>
    <x v="0"/>
    <x v="0"/>
    <x v="0"/>
    <x v="0"/>
    <x v="0"/>
    <m/>
    <x v="0"/>
    <x v="0"/>
    <m/>
    <n v="2915440"/>
    <n v="0"/>
    <n v="0"/>
    <n v="2915440"/>
    <n v="3032057"/>
    <m/>
    <x v="1"/>
    <n v="3032057"/>
  </r>
  <r>
    <x v="1"/>
    <x v="13"/>
    <x v="13"/>
    <x v="5"/>
    <s v="Planeación, seguimiento y evaluación de políticas públicas"/>
    <x v="2"/>
    <x v="325"/>
    <x v="4"/>
    <x v="509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65772174"/>
    <n v="0"/>
    <n v="-982724"/>
    <n v="64789450"/>
    <n v="60817470"/>
    <m/>
    <x v="1"/>
    <n v="60817470"/>
  </r>
  <r>
    <x v="1"/>
    <x v="13"/>
    <x v="13"/>
    <x v="5"/>
    <s v="Planeación, seguimiento y evaluación de políticas públicas"/>
    <x v="2"/>
    <x v="325"/>
    <x v="4"/>
    <x v="509"/>
    <n v="2"/>
    <s v="Desarrollo Social"/>
    <n v="0"/>
    <s v="Educación"/>
    <n v="9"/>
    <x v="47"/>
    <x v="8"/>
    <x v="90"/>
    <n v="1"/>
    <s v="Gasto corriente"/>
    <x v="0"/>
    <x v="0"/>
    <x v="0"/>
    <x v="0"/>
    <x v="0"/>
    <x v="0"/>
    <x v="0"/>
    <m/>
    <x v="0"/>
    <x v="0"/>
    <m/>
    <n v="905301402"/>
    <n v="0"/>
    <n v="-13526390"/>
    <n v="891775012"/>
    <n v="14644998"/>
    <m/>
    <x v="1"/>
    <n v="14644998"/>
  </r>
  <r>
    <x v="1"/>
    <x v="13"/>
    <x v="13"/>
    <x v="5"/>
    <s v="Planeación, seguimiento y evaluación de políticas públicas"/>
    <x v="2"/>
    <x v="325"/>
    <x v="5"/>
    <x v="510"/>
    <n v="2"/>
    <s v="Desarrollo Social"/>
    <n v="0"/>
    <s v="Educación"/>
    <n v="9"/>
    <x v="47"/>
    <x v="6"/>
    <x v="88"/>
    <n v="1"/>
    <s v="Gasto corriente"/>
    <x v="0"/>
    <x v="1"/>
    <x v="0"/>
    <x v="0"/>
    <x v="0"/>
    <x v="0"/>
    <x v="0"/>
    <m/>
    <x v="0"/>
    <x v="0"/>
    <m/>
    <n v="1698974"/>
    <n v="0"/>
    <n v="0"/>
    <n v="1698974"/>
    <n v="1766933"/>
    <m/>
    <x v="1"/>
    <n v="1766933"/>
  </r>
  <r>
    <x v="1"/>
    <x v="13"/>
    <x v="13"/>
    <x v="5"/>
    <s v="Planeación, seguimiento y evaluación de políticas públicas"/>
    <x v="2"/>
    <x v="325"/>
    <x v="5"/>
    <x v="510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31568879"/>
    <n v="0"/>
    <n v="-471679"/>
    <n v="31097200"/>
    <n v="30888509"/>
    <m/>
    <x v="1"/>
    <n v="30888509"/>
  </r>
  <r>
    <x v="1"/>
    <x v="13"/>
    <x v="13"/>
    <x v="5"/>
    <s v="Planeación, seguimiento y evaluación de políticas públicas"/>
    <x v="2"/>
    <x v="325"/>
    <x v="5"/>
    <x v="510"/>
    <n v="2"/>
    <s v="Desarrollo Social"/>
    <n v="0"/>
    <s v="Educación"/>
    <n v="9"/>
    <x v="47"/>
    <x v="8"/>
    <x v="90"/>
    <n v="1"/>
    <s v="Gasto corriente"/>
    <x v="0"/>
    <x v="0"/>
    <x v="0"/>
    <x v="0"/>
    <x v="0"/>
    <x v="0"/>
    <x v="0"/>
    <m/>
    <x v="0"/>
    <x v="0"/>
    <m/>
    <n v="8343079"/>
    <n v="0"/>
    <n v="-124657"/>
    <n v="8218422"/>
    <n v="10892697"/>
    <m/>
    <x v="1"/>
    <n v="10892697"/>
  </r>
  <r>
    <x v="1"/>
    <x v="13"/>
    <x v="13"/>
    <x v="5"/>
    <s v="Planeación, seguimiento y evaluación de políticas públicas"/>
    <x v="2"/>
    <x v="325"/>
    <x v="51"/>
    <x v="511"/>
    <n v="2"/>
    <s v="Desarrollo Social"/>
    <n v="0"/>
    <s v="Educación"/>
    <n v="9"/>
    <x v="47"/>
    <x v="6"/>
    <x v="88"/>
    <n v="1"/>
    <s v="Gasto corriente"/>
    <x v="0"/>
    <x v="1"/>
    <x v="0"/>
    <x v="0"/>
    <x v="0"/>
    <x v="0"/>
    <x v="0"/>
    <m/>
    <x v="0"/>
    <x v="0"/>
    <m/>
    <n v="325349"/>
    <n v="0"/>
    <n v="0"/>
    <n v="325349"/>
    <m/>
    <m/>
    <x v="1"/>
    <n v="0"/>
  </r>
  <r>
    <x v="1"/>
    <x v="13"/>
    <x v="13"/>
    <x v="5"/>
    <s v="Planeación, seguimiento y evaluación de políticas públicas"/>
    <x v="2"/>
    <x v="325"/>
    <x v="51"/>
    <x v="511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15688406"/>
    <n v="0"/>
    <n v="-234404"/>
    <n v="15454002"/>
    <n v="4875590"/>
    <m/>
    <x v="1"/>
    <n v="4875590"/>
  </r>
  <r>
    <x v="1"/>
    <x v="13"/>
    <x v="13"/>
    <x v="5"/>
    <s v="Planeación, seguimiento y evaluación de políticas públicas"/>
    <x v="2"/>
    <x v="325"/>
    <x v="104"/>
    <x v="512"/>
    <n v="2"/>
    <s v="Desarrollo Social"/>
    <n v="0"/>
    <s v="Educación"/>
    <n v="1"/>
    <x v="31"/>
    <x v="6"/>
    <x v="88"/>
    <n v="1"/>
    <s v="Gasto corriente"/>
    <x v="0"/>
    <x v="1"/>
    <x v="0"/>
    <x v="0"/>
    <x v="0"/>
    <x v="0"/>
    <x v="0"/>
    <m/>
    <x v="0"/>
    <x v="0"/>
    <m/>
    <n v="1128278"/>
    <n v="0"/>
    <n v="0"/>
    <n v="1128278"/>
    <n v="1173409"/>
    <m/>
    <x v="1"/>
    <n v="1173409"/>
  </r>
  <r>
    <x v="1"/>
    <x v="13"/>
    <x v="13"/>
    <x v="5"/>
    <s v="Planeación, seguimiento y evaluación de políticas públicas"/>
    <x v="2"/>
    <x v="325"/>
    <x v="104"/>
    <x v="512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m/>
    <x v="0"/>
    <x v="0"/>
    <m/>
    <n v="26641941"/>
    <n v="0"/>
    <n v="-398067"/>
    <n v="26243874"/>
    <n v="23857016"/>
    <m/>
    <x v="1"/>
    <n v="23857016"/>
  </r>
  <r>
    <x v="1"/>
    <x v="13"/>
    <x v="13"/>
    <x v="5"/>
    <s v="Planeación, seguimiento y evaluación de políticas públicas"/>
    <x v="2"/>
    <x v="325"/>
    <x v="263"/>
    <x v="441"/>
    <n v="2"/>
    <s v="Desarrollo Social"/>
    <n v="0"/>
    <s v="Educación"/>
    <n v="1"/>
    <x v="31"/>
    <x v="6"/>
    <x v="88"/>
    <n v="1"/>
    <s v="Gasto corriente"/>
    <x v="0"/>
    <x v="1"/>
    <x v="0"/>
    <x v="0"/>
    <x v="0"/>
    <x v="0"/>
    <x v="0"/>
    <m/>
    <x v="0"/>
    <x v="0"/>
    <m/>
    <n v="4089457"/>
    <n v="0"/>
    <n v="0"/>
    <n v="4089457"/>
    <n v="4253035"/>
    <m/>
    <x v="1"/>
    <n v="4253035"/>
  </r>
  <r>
    <x v="1"/>
    <x v="13"/>
    <x v="13"/>
    <x v="5"/>
    <s v="Planeación, seguimiento y evaluación de políticas públicas"/>
    <x v="2"/>
    <x v="325"/>
    <x v="263"/>
    <x v="441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m/>
    <x v="0"/>
    <x v="0"/>
    <m/>
    <n v="134978856"/>
    <n v="0"/>
    <n v="-2016762"/>
    <n v="132962094"/>
    <n v="127583788"/>
    <m/>
    <x v="1"/>
    <n v="127583788"/>
  </r>
  <r>
    <x v="1"/>
    <x v="13"/>
    <x v="13"/>
    <x v="5"/>
    <s v="Planeación, seguimiento y evaluación de políticas públicas"/>
    <x v="2"/>
    <x v="325"/>
    <x v="7"/>
    <x v="464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m/>
    <x v="0"/>
    <x v="0"/>
    <m/>
    <n v="13295262"/>
    <n v="0"/>
    <n v="-198649"/>
    <n v="13096613"/>
    <n v="9427722"/>
    <m/>
    <x v="1"/>
    <n v="9427722"/>
  </r>
  <r>
    <x v="1"/>
    <x v="13"/>
    <x v="13"/>
    <x v="5"/>
    <s v="Planeación, seguimiento y evaluación de políticas públicas"/>
    <x v="2"/>
    <x v="325"/>
    <x v="53"/>
    <x v="452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355362"/>
    <n v="0"/>
    <n v="0"/>
    <n v="355362"/>
    <n v="369576"/>
    <m/>
    <x v="1"/>
    <n v="369576"/>
  </r>
  <r>
    <x v="1"/>
    <x v="13"/>
    <x v="13"/>
    <x v="5"/>
    <s v="Planeación, seguimiento y evaluación de políticas públicas"/>
    <x v="2"/>
    <x v="325"/>
    <x v="53"/>
    <x v="452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17267271"/>
    <n v="31200000"/>
    <n v="-257999"/>
    <n v="48209272"/>
    <n v="16005923"/>
    <m/>
    <x v="1"/>
    <n v="16005923"/>
  </r>
  <r>
    <x v="1"/>
    <x v="13"/>
    <x v="13"/>
    <x v="5"/>
    <s v="Planeación, seguimiento y evaluación de políticas públicas"/>
    <x v="2"/>
    <x v="325"/>
    <x v="161"/>
    <x v="466"/>
    <n v="2"/>
    <s v="Desarrollo Social"/>
    <n v="0"/>
    <s v="Educación"/>
    <n v="1"/>
    <x v="31"/>
    <x v="6"/>
    <x v="88"/>
    <n v="1"/>
    <s v="Gasto corriente"/>
    <x v="0"/>
    <x v="0"/>
    <x v="1"/>
    <x v="0"/>
    <x v="0"/>
    <x v="0"/>
    <x v="0"/>
    <m/>
    <x v="0"/>
    <x v="0"/>
    <m/>
    <n v="46780739"/>
    <n v="0"/>
    <n v="-698969"/>
    <n v="46081770"/>
    <n v="44502022"/>
    <m/>
    <x v="1"/>
    <n v="44502022"/>
  </r>
  <r>
    <x v="1"/>
    <x v="13"/>
    <x v="13"/>
    <x v="5"/>
    <s v="Planeación, seguimiento y evaluación de políticas públicas"/>
    <x v="2"/>
    <x v="325"/>
    <x v="278"/>
    <x v="467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m/>
    <x v="0"/>
    <x v="0"/>
    <m/>
    <n v="35598654"/>
    <n v="0"/>
    <n v="-531890"/>
    <n v="35066764"/>
    <n v="37432600"/>
    <m/>
    <x v="1"/>
    <n v="37432600"/>
  </r>
  <r>
    <x v="1"/>
    <x v="13"/>
    <x v="13"/>
    <x v="5"/>
    <s v="Planeación, seguimiento y evaluación de políticas públicas"/>
    <x v="2"/>
    <x v="325"/>
    <x v="58"/>
    <x v="461"/>
    <n v="2"/>
    <s v="Desarrollo Social"/>
    <n v="0"/>
    <s v="Educación"/>
    <n v="3"/>
    <x v="29"/>
    <x v="4"/>
    <x v="94"/>
    <n v="1"/>
    <s v="Gasto corriente"/>
    <x v="0"/>
    <x v="1"/>
    <x v="0"/>
    <x v="0"/>
    <x v="0"/>
    <x v="0"/>
    <x v="1"/>
    <m/>
    <x v="0"/>
    <x v="0"/>
    <m/>
    <n v="1371756"/>
    <n v="0"/>
    <n v="0"/>
    <n v="1371756"/>
    <n v="1426626"/>
    <m/>
    <x v="1"/>
    <n v="1426626"/>
  </r>
  <r>
    <x v="1"/>
    <x v="13"/>
    <x v="13"/>
    <x v="5"/>
    <s v="Planeación, seguimiento y evaluación de políticas públicas"/>
    <x v="2"/>
    <x v="325"/>
    <x v="58"/>
    <x v="46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1"/>
    <m/>
    <x v="0"/>
    <x v="0"/>
    <m/>
    <n v="50935042"/>
    <n v="0"/>
    <n v="-761035"/>
    <n v="50174007"/>
    <n v="44218730"/>
    <m/>
    <x v="1"/>
    <n v="44218730"/>
  </r>
  <r>
    <x v="1"/>
    <x v="13"/>
    <x v="13"/>
    <x v="5"/>
    <s v="Planeación, seguimiento y evaluación de políticas públicas"/>
    <x v="2"/>
    <x v="325"/>
    <x v="81"/>
    <x v="458"/>
    <n v="2"/>
    <s v="Desarrollo Social"/>
    <n v="0"/>
    <s v="Educación"/>
    <n v="9"/>
    <x v="47"/>
    <x v="7"/>
    <x v="92"/>
    <n v="1"/>
    <s v="Gasto corriente"/>
    <x v="0"/>
    <x v="1"/>
    <x v="0"/>
    <x v="0"/>
    <x v="0"/>
    <x v="0"/>
    <x v="0"/>
    <m/>
    <x v="0"/>
    <x v="0"/>
    <m/>
    <n v="2366598"/>
    <n v="0"/>
    <n v="0"/>
    <n v="2366598"/>
    <n v="2461262"/>
    <m/>
    <x v="1"/>
    <n v="2461262"/>
  </r>
  <r>
    <x v="1"/>
    <x v="13"/>
    <x v="13"/>
    <x v="5"/>
    <s v="Planeación, seguimiento y evaluación de políticas públicas"/>
    <x v="2"/>
    <x v="325"/>
    <x v="81"/>
    <x v="458"/>
    <n v="2"/>
    <s v="Desarrollo Social"/>
    <n v="0"/>
    <s v="Educación"/>
    <n v="9"/>
    <x v="47"/>
    <x v="7"/>
    <x v="92"/>
    <n v="1"/>
    <s v="Gasto corriente"/>
    <x v="0"/>
    <x v="0"/>
    <x v="0"/>
    <x v="0"/>
    <x v="0"/>
    <x v="0"/>
    <x v="0"/>
    <m/>
    <x v="0"/>
    <x v="0"/>
    <m/>
    <n v="31528881"/>
    <n v="0"/>
    <n v="-471088"/>
    <n v="31057793"/>
    <n v="31520572"/>
    <m/>
    <x v="1"/>
    <n v="31520572"/>
  </r>
  <r>
    <x v="1"/>
    <x v="13"/>
    <x v="13"/>
    <x v="5"/>
    <s v="Planeación, seguimiento y evaluación de políticas públicas"/>
    <x v="2"/>
    <x v="325"/>
    <x v="86"/>
    <x v="513"/>
    <n v="2"/>
    <s v="Desarrollo Social"/>
    <n v="0"/>
    <s v="Educación"/>
    <n v="3"/>
    <x v="29"/>
    <x v="6"/>
    <x v="88"/>
    <n v="1"/>
    <s v="Gasto corriente"/>
    <x v="0"/>
    <x v="1"/>
    <x v="0"/>
    <x v="0"/>
    <x v="0"/>
    <x v="0"/>
    <x v="0"/>
    <m/>
    <x v="0"/>
    <x v="0"/>
    <m/>
    <n v="679421"/>
    <n v="0"/>
    <n v="0"/>
    <n v="679421"/>
    <n v="706597"/>
    <m/>
    <x v="1"/>
    <n v="706597"/>
  </r>
  <r>
    <x v="1"/>
    <x v="13"/>
    <x v="13"/>
    <x v="5"/>
    <s v="Planeación, seguimiento y evaluación de políticas públicas"/>
    <x v="2"/>
    <x v="325"/>
    <x v="86"/>
    <x v="513"/>
    <n v="2"/>
    <s v="Desarrollo Social"/>
    <n v="0"/>
    <s v="Educación"/>
    <n v="3"/>
    <x v="29"/>
    <x v="6"/>
    <x v="88"/>
    <n v="1"/>
    <s v="Gasto corriente"/>
    <x v="0"/>
    <x v="0"/>
    <x v="0"/>
    <x v="0"/>
    <x v="0"/>
    <x v="0"/>
    <x v="0"/>
    <m/>
    <x v="0"/>
    <x v="0"/>
    <m/>
    <n v="24536025"/>
    <n v="0"/>
    <n v="-366600"/>
    <n v="24169425"/>
    <n v="21810443"/>
    <m/>
    <x v="1"/>
    <n v="21810443"/>
  </r>
  <r>
    <x v="1"/>
    <x v="13"/>
    <x v="13"/>
    <x v="5"/>
    <s v="Planeación, seguimiento y evaluación de políticas públicas"/>
    <x v="2"/>
    <x v="325"/>
    <x v="74"/>
    <x v="424"/>
    <n v="2"/>
    <s v="Desarrollo Social"/>
    <n v="0"/>
    <s v="Educación"/>
    <n v="8"/>
    <x v="51"/>
    <x v="6"/>
    <x v="88"/>
    <n v="1"/>
    <s v="Gasto corriente"/>
    <x v="0"/>
    <x v="1"/>
    <x v="0"/>
    <x v="0"/>
    <x v="0"/>
    <x v="0"/>
    <x v="0"/>
    <m/>
    <x v="0"/>
    <x v="0"/>
    <m/>
    <n v="10233488"/>
    <n v="0"/>
    <n v="0"/>
    <n v="10233488"/>
    <n v="10642827"/>
    <m/>
    <x v="1"/>
    <n v="10642827"/>
  </r>
  <r>
    <x v="1"/>
    <x v="13"/>
    <x v="13"/>
    <x v="5"/>
    <s v="Planeación, seguimiento y evaluación de políticas públicas"/>
    <x v="2"/>
    <x v="325"/>
    <x v="74"/>
    <x v="424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0"/>
    <x v="0"/>
    <m/>
    <x v="0"/>
    <x v="0"/>
    <m/>
    <n v="258011394"/>
    <n v="0"/>
    <n v="-3855030"/>
    <n v="254156364"/>
    <n v="255523621"/>
    <m/>
    <x v="1"/>
    <n v="255523621"/>
  </r>
  <r>
    <x v="1"/>
    <x v="13"/>
    <x v="13"/>
    <x v="5"/>
    <s v="Planeación, seguimiento y evaluación de políticas públicas"/>
    <x v="2"/>
    <x v="325"/>
    <x v="257"/>
    <x v="430"/>
    <n v="2"/>
    <s v="Desarrollo Social"/>
    <n v="0"/>
    <s v="Educación"/>
    <n v="2"/>
    <x v="28"/>
    <x v="6"/>
    <x v="88"/>
    <n v="1"/>
    <s v="Gasto corriente"/>
    <x v="0"/>
    <x v="1"/>
    <x v="0"/>
    <x v="0"/>
    <x v="0"/>
    <x v="0"/>
    <x v="0"/>
    <m/>
    <x v="0"/>
    <x v="0"/>
    <m/>
    <n v="4957189"/>
    <n v="0"/>
    <n v="0"/>
    <n v="4957189"/>
    <n v="6076098"/>
    <m/>
    <x v="1"/>
    <n v="6076098"/>
  </r>
  <r>
    <x v="1"/>
    <x v="13"/>
    <x v="13"/>
    <x v="5"/>
    <s v="Planeación, seguimiento y evaluación de políticas públicas"/>
    <x v="2"/>
    <x v="325"/>
    <x v="257"/>
    <x v="430"/>
    <n v="2"/>
    <s v="Desarrollo Social"/>
    <n v="0"/>
    <s v="Educación"/>
    <n v="2"/>
    <x v="28"/>
    <x v="6"/>
    <x v="88"/>
    <n v="1"/>
    <s v="Gasto corriente"/>
    <x v="0"/>
    <x v="0"/>
    <x v="0"/>
    <x v="0"/>
    <x v="0"/>
    <x v="0"/>
    <x v="0"/>
    <m/>
    <x v="0"/>
    <x v="0"/>
    <m/>
    <n v="102535849"/>
    <n v="0"/>
    <n v="-1532021"/>
    <n v="101003828"/>
    <n v="82160472"/>
    <m/>
    <x v="1"/>
    <n v="82160472"/>
  </r>
  <r>
    <x v="1"/>
    <x v="13"/>
    <x v="13"/>
    <x v="5"/>
    <s v="Planeación, seguimiento y evaluación de políticas públicas"/>
    <x v="4"/>
    <x v="326"/>
    <x v="281"/>
    <x v="473"/>
    <n v="2"/>
    <s v="Desarrollo Social"/>
    <n v="0"/>
    <s v="Educación"/>
    <n v="9"/>
    <x v="47"/>
    <x v="8"/>
    <x v="90"/>
    <n v="1"/>
    <s v="Gasto corriente"/>
    <x v="0"/>
    <x v="1"/>
    <x v="1"/>
    <x v="0"/>
    <x v="0"/>
    <x v="0"/>
    <x v="0"/>
    <n v="1"/>
    <x v="0"/>
    <x v="0"/>
    <m/>
    <n v="1592972"/>
    <n v="0"/>
    <n v="0"/>
    <n v="1592972"/>
    <n v="1420994"/>
    <m/>
    <x v="1"/>
    <n v="1420994"/>
  </r>
  <r>
    <x v="1"/>
    <x v="13"/>
    <x v="13"/>
    <x v="5"/>
    <s v="Planeación, seguimiento y evaluación de políticas públicas"/>
    <x v="4"/>
    <x v="326"/>
    <x v="281"/>
    <x v="473"/>
    <n v="2"/>
    <s v="Desarrollo Social"/>
    <n v="0"/>
    <s v="Educación"/>
    <n v="9"/>
    <x v="47"/>
    <x v="8"/>
    <x v="90"/>
    <n v="1"/>
    <s v="Gasto corriente"/>
    <x v="0"/>
    <x v="0"/>
    <x v="1"/>
    <x v="0"/>
    <x v="0"/>
    <x v="0"/>
    <x v="0"/>
    <n v="1"/>
    <x v="0"/>
    <x v="0"/>
    <m/>
    <n v="77646451"/>
    <n v="10000000"/>
    <n v="-1160139"/>
    <n v="86486312"/>
    <n v="83933915"/>
    <m/>
    <x v="1"/>
    <n v="83933915"/>
  </r>
  <r>
    <x v="1"/>
    <x v="13"/>
    <x v="13"/>
    <x v="5"/>
    <s v="Planeación, seguimiento y evaluación de políticas públicas"/>
    <x v="4"/>
    <x v="326"/>
    <x v="281"/>
    <x v="473"/>
    <n v="2"/>
    <s v="Desarrollo Social"/>
    <n v="0"/>
    <s v="Educación"/>
    <n v="9"/>
    <x v="47"/>
    <x v="8"/>
    <x v="90"/>
    <n v="2"/>
    <s v="Gasto de capital"/>
    <x v="0"/>
    <x v="0"/>
    <x v="1"/>
    <x v="0"/>
    <x v="0"/>
    <x v="0"/>
    <x v="0"/>
    <n v="1"/>
    <x v="0"/>
    <x v="0"/>
    <m/>
    <n v="4186710"/>
    <n v="0"/>
    <n v="-62555"/>
    <n v="4124155"/>
    <n v="4124155"/>
    <m/>
    <x v="1"/>
    <n v="4124155"/>
  </r>
  <r>
    <x v="1"/>
    <x v="13"/>
    <x v="13"/>
    <x v="5"/>
    <s v="Planeación, seguimiento y evaluación de políticas públicas"/>
    <x v="5"/>
    <x v="327"/>
    <x v="54"/>
    <x v="413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m/>
    <x v="0"/>
    <x v="0"/>
    <m/>
    <n v="9967547"/>
    <n v="0"/>
    <n v="-148928"/>
    <n v="9818619"/>
    <n v="11499161"/>
    <m/>
    <x v="1"/>
    <n v="11499161"/>
  </r>
  <r>
    <x v="1"/>
    <x v="13"/>
    <x v="13"/>
    <x v="5"/>
    <s v="Planeación, seguimiento y evaluación de políticas públicas"/>
    <x v="5"/>
    <x v="327"/>
    <x v="54"/>
    <x v="413"/>
    <n v="2"/>
    <s v="Desarrollo Social"/>
    <n v="0"/>
    <s v="Educación"/>
    <n v="1"/>
    <x v="31"/>
    <x v="6"/>
    <x v="88"/>
    <n v="2"/>
    <s v="Gasto de capital"/>
    <x v="0"/>
    <x v="0"/>
    <x v="0"/>
    <x v="0"/>
    <x v="0"/>
    <x v="0"/>
    <x v="0"/>
    <m/>
    <x v="0"/>
    <x v="0"/>
    <m/>
    <m/>
    <m/>
    <m/>
    <m/>
    <n v="400000"/>
    <m/>
    <x v="1"/>
    <n v="400000"/>
  </r>
  <r>
    <x v="1"/>
    <x v="13"/>
    <x v="13"/>
    <x v="5"/>
    <s v="Planeación, seguimiento y evaluación de políticas públicas"/>
    <x v="6"/>
    <x v="328"/>
    <x v="3"/>
    <x v="93"/>
    <n v="2"/>
    <s v="Desarrollo Social"/>
    <n v="0"/>
    <s v="Educación"/>
    <n v="9"/>
    <x v="47"/>
    <x v="7"/>
    <x v="92"/>
    <n v="1"/>
    <s v="Gasto corriente"/>
    <x v="0"/>
    <x v="1"/>
    <x v="0"/>
    <x v="0"/>
    <x v="0"/>
    <x v="0"/>
    <x v="0"/>
    <m/>
    <x v="0"/>
    <x v="0"/>
    <m/>
    <n v="2191108"/>
    <n v="0"/>
    <n v="0"/>
    <n v="2191108"/>
    <n v="2278753"/>
    <m/>
    <x v="1"/>
    <n v="2278753"/>
  </r>
  <r>
    <x v="1"/>
    <x v="13"/>
    <x v="13"/>
    <x v="5"/>
    <s v="Planeación, seguimiento y evaluación de políticas públicas"/>
    <x v="6"/>
    <x v="328"/>
    <x v="3"/>
    <x v="93"/>
    <n v="2"/>
    <s v="Desarrollo Social"/>
    <n v="0"/>
    <s v="Educación"/>
    <n v="9"/>
    <x v="47"/>
    <x v="7"/>
    <x v="92"/>
    <n v="1"/>
    <s v="Gasto corriente"/>
    <x v="0"/>
    <x v="0"/>
    <x v="0"/>
    <x v="0"/>
    <x v="0"/>
    <x v="0"/>
    <x v="0"/>
    <m/>
    <x v="0"/>
    <x v="0"/>
    <m/>
    <n v="82298412"/>
    <n v="0"/>
    <n v="-1229644"/>
    <n v="81068768"/>
    <n v="82990254"/>
    <m/>
    <x v="1"/>
    <n v="82990254"/>
  </r>
  <r>
    <x v="1"/>
    <x v="13"/>
    <x v="13"/>
    <x v="1"/>
    <s v="Específicos"/>
    <x v="9"/>
    <x v="329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0"/>
    <n v="100000000"/>
    <n v="0"/>
    <n v="100000000"/>
    <m/>
    <m/>
    <x v="1"/>
    <n v="0"/>
  </r>
  <r>
    <x v="1"/>
    <x v="13"/>
    <x v="13"/>
    <x v="1"/>
    <s v="Específicos"/>
    <x v="9"/>
    <x v="329"/>
    <x v="87"/>
    <x v="471"/>
    <n v="2"/>
    <s v="Desarrollo Social"/>
    <n v="0"/>
    <s v="Educación"/>
    <n v="9"/>
    <x v="47"/>
    <x v="7"/>
    <x v="92"/>
    <n v="1"/>
    <s v="Gasto corriente"/>
    <x v="0"/>
    <x v="0"/>
    <x v="0"/>
    <x v="0"/>
    <x v="0"/>
    <x v="0"/>
    <x v="0"/>
    <m/>
    <x v="0"/>
    <x v="0"/>
    <m/>
    <n v="264995000"/>
    <n v="0"/>
    <n v="-3959372"/>
    <n v="261035628"/>
    <m/>
    <m/>
    <x v="1"/>
    <n v="0"/>
  </r>
  <r>
    <x v="1"/>
    <x v="13"/>
    <x v="13"/>
    <x v="1"/>
    <s v="Específicos"/>
    <x v="11"/>
    <x v="330"/>
    <x v="23"/>
    <x v="474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165249970"/>
    <n v="0"/>
    <n v="-2469051"/>
    <n v="162780919"/>
    <n v="179606125"/>
    <m/>
    <x v="1"/>
    <n v="179606125"/>
  </r>
  <r>
    <x v="1"/>
    <x v="13"/>
    <x v="13"/>
    <x v="1"/>
    <s v="Específicos"/>
    <x v="13"/>
    <x v="331"/>
    <x v="23"/>
    <x v="474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135161305"/>
    <n v="0"/>
    <n v="-2019487"/>
    <n v="133141818"/>
    <n v="133141818"/>
    <m/>
    <x v="1"/>
    <n v="133141818"/>
  </r>
  <r>
    <x v="1"/>
    <x v="13"/>
    <x v="13"/>
    <x v="1"/>
    <s v="Específicos"/>
    <x v="13"/>
    <x v="331"/>
    <x v="50"/>
    <x v="415"/>
    <n v="2"/>
    <s v="Desarrollo Social"/>
    <n v="0"/>
    <s v="Educación"/>
    <n v="9"/>
    <x v="47"/>
    <x v="8"/>
    <x v="90"/>
    <n v="1"/>
    <s v="Gasto corriente"/>
    <x v="0"/>
    <x v="0"/>
    <x v="0"/>
    <x v="0"/>
    <x v="0"/>
    <x v="0"/>
    <x v="0"/>
    <m/>
    <x v="0"/>
    <x v="0"/>
    <m/>
    <n v="3000000"/>
    <n v="0"/>
    <n v="-44824"/>
    <n v="2955176"/>
    <n v="4432764"/>
    <m/>
    <x v="1"/>
    <n v="4432764"/>
  </r>
  <r>
    <x v="1"/>
    <x v="13"/>
    <x v="13"/>
    <x v="1"/>
    <s v="Específicos"/>
    <x v="13"/>
    <x v="331"/>
    <x v="30"/>
    <x v="459"/>
    <n v="2"/>
    <s v="Desarrollo Social"/>
    <n v="0"/>
    <s v="Educación"/>
    <n v="6"/>
    <x v="49"/>
    <x v="7"/>
    <x v="92"/>
    <n v="1"/>
    <s v="Gasto corriente"/>
    <x v="0"/>
    <x v="0"/>
    <x v="0"/>
    <x v="0"/>
    <x v="0"/>
    <x v="0"/>
    <x v="0"/>
    <m/>
    <x v="0"/>
    <x v="0"/>
    <m/>
    <n v="500352"/>
    <n v="0"/>
    <n v="-7476"/>
    <n v="492876"/>
    <n v="492876"/>
    <m/>
    <x v="1"/>
    <n v="492876"/>
  </r>
  <r>
    <x v="1"/>
    <x v="13"/>
    <x v="13"/>
    <x v="1"/>
    <s v="Específicos"/>
    <x v="13"/>
    <x v="331"/>
    <x v="275"/>
    <x v="456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3127200"/>
    <n v="0"/>
    <n v="-46724"/>
    <n v="3080476"/>
    <n v="8308975"/>
    <m/>
    <x v="1"/>
    <n v="8308975"/>
  </r>
  <r>
    <x v="1"/>
    <x v="13"/>
    <x v="13"/>
    <x v="1"/>
    <s v="Específicos"/>
    <x v="13"/>
    <x v="331"/>
    <x v="271"/>
    <x v="451"/>
    <n v="2"/>
    <s v="Desarrollo Social"/>
    <n v="0"/>
    <s v="Educación"/>
    <n v="9"/>
    <x v="47"/>
    <x v="10"/>
    <x v="98"/>
    <n v="1"/>
    <s v="Gasto corriente"/>
    <x v="0"/>
    <x v="0"/>
    <x v="0"/>
    <x v="0"/>
    <x v="0"/>
    <x v="0"/>
    <x v="0"/>
    <m/>
    <x v="1"/>
    <x v="0"/>
    <m/>
    <n v="0"/>
    <n v="40000000"/>
    <n v="0"/>
    <n v="40000000"/>
    <n v="2300000"/>
    <m/>
    <x v="1"/>
    <n v="2300000"/>
  </r>
  <r>
    <x v="1"/>
    <x v="13"/>
    <x v="13"/>
    <x v="1"/>
    <s v="Específicos"/>
    <x v="14"/>
    <x v="332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2500000"/>
    <n v="0"/>
    <n v="12500000"/>
    <m/>
    <m/>
    <x v="76"/>
    <n v="1045800000"/>
  </r>
  <r>
    <x v="1"/>
    <x v="13"/>
    <x v="13"/>
    <x v="1"/>
    <s v="Específicos"/>
    <x v="15"/>
    <x v="333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2500000"/>
    <n v="0"/>
    <n v="2500000"/>
    <m/>
    <m/>
    <x v="1"/>
    <n v="0"/>
  </r>
  <r>
    <x v="1"/>
    <x v="13"/>
    <x v="13"/>
    <x v="1"/>
    <s v="Específicos"/>
    <x v="17"/>
    <x v="334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3500000"/>
    <n v="0"/>
    <n v="3500000"/>
    <m/>
    <m/>
    <x v="1"/>
    <n v="0"/>
  </r>
  <r>
    <x v="1"/>
    <x v="13"/>
    <x v="13"/>
    <x v="1"/>
    <s v="Específicos"/>
    <x v="18"/>
    <x v="335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5050000"/>
    <n v="0"/>
    <n v="15050000"/>
    <m/>
    <m/>
    <x v="1"/>
    <n v="0"/>
  </r>
  <r>
    <x v="1"/>
    <x v="13"/>
    <x v="13"/>
    <x v="1"/>
    <s v="Específicos"/>
    <x v="19"/>
    <x v="336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5000000"/>
    <n v="0"/>
    <n v="5000000"/>
    <m/>
    <m/>
    <x v="1"/>
    <n v="0"/>
  </r>
  <r>
    <x v="1"/>
    <x v="13"/>
    <x v="13"/>
    <x v="1"/>
    <s v="Específicos"/>
    <x v="22"/>
    <x v="337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5419000"/>
    <n v="0"/>
    <n v="5419000"/>
    <m/>
    <m/>
    <x v="1"/>
    <n v="0"/>
  </r>
  <r>
    <x v="1"/>
    <x v="13"/>
    <x v="13"/>
    <x v="1"/>
    <s v="Específicos"/>
    <x v="23"/>
    <x v="338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2000000"/>
    <n v="0"/>
    <n v="12000000"/>
    <m/>
    <m/>
    <x v="1"/>
    <n v="0"/>
  </r>
  <r>
    <x v="1"/>
    <x v="13"/>
    <x v="13"/>
    <x v="1"/>
    <s v="Específicos"/>
    <x v="24"/>
    <x v="339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90064168"/>
    <n v="0"/>
    <n v="90064168"/>
    <m/>
    <m/>
    <x v="1"/>
    <n v="0"/>
  </r>
  <r>
    <x v="1"/>
    <x v="13"/>
    <x v="13"/>
    <x v="1"/>
    <s v="Específicos"/>
    <x v="21"/>
    <x v="340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2654225"/>
    <n v="0"/>
    <n v="12654225"/>
    <m/>
    <m/>
    <x v="1"/>
    <n v="0"/>
  </r>
  <r>
    <x v="1"/>
    <x v="13"/>
    <x v="13"/>
    <x v="1"/>
    <s v="Específicos"/>
    <x v="47"/>
    <x v="341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925000"/>
    <n v="0"/>
    <n v="1925000"/>
    <m/>
    <m/>
    <x v="1"/>
    <n v="0"/>
  </r>
  <r>
    <x v="1"/>
    <x v="13"/>
    <x v="13"/>
    <x v="1"/>
    <s v="Específicos"/>
    <x v="0"/>
    <x v="342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3700000"/>
    <n v="0"/>
    <n v="3700000"/>
    <m/>
    <m/>
    <x v="1"/>
    <n v="0"/>
  </r>
  <r>
    <x v="1"/>
    <x v="13"/>
    <x v="13"/>
    <x v="1"/>
    <s v="Específicos"/>
    <x v="25"/>
    <x v="343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07000000"/>
    <n v="0"/>
    <n v="107000000"/>
    <m/>
    <m/>
    <x v="1"/>
    <n v="0"/>
  </r>
  <r>
    <x v="1"/>
    <x v="13"/>
    <x v="13"/>
    <x v="1"/>
    <s v="Específicos"/>
    <x v="1"/>
    <x v="344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68384312"/>
    <n v="0"/>
    <n v="68384312"/>
    <m/>
    <m/>
    <x v="1"/>
    <n v="0"/>
  </r>
  <r>
    <x v="1"/>
    <x v="13"/>
    <x v="13"/>
    <x v="1"/>
    <s v="Específicos"/>
    <x v="31"/>
    <x v="345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20580200"/>
    <n v="0"/>
    <n v="20580200"/>
    <m/>
    <m/>
    <x v="1"/>
    <n v="0"/>
  </r>
  <r>
    <x v="1"/>
    <x v="13"/>
    <x v="13"/>
    <x v="1"/>
    <s v="Específicos"/>
    <x v="26"/>
    <x v="346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4790000"/>
    <n v="0"/>
    <n v="4790000"/>
    <m/>
    <m/>
    <x v="1"/>
    <n v="0"/>
  </r>
  <r>
    <x v="1"/>
    <x v="13"/>
    <x v="13"/>
    <x v="1"/>
    <s v="Específicos"/>
    <x v="27"/>
    <x v="347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500000"/>
    <n v="0"/>
    <n v="500000"/>
    <m/>
    <m/>
    <x v="1"/>
    <n v="0"/>
  </r>
  <r>
    <x v="1"/>
    <x v="13"/>
    <x v="13"/>
    <x v="1"/>
    <s v="Específicos"/>
    <x v="28"/>
    <x v="348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6500000"/>
    <n v="0"/>
    <n v="16500000"/>
    <m/>
    <m/>
    <x v="1"/>
    <n v="0"/>
  </r>
  <r>
    <x v="1"/>
    <x v="13"/>
    <x v="13"/>
    <x v="1"/>
    <s v="Específicos"/>
    <x v="29"/>
    <x v="349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25002352"/>
    <n v="0"/>
    <n v="25002352"/>
    <m/>
    <m/>
    <x v="1"/>
    <n v="0"/>
  </r>
  <r>
    <x v="1"/>
    <x v="13"/>
    <x v="13"/>
    <x v="1"/>
    <s v="Específicos"/>
    <x v="30"/>
    <x v="350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2040000"/>
    <n v="0"/>
    <n v="12040000"/>
    <m/>
    <m/>
    <x v="1"/>
    <n v="0"/>
  </r>
  <r>
    <x v="1"/>
    <x v="13"/>
    <x v="13"/>
    <x v="1"/>
    <s v="Específicos"/>
    <x v="53"/>
    <x v="351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3500000"/>
    <n v="0"/>
    <n v="13500000"/>
    <m/>
    <m/>
    <x v="1"/>
    <n v="0"/>
  </r>
  <r>
    <x v="1"/>
    <x v="13"/>
    <x v="13"/>
    <x v="1"/>
    <s v="Específicos"/>
    <x v="54"/>
    <x v="352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2538443"/>
    <n v="0"/>
    <n v="2538443"/>
    <m/>
    <m/>
    <x v="1"/>
    <n v="0"/>
  </r>
  <r>
    <x v="1"/>
    <x v="13"/>
    <x v="13"/>
    <x v="1"/>
    <s v="Específicos"/>
    <x v="55"/>
    <x v="353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3370300"/>
    <n v="0"/>
    <n v="3370300"/>
    <m/>
    <m/>
    <x v="1"/>
    <n v="0"/>
  </r>
  <r>
    <x v="1"/>
    <x v="13"/>
    <x v="13"/>
    <x v="1"/>
    <s v="Específicos"/>
    <x v="56"/>
    <x v="354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2500000"/>
    <n v="0"/>
    <n v="2500000"/>
    <m/>
    <m/>
    <x v="1"/>
    <n v="0"/>
  </r>
  <r>
    <x v="1"/>
    <x v="13"/>
    <x v="13"/>
    <x v="1"/>
    <s v="Específicos"/>
    <x v="58"/>
    <x v="355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2625000"/>
    <n v="0"/>
    <n v="12625000"/>
    <m/>
    <m/>
    <x v="1"/>
    <n v="0"/>
  </r>
  <r>
    <x v="1"/>
    <x v="13"/>
    <x v="13"/>
    <x v="1"/>
    <s v="Específicos"/>
    <x v="59"/>
    <x v="356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3000000"/>
    <n v="0"/>
    <n v="3000000"/>
    <m/>
    <m/>
    <x v="1"/>
    <n v="0"/>
  </r>
  <r>
    <x v="1"/>
    <x v="13"/>
    <x v="13"/>
    <x v="1"/>
    <s v="Específicos"/>
    <x v="60"/>
    <x v="357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3000000"/>
    <n v="0"/>
    <n v="3000000"/>
    <m/>
    <m/>
    <x v="1"/>
    <n v="0"/>
  </r>
  <r>
    <x v="1"/>
    <x v="13"/>
    <x v="13"/>
    <x v="1"/>
    <s v="Específicos"/>
    <x v="66"/>
    <x v="358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2700000"/>
    <n v="0"/>
    <n v="12700000"/>
    <m/>
    <m/>
    <x v="1"/>
    <n v="0"/>
  </r>
  <r>
    <x v="1"/>
    <x v="13"/>
    <x v="13"/>
    <x v="1"/>
    <s v="Específicos"/>
    <x v="67"/>
    <x v="359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8907000"/>
    <n v="0"/>
    <n v="18907000"/>
    <m/>
    <m/>
    <x v="1"/>
    <n v="0"/>
  </r>
  <r>
    <x v="1"/>
    <x v="13"/>
    <x v="13"/>
    <x v="1"/>
    <s v="Específicos"/>
    <x v="76"/>
    <x v="360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26250000"/>
    <n v="0"/>
    <n v="26250000"/>
    <m/>
    <m/>
    <x v="1"/>
    <n v="0"/>
  </r>
  <r>
    <x v="1"/>
    <x v="13"/>
    <x v="13"/>
    <x v="1"/>
    <s v="Específicos"/>
    <x v="68"/>
    <x v="361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00000000"/>
    <n v="0"/>
    <n v="100000000"/>
    <m/>
    <m/>
    <x v="77"/>
    <n v="155000000"/>
  </r>
  <r>
    <x v="1"/>
    <x v="13"/>
    <x v="13"/>
    <x v="1"/>
    <s v="Específicos"/>
    <x v="72"/>
    <x v="362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15000000"/>
    <n v="0"/>
    <n v="15000000"/>
    <m/>
    <m/>
    <x v="1"/>
    <n v="0"/>
  </r>
  <r>
    <x v="1"/>
    <x v="13"/>
    <x v="13"/>
    <x v="1"/>
    <s v="Específicos"/>
    <x v="77"/>
    <x v="363"/>
    <x v="0"/>
    <x v="457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m/>
    <m/>
    <m/>
    <m/>
    <n v="180206760"/>
    <m/>
    <x v="1"/>
    <n v="180206760"/>
  </r>
  <r>
    <x v="1"/>
    <x v="13"/>
    <x v="13"/>
    <x v="1"/>
    <s v="Específicos"/>
    <x v="78"/>
    <x v="364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m/>
    <m/>
    <m/>
    <m/>
    <n v="174385042"/>
    <m/>
    <x v="1"/>
    <n v="174385042"/>
  </r>
  <r>
    <x v="1"/>
    <x v="13"/>
    <x v="13"/>
    <x v="1"/>
    <s v="Específicos"/>
    <x v="79"/>
    <x v="365"/>
    <x v="4"/>
    <x v="509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m/>
    <m/>
    <m/>
    <m/>
    <n v="800000000"/>
    <m/>
    <x v="1"/>
    <n v="800000000"/>
  </r>
  <r>
    <x v="1"/>
    <x v="13"/>
    <x v="13"/>
    <x v="11"/>
    <s v="Sujetos a Reglas de Operación"/>
    <x v="20"/>
    <x v="366"/>
    <x v="279"/>
    <x v="468"/>
    <n v="2"/>
    <s v="Desarrollo Social"/>
    <n v="0"/>
    <s v="Educación"/>
    <n v="1"/>
    <x v="31"/>
    <x v="1"/>
    <x v="87"/>
    <n v="1"/>
    <s v="Gasto corriente"/>
    <x v="0"/>
    <x v="1"/>
    <x v="1"/>
    <x v="0"/>
    <x v="1"/>
    <x v="0"/>
    <x v="0"/>
    <m/>
    <x v="0"/>
    <x v="0"/>
    <m/>
    <n v="13440853"/>
    <n v="0"/>
    <n v="0"/>
    <n v="13440853"/>
    <n v="14839296"/>
    <m/>
    <x v="1"/>
    <n v="14839296"/>
  </r>
  <r>
    <x v="1"/>
    <x v="13"/>
    <x v="13"/>
    <x v="11"/>
    <s v="Sujetos a Reglas de Operación"/>
    <x v="20"/>
    <x v="366"/>
    <x v="279"/>
    <x v="468"/>
    <n v="2"/>
    <s v="Desarrollo Social"/>
    <n v="0"/>
    <s v="Educación"/>
    <n v="1"/>
    <x v="31"/>
    <x v="1"/>
    <x v="87"/>
    <n v="1"/>
    <s v="Gasto corriente"/>
    <x v="0"/>
    <x v="0"/>
    <x v="1"/>
    <x v="0"/>
    <x v="1"/>
    <x v="0"/>
    <x v="0"/>
    <m/>
    <x v="0"/>
    <x v="0"/>
    <m/>
    <n v="2307946193"/>
    <n v="0"/>
    <n v="-34483739"/>
    <n v="2273462454"/>
    <n v="2019877153"/>
    <m/>
    <x v="1"/>
    <n v="2019877153"/>
  </r>
  <r>
    <x v="1"/>
    <x v="13"/>
    <x v="13"/>
    <x v="11"/>
    <s v="Sujetos a Reglas de Operación"/>
    <x v="20"/>
    <x v="366"/>
    <x v="279"/>
    <x v="468"/>
    <n v="2"/>
    <s v="Desarrollo Social"/>
    <n v="0"/>
    <s v="Educación"/>
    <n v="1"/>
    <x v="31"/>
    <x v="1"/>
    <x v="87"/>
    <n v="2"/>
    <s v="Gasto de capital"/>
    <x v="0"/>
    <x v="0"/>
    <x v="1"/>
    <x v="0"/>
    <x v="1"/>
    <x v="0"/>
    <x v="0"/>
    <m/>
    <x v="0"/>
    <x v="0"/>
    <m/>
    <n v="111324241"/>
    <n v="0"/>
    <n v="-1663329"/>
    <n v="109660912"/>
    <n v="469639785"/>
    <m/>
    <x v="1"/>
    <n v="469639785"/>
  </r>
  <r>
    <x v="1"/>
    <x v="13"/>
    <x v="13"/>
    <x v="11"/>
    <s v="Sujetos a Reglas de Operación"/>
    <x v="20"/>
    <x v="366"/>
    <x v="279"/>
    <x v="468"/>
    <n v="2"/>
    <s v="Desarrollo Social"/>
    <n v="0"/>
    <s v="Educación"/>
    <n v="1"/>
    <x v="31"/>
    <x v="8"/>
    <x v="90"/>
    <n v="1"/>
    <s v="Gasto corriente"/>
    <x v="0"/>
    <x v="0"/>
    <x v="1"/>
    <x v="0"/>
    <x v="1"/>
    <x v="0"/>
    <x v="0"/>
    <m/>
    <x v="0"/>
    <x v="0"/>
    <m/>
    <n v="135897264"/>
    <n v="0"/>
    <n v="-2030483"/>
    <n v="133866781"/>
    <n v="128546838"/>
    <m/>
    <x v="1"/>
    <n v="128546838"/>
  </r>
  <r>
    <x v="1"/>
    <x v="13"/>
    <x v="13"/>
    <x v="11"/>
    <s v="Sujetos a Reglas de Operación"/>
    <x v="20"/>
    <x v="366"/>
    <x v="279"/>
    <x v="468"/>
    <n v="2"/>
    <s v="Desarrollo Social"/>
    <n v="0"/>
    <s v="Educación"/>
    <n v="1"/>
    <x v="31"/>
    <x v="8"/>
    <x v="90"/>
    <n v="2"/>
    <s v="Gasto de capital"/>
    <x v="0"/>
    <x v="0"/>
    <x v="1"/>
    <x v="0"/>
    <x v="1"/>
    <x v="0"/>
    <x v="0"/>
    <m/>
    <x v="0"/>
    <x v="0"/>
    <m/>
    <m/>
    <m/>
    <m/>
    <m/>
    <n v="150447038"/>
    <m/>
    <x v="1"/>
    <n v="150447038"/>
  </r>
  <r>
    <x v="1"/>
    <x v="13"/>
    <x v="13"/>
    <x v="11"/>
    <s v="Sujetos a Reglas de Operación"/>
    <x v="47"/>
    <x v="367"/>
    <x v="276"/>
    <x v="460"/>
    <n v="2"/>
    <s v="Desarrollo Social"/>
    <n v="0"/>
    <s v="Educación"/>
    <n v="5"/>
    <x v="48"/>
    <x v="15"/>
    <x v="91"/>
    <n v="1"/>
    <s v="Gasto corriente"/>
    <x v="0"/>
    <x v="1"/>
    <x v="0"/>
    <x v="0"/>
    <x v="0"/>
    <x v="0"/>
    <x v="0"/>
    <m/>
    <x v="0"/>
    <x v="0"/>
    <m/>
    <n v="9703698"/>
    <n v="0"/>
    <n v="0"/>
    <n v="9703698"/>
    <n v="8079406"/>
    <m/>
    <x v="1"/>
    <n v="8079406"/>
  </r>
  <r>
    <x v="1"/>
    <x v="13"/>
    <x v="13"/>
    <x v="11"/>
    <s v="Sujetos a Reglas de Operación"/>
    <x v="47"/>
    <x v="367"/>
    <x v="276"/>
    <x v="460"/>
    <n v="2"/>
    <s v="Desarrollo Social"/>
    <n v="0"/>
    <s v="Educación"/>
    <n v="5"/>
    <x v="48"/>
    <x v="15"/>
    <x v="91"/>
    <n v="1"/>
    <s v="Gasto corriente"/>
    <x v="0"/>
    <x v="0"/>
    <x v="0"/>
    <x v="0"/>
    <x v="0"/>
    <x v="0"/>
    <x v="0"/>
    <m/>
    <x v="0"/>
    <x v="0"/>
    <m/>
    <n v="1460234608"/>
    <n v="170000000"/>
    <n v="-21817820"/>
    <n v="1608416788"/>
    <n v="1854534817"/>
    <m/>
    <x v="1"/>
    <n v="1854534817"/>
  </r>
  <r>
    <x v="1"/>
    <x v="13"/>
    <x v="13"/>
    <x v="11"/>
    <s v="Sujetos a Reglas de Operación"/>
    <x v="47"/>
    <x v="367"/>
    <x v="276"/>
    <x v="460"/>
    <n v="2"/>
    <s v="Desarrollo Social"/>
    <n v="0"/>
    <s v="Educación"/>
    <n v="5"/>
    <x v="48"/>
    <x v="15"/>
    <x v="91"/>
    <n v="2"/>
    <s v="Gasto de capital"/>
    <x v="0"/>
    <x v="0"/>
    <x v="0"/>
    <x v="0"/>
    <x v="0"/>
    <x v="0"/>
    <x v="0"/>
    <m/>
    <x v="0"/>
    <x v="0"/>
    <m/>
    <n v="31200299"/>
    <n v="0"/>
    <n v="-466173"/>
    <n v="30734126"/>
    <n v="30734126"/>
    <m/>
    <x v="1"/>
    <n v="30734126"/>
  </r>
  <r>
    <x v="1"/>
    <x v="13"/>
    <x v="13"/>
    <x v="11"/>
    <s v="Sujetos a Reglas de Operación"/>
    <x v="1"/>
    <x v="368"/>
    <x v="85"/>
    <x v="463"/>
    <n v="2"/>
    <s v="Desarrollo Social"/>
    <n v="0"/>
    <s v="Educación"/>
    <n v="3"/>
    <x v="29"/>
    <x v="15"/>
    <x v="91"/>
    <n v="1"/>
    <s v="Gasto corriente"/>
    <x v="0"/>
    <x v="0"/>
    <x v="0"/>
    <x v="0"/>
    <x v="0"/>
    <x v="0"/>
    <x v="0"/>
    <n v="1"/>
    <x v="0"/>
    <x v="0"/>
    <m/>
    <n v="497874612"/>
    <n v="220000000"/>
    <n v="-20000000"/>
    <n v="697874612"/>
    <n v="697313909"/>
    <m/>
    <x v="1"/>
    <n v="697313909"/>
  </r>
  <r>
    <x v="1"/>
    <x v="13"/>
    <x v="13"/>
    <x v="11"/>
    <s v="Sujetos a Reglas de Operación"/>
    <x v="1"/>
    <x v="368"/>
    <x v="85"/>
    <x v="463"/>
    <n v="2"/>
    <s v="Desarrollo Social"/>
    <n v="0"/>
    <s v="Educación"/>
    <n v="3"/>
    <x v="29"/>
    <x v="15"/>
    <x v="91"/>
    <n v="2"/>
    <s v="Gasto de capital"/>
    <x v="0"/>
    <x v="0"/>
    <x v="0"/>
    <x v="0"/>
    <x v="0"/>
    <x v="0"/>
    <x v="0"/>
    <n v="1"/>
    <x v="0"/>
    <x v="0"/>
    <m/>
    <n v="305000"/>
    <n v="0"/>
    <n v="0"/>
    <n v="305000"/>
    <n v="205703"/>
    <m/>
    <x v="1"/>
    <n v="205703"/>
  </r>
  <r>
    <x v="1"/>
    <x v="13"/>
    <x v="13"/>
    <x v="11"/>
    <s v="Sujetos a Reglas de Operación"/>
    <x v="31"/>
    <x v="369"/>
    <x v="58"/>
    <x v="46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1"/>
    <x v="0"/>
    <m/>
    <m/>
    <m/>
    <m/>
    <m/>
    <n v="297892475"/>
    <m/>
    <x v="1"/>
    <n v="297892475"/>
  </r>
  <r>
    <x v="1"/>
    <x v="13"/>
    <x v="13"/>
    <x v="11"/>
    <s v="Sujetos a Reglas de Operación"/>
    <x v="31"/>
    <x v="369"/>
    <x v="58"/>
    <x v="461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m/>
    <x v="1"/>
    <x v="0"/>
    <m/>
    <m/>
    <m/>
    <m/>
    <m/>
    <n v="1127338000"/>
    <m/>
    <x v="1"/>
    <n v="1127338000"/>
  </r>
  <r>
    <x v="1"/>
    <x v="13"/>
    <x v="13"/>
    <x v="11"/>
    <s v="Sujetos a Reglas de Operación"/>
    <x v="31"/>
    <x v="369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1"/>
    <x v="0"/>
    <m/>
    <n v="350124429"/>
    <n v="0"/>
    <n v="-7500000"/>
    <n v="342624429"/>
    <m/>
    <m/>
    <x v="1"/>
    <n v="0"/>
  </r>
  <r>
    <x v="1"/>
    <x v="13"/>
    <x v="13"/>
    <x v="11"/>
    <s v="Sujetos a Reglas de Operación"/>
    <x v="31"/>
    <x v="369"/>
    <x v="85"/>
    <x v="463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m/>
    <x v="1"/>
    <x v="0"/>
    <m/>
    <n v="1049838000"/>
    <n v="0"/>
    <n v="-22500000"/>
    <n v="1027338000"/>
    <m/>
    <m/>
    <x v="1"/>
    <n v="0"/>
  </r>
  <r>
    <x v="1"/>
    <x v="13"/>
    <x v="13"/>
    <x v="11"/>
    <s v="Sujetos a Reglas de Operación"/>
    <x v="26"/>
    <x v="370"/>
    <x v="53"/>
    <x v="452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n v="1"/>
    <x v="0"/>
    <x v="0"/>
    <m/>
    <n v="1499827896"/>
    <n v="0"/>
    <n v="-22409395"/>
    <n v="1477418501"/>
    <n v="820895646"/>
    <m/>
    <x v="1"/>
    <n v="820895646"/>
  </r>
  <r>
    <x v="1"/>
    <x v="13"/>
    <x v="13"/>
    <x v="11"/>
    <s v="Sujetos a Reglas de Operación"/>
    <x v="26"/>
    <x v="370"/>
    <x v="53"/>
    <x v="452"/>
    <n v="2"/>
    <s v="Desarrollo Social"/>
    <n v="0"/>
    <s v="Educación"/>
    <n v="1"/>
    <x v="31"/>
    <x v="8"/>
    <x v="90"/>
    <n v="2"/>
    <s v="Gasto de capital"/>
    <x v="0"/>
    <x v="0"/>
    <x v="0"/>
    <x v="0"/>
    <x v="0"/>
    <x v="0"/>
    <x v="0"/>
    <n v="1"/>
    <x v="0"/>
    <x v="0"/>
    <m/>
    <m/>
    <m/>
    <m/>
    <m/>
    <n v="1100000000"/>
    <m/>
    <x v="1"/>
    <n v="1100000000"/>
  </r>
  <r>
    <x v="1"/>
    <x v="13"/>
    <x v="13"/>
    <x v="11"/>
    <s v="Sujetos a Reglas de Operación"/>
    <x v="30"/>
    <x v="371"/>
    <x v="55"/>
    <x v="465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1"/>
    <x v="0"/>
    <n v="1"/>
    <x v="0"/>
    <x v="0"/>
    <m/>
    <n v="78227079"/>
    <n v="200000000"/>
    <n v="-1168815"/>
    <n v="277058264"/>
    <n v="198534775"/>
    <m/>
    <x v="1"/>
    <n v="198534775"/>
  </r>
  <r>
    <x v="1"/>
    <x v="13"/>
    <x v="13"/>
    <x v="11"/>
    <s v="Sujetos a Reglas de Operación"/>
    <x v="54"/>
    <x v="372"/>
    <x v="86"/>
    <x v="51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285811490"/>
    <n v="0"/>
    <n v="-4270403"/>
    <n v="281541087"/>
    <n v="279962271"/>
    <m/>
    <x v="1"/>
    <n v="279962271"/>
  </r>
  <r>
    <x v="1"/>
    <x v="13"/>
    <x v="13"/>
    <x v="11"/>
    <s v="Sujetos a Reglas de Operación"/>
    <x v="80"/>
    <x v="373"/>
    <x v="279"/>
    <x v="468"/>
    <n v="2"/>
    <s v="Desarrollo Social"/>
    <n v="0"/>
    <s v="Educación"/>
    <n v="1"/>
    <x v="31"/>
    <x v="1"/>
    <x v="87"/>
    <n v="1"/>
    <s v="Gasto corriente"/>
    <x v="0"/>
    <x v="0"/>
    <x v="1"/>
    <x v="0"/>
    <x v="1"/>
    <x v="0"/>
    <x v="0"/>
    <m/>
    <x v="0"/>
    <x v="0"/>
    <m/>
    <n v="15260033441"/>
    <n v="0"/>
    <n v="-29843511"/>
    <n v="15230189930"/>
    <n v="16287785543"/>
    <m/>
    <x v="1"/>
    <n v="16287785543"/>
  </r>
  <r>
    <x v="1"/>
    <x v="13"/>
    <x v="13"/>
    <x v="11"/>
    <s v="Sujetos a Reglas de Operación"/>
    <x v="80"/>
    <x v="373"/>
    <x v="279"/>
    <x v="468"/>
    <n v="2"/>
    <s v="Desarrollo Social"/>
    <n v="0"/>
    <s v="Educación"/>
    <n v="1"/>
    <x v="31"/>
    <x v="8"/>
    <x v="90"/>
    <n v="1"/>
    <s v="Gasto corriente"/>
    <x v="0"/>
    <x v="0"/>
    <x v="0"/>
    <x v="0"/>
    <x v="1"/>
    <x v="0"/>
    <x v="0"/>
    <m/>
    <x v="0"/>
    <x v="0"/>
    <m/>
    <n v="278000000"/>
    <n v="0"/>
    <n v="-4153684"/>
    <n v="273846316"/>
    <n v="303767164"/>
    <m/>
    <x v="1"/>
    <n v="303767164"/>
  </r>
  <r>
    <x v="1"/>
    <x v="13"/>
    <x v="13"/>
    <x v="11"/>
    <s v="Sujetos a Reglas de Operación"/>
    <x v="80"/>
    <x v="373"/>
    <x v="279"/>
    <x v="468"/>
    <n v="2"/>
    <s v="Desarrollo Social"/>
    <n v="0"/>
    <s v="Educación"/>
    <n v="2"/>
    <x v="28"/>
    <x v="0"/>
    <x v="93"/>
    <n v="1"/>
    <s v="Gasto corriente"/>
    <x v="0"/>
    <x v="0"/>
    <x v="0"/>
    <x v="0"/>
    <x v="1"/>
    <x v="0"/>
    <x v="0"/>
    <m/>
    <x v="0"/>
    <x v="0"/>
    <m/>
    <n v="7746066559"/>
    <n v="0"/>
    <n v="-115736385"/>
    <n v="7630330174"/>
    <n v="8070508314"/>
    <m/>
    <x v="1"/>
    <n v="8070508314"/>
  </r>
  <r>
    <x v="1"/>
    <x v="13"/>
    <x v="13"/>
    <x v="11"/>
    <s v="Sujetos a Reglas de Operación"/>
    <x v="81"/>
    <x v="374"/>
    <x v="279"/>
    <x v="468"/>
    <n v="2"/>
    <s v="Desarrollo Social"/>
    <n v="0"/>
    <s v="Educación"/>
    <n v="1"/>
    <x v="31"/>
    <x v="1"/>
    <x v="87"/>
    <n v="1"/>
    <s v="Gasto corriente"/>
    <x v="0"/>
    <x v="0"/>
    <x v="1"/>
    <x v="0"/>
    <x v="0"/>
    <x v="0"/>
    <x v="0"/>
    <n v="1"/>
    <x v="0"/>
    <x v="0"/>
    <m/>
    <n v="1841818305"/>
    <n v="0"/>
    <n v="-225680568"/>
    <n v="1616137737"/>
    <n v="1049893291"/>
    <m/>
    <x v="1"/>
    <n v="1049893291"/>
  </r>
  <r>
    <x v="1"/>
    <x v="13"/>
    <x v="13"/>
    <x v="11"/>
    <s v="Sujetos a Reglas de Operación"/>
    <x v="81"/>
    <x v="374"/>
    <x v="279"/>
    <x v="468"/>
    <n v="2"/>
    <s v="Desarrollo Social"/>
    <n v="0"/>
    <s v="Educación"/>
    <n v="1"/>
    <x v="31"/>
    <x v="1"/>
    <x v="87"/>
    <n v="2"/>
    <s v="Gasto de capital"/>
    <x v="0"/>
    <x v="0"/>
    <x v="1"/>
    <x v="0"/>
    <x v="0"/>
    <x v="0"/>
    <x v="0"/>
    <n v="1"/>
    <x v="0"/>
    <x v="0"/>
    <m/>
    <n v="161222406"/>
    <n v="0"/>
    <n v="-2408874"/>
    <n v="158813532"/>
    <n v="808432713"/>
    <m/>
    <x v="1"/>
    <n v="808432713"/>
  </r>
  <r>
    <x v="1"/>
    <x v="13"/>
    <x v="13"/>
    <x v="11"/>
    <s v="Sujetos a Reglas de Operación"/>
    <x v="82"/>
    <x v="375"/>
    <x v="161"/>
    <x v="466"/>
    <n v="2"/>
    <s v="Desarrollo Social"/>
    <n v="0"/>
    <s v="Educación"/>
    <n v="1"/>
    <x v="31"/>
    <x v="8"/>
    <x v="90"/>
    <n v="1"/>
    <s v="Gasto corriente"/>
    <x v="0"/>
    <x v="0"/>
    <x v="1"/>
    <x v="0"/>
    <x v="0"/>
    <x v="0"/>
    <x v="1"/>
    <m/>
    <x v="0"/>
    <x v="0"/>
    <m/>
    <n v="52199300"/>
    <n v="0"/>
    <n v="-779926"/>
    <n v="51419374"/>
    <n v="65340300"/>
    <m/>
    <x v="1"/>
    <n v="65340300"/>
  </r>
  <r>
    <x v="1"/>
    <x v="13"/>
    <x v="13"/>
    <x v="11"/>
    <s v="Sujetos a Reglas de Operación"/>
    <x v="83"/>
    <x v="376"/>
    <x v="161"/>
    <x v="466"/>
    <n v="2"/>
    <s v="Desarrollo Social"/>
    <n v="0"/>
    <s v="Educación"/>
    <n v="1"/>
    <x v="31"/>
    <x v="8"/>
    <x v="90"/>
    <n v="1"/>
    <s v="Gasto corriente"/>
    <x v="0"/>
    <x v="0"/>
    <x v="1"/>
    <x v="0"/>
    <x v="1"/>
    <x v="1"/>
    <x v="1"/>
    <n v="1"/>
    <x v="0"/>
    <x v="0"/>
    <m/>
    <n v="58967617"/>
    <n v="30000000"/>
    <n v="-881053"/>
    <n v="88086564"/>
    <n v="108086564"/>
    <m/>
    <x v="78"/>
    <n v="153086564"/>
  </r>
  <r>
    <x v="1"/>
    <x v="13"/>
    <x v="13"/>
    <x v="11"/>
    <s v="Sujetos a Reglas de Operación"/>
    <x v="83"/>
    <x v="376"/>
    <x v="161"/>
    <x v="466"/>
    <n v="2"/>
    <s v="Desarrollo Social"/>
    <n v="0"/>
    <s v="Educación"/>
    <n v="1"/>
    <x v="31"/>
    <x v="8"/>
    <x v="90"/>
    <n v="1"/>
    <s v="Gasto corriente"/>
    <x v="0"/>
    <x v="0"/>
    <x v="1"/>
    <x v="0"/>
    <x v="0"/>
    <x v="1"/>
    <x v="1"/>
    <n v="1"/>
    <x v="0"/>
    <x v="0"/>
    <m/>
    <n v="12850734"/>
    <n v="0"/>
    <n v="-192007"/>
    <n v="12658727"/>
    <n v="5919990"/>
    <m/>
    <x v="1"/>
    <n v="5919990"/>
  </r>
  <r>
    <x v="1"/>
    <x v="13"/>
    <x v="13"/>
    <x v="11"/>
    <s v="Sujetos a Reglas de Operación"/>
    <x v="84"/>
    <x v="377"/>
    <x v="161"/>
    <x v="466"/>
    <n v="2"/>
    <s v="Desarrollo Social"/>
    <n v="0"/>
    <s v="Educación"/>
    <n v="1"/>
    <x v="31"/>
    <x v="1"/>
    <x v="87"/>
    <n v="1"/>
    <s v="Gasto corriente"/>
    <x v="0"/>
    <x v="0"/>
    <x v="1"/>
    <x v="0"/>
    <x v="0"/>
    <x v="0"/>
    <x v="0"/>
    <n v="1"/>
    <x v="0"/>
    <x v="0"/>
    <m/>
    <n v="100825861"/>
    <n v="0"/>
    <n v="-1506467"/>
    <n v="99319394"/>
    <n v="104198450"/>
    <m/>
    <x v="1"/>
    <n v="104198450"/>
  </r>
  <r>
    <x v="1"/>
    <x v="13"/>
    <x v="13"/>
    <x v="11"/>
    <s v="Sujetos a Reglas de Operación"/>
    <x v="85"/>
    <x v="378"/>
    <x v="105"/>
    <x v="423"/>
    <n v="2"/>
    <s v="Desarrollo Social"/>
    <n v="0"/>
    <s v="Educación"/>
    <n v="3"/>
    <x v="29"/>
    <x v="4"/>
    <x v="94"/>
    <n v="1"/>
    <s v="Gasto corriente"/>
    <x v="0"/>
    <x v="0"/>
    <x v="0"/>
    <x v="0"/>
    <x v="1"/>
    <x v="0"/>
    <x v="0"/>
    <m/>
    <x v="1"/>
    <x v="0"/>
    <m/>
    <n v="1331617"/>
    <n v="5841338"/>
    <n v="-19896"/>
    <n v="7153059"/>
    <n v="7092955"/>
    <m/>
    <x v="1"/>
    <n v="7092955"/>
  </r>
  <r>
    <x v="1"/>
    <x v="13"/>
    <x v="13"/>
    <x v="11"/>
    <s v="Sujetos a Reglas de Operación"/>
    <x v="85"/>
    <x v="378"/>
    <x v="105"/>
    <x v="423"/>
    <n v="2"/>
    <s v="Desarrollo Social"/>
    <n v="0"/>
    <s v="Educación"/>
    <n v="3"/>
    <x v="29"/>
    <x v="4"/>
    <x v="94"/>
    <n v="2"/>
    <s v="Gasto de capital"/>
    <x v="0"/>
    <x v="0"/>
    <x v="0"/>
    <x v="0"/>
    <x v="1"/>
    <x v="0"/>
    <x v="0"/>
    <m/>
    <x v="1"/>
    <x v="0"/>
    <m/>
    <n v="10186189"/>
    <n v="44158662"/>
    <n v="-152195"/>
    <n v="54192656"/>
    <n v="54344851"/>
    <m/>
    <x v="1"/>
    <n v="54344851"/>
  </r>
  <r>
    <x v="1"/>
    <x v="13"/>
    <x v="13"/>
    <x v="11"/>
    <s v="Sujetos a Reglas de Operación"/>
    <x v="85"/>
    <x v="378"/>
    <x v="75"/>
    <x v="425"/>
    <n v="2"/>
    <s v="Desarrollo Social"/>
    <n v="0"/>
    <s v="Educación"/>
    <n v="2"/>
    <x v="28"/>
    <x v="0"/>
    <x v="93"/>
    <n v="1"/>
    <s v="Gasto corriente"/>
    <x v="0"/>
    <x v="0"/>
    <x v="0"/>
    <x v="0"/>
    <x v="1"/>
    <x v="0"/>
    <x v="0"/>
    <n v="1"/>
    <x v="1"/>
    <x v="0"/>
    <m/>
    <n v="9796894"/>
    <n v="32238096"/>
    <n v="-146378"/>
    <n v="41888612"/>
    <n v="40088612"/>
    <m/>
    <x v="1"/>
    <n v="40088612"/>
  </r>
  <r>
    <x v="1"/>
    <x v="13"/>
    <x v="13"/>
    <x v="11"/>
    <s v="Sujetos a Reglas de Operación"/>
    <x v="85"/>
    <x v="378"/>
    <x v="75"/>
    <x v="425"/>
    <n v="2"/>
    <s v="Desarrollo Social"/>
    <n v="0"/>
    <s v="Educación"/>
    <n v="2"/>
    <x v="28"/>
    <x v="0"/>
    <x v="93"/>
    <n v="2"/>
    <s v="Gasto de capital"/>
    <x v="0"/>
    <x v="0"/>
    <x v="0"/>
    <x v="0"/>
    <x v="1"/>
    <x v="0"/>
    <x v="0"/>
    <n v="1"/>
    <x v="1"/>
    <x v="0"/>
    <m/>
    <n v="34524240"/>
    <n v="67761906"/>
    <n v="-515837"/>
    <n v="101770309"/>
    <n v="98770309"/>
    <m/>
    <x v="18"/>
    <n v="398770309"/>
  </r>
  <r>
    <x v="1"/>
    <x v="13"/>
    <x v="13"/>
    <x v="11"/>
    <s v="Sujetos a Reglas de Operación"/>
    <x v="86"/>
    <x v="379"/>
    <x v="278"/>
    <x v="467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1"/>
    <m/>
    <x v="0"/>
    <x v="0"/>
    <m/>
    <n v="30000000"/>
    <n v="0"/>
    <n v="-448239"/>
    <n v="29551761"/>
    <n v="29551761"/>
    <m/>
    <x v="1"/>
    <n v="29551761"/>
  </r>
  <r>
    <x v="1"/>
    <x v="13"/>
    <x v="13"/>
    <x v="11"/>
    <s v="Sujetos a Reglas de Operación"/>
    <x v="86"/>
    <x v="379"/>
    <x v="278"/>
    <x v="467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n v="1"/>
    <x v="0"/>
    <x v="0"/>
    <m/>
    <n v="365227719"/>
    <n v="100000000"/>
    <n v="-5456980"/>
    <n v="459770739"/>
    <n v="524297196"/>
    <m/>
    <x v="1"/>
    <n v="524297196"/>
  </r>
  <r>
    <x v="1"/>
    <x v="13"/>
    <x v="13"/>
    <x v="11"/>
    <s v="Sujetos a Reglas de Operación"/>
    <x v="87"/>
    <x v="380"/>
    <x v="54"/>
    <x v="413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n v="1"/>
    <x v="0"/>
    <x v="0"/>
    <m/>
    <n v="26577971"/>
    <n v="0"/>
    <n v="-397110"/>
    <n v="26180861"/>
    <n v="26181834"/>
    <m/>
    <x v="1"/>
    <n v="26181834"/>
  </r>
  <r>
    <x v="1"/>
    <x v="13"/>
    <x v="13"/>
    <x v="11"/>
    <s v="Sujetos a Reglas de Operación"/>
    <x v="88"/>
    <x v="381"/>
    <x v="54"/>
    <x v="413"/>
    <n v="2"/>
    <s v="Desarrollo Social"/>
    <n v="0"/>
    <s v="Educación"/>
    <n v="1"/>
    <x v="31"/>
    <x v="8"/>
    <x v="90"/>
    <n v="1"/>
    <s v="Gasto corriente"/>
    <x v="0"/>
    <x v="0"/>
    <x v="1"/>
    <x v="0"/>
    <x v="0"/>
    <x v="0"/>
    <x v="0"/>
    <n v="1"/>
    <x v="0"/>
    <x v="1"/>
    <m/>
    <n v="400412132"/>
    <n v="0"/>
    <n v="-5982682"/>
    <n v="394429450"/>
    <n v="140000000"/>
    <m/>
    <x v="58"/>
    <n v="290000000"/>
  </r>
  <r>
    <x v="1"/>
    <x v="13"/>
    <x v="13"/>
    <x v="11"/>
    <s v="Sujetos a Reglas de Operación"/>
    <x v="88"/>
    <x v="381"/>
    <x v="54"/>
    <x v="413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n v="1"/>
    <x v="0"/>
    <x v="1"/>
    <m/>
    <n v="233011"/>
    <n v="0"/>
    <n v="-3482"/>
    <n v="229529"/>
    <n v="9884733"/>
    <m/>
    <x v="1"/>
    <n v="9884733"/>
  </r>
  <r>
    <x v="1"/>
    <x v="13"/>
    <x v="13"/>
    <x v="11"/>
    <s v="Sujetos a Reglas de Operación"/>
    <x v="89"/>
    <x v="382"/>
    <x v="86"/>
    <x v="51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1"/>
    <x v="0"/>
    <m/>
    <n v="136944570"/>
    <n v="0"/>
    <n v="-2046132"/>
    <n v="134898438"/>
    <n v="136369372"/>
    <m/>
    <x v="1"/>
    <n v="136369372"/>
  </r>
  <r>
    <x v="1"/>
    <x v="13"/>
    <x v="13"/>
    <x v="11"/>
    <s v="Sujetos a Reglas de Operación"/>
    <x v="90"/>
    <x v="383"/>
    <x v="270"/>
    <x v="450"/>
    <n v="2"/>
    <s v="Desarrollo Social"/>
    <n v="0"/>
    <s v="Educación"/>
    <n v="7"/>
    <x v="50"/>
    <x v="5"/>
    <x v="97"/>
    <n v="1"/>
    <s v="Gasto corriente"/>
    <x v="0"/>
    <x v="0"/>
    <x v="0"/>
    <x v="0"/>
    <x v="0"/>
    <x v="0"/>
    <x v="0"/>
    <m/>
    <x v="0"/>
    <x v="0"/>
    <m/>
    <n v="284889635"/>
    <n v="0"/>
    <n v="-4256622"/>
    <n v="280633013"/>
    <n v="399467922"/>
    <m/>
    <x v="1"/>
    <n v="399467922"/>
  </r>
  <r>
    <x v="1"/>
    <x v="13"/>
    <x v="13"/>
    <x v="11"/>
    <s v="Sujetos a Reglas de Operación"/>
    <x v="91"/>
    <x v="384"/>
    <x v="270"/>
    <x v="450"/>
    <n v="2"/>
    <s v="Desarrollo Social"/>
    <n v="0"/>
    <s v="Educación"/>
    <n v="7"/>
    <x v="50"/>
    <x v="5"/>
    <x v="97"/>
    <n v="1"/>
    <s v="Gasto corriente"/>
    <x v="0"/>
    <x v="0"/>
    <x v="0"/>
    <x v="0"/>
    <x v="0"/>
    <x v="0"/>
    <x v="1"/>
    <m/>
    <x v="0"/>
    <x v="0"/>
    <m/>
    <n v="1513658979"/>
    <n v="904999998"/>
    <n v="-22616043"/>
    <n v="2396042934"/>
    <n v="1587718557"/>
    <m/>
    <x v="79"/>
    <n v="2641666045"/>
  </r>
  <r>
    <x v="1"/>
    <x v="13"/>
    <x v="13"/>
    <x v="11"/>
    <s v="Sujetos a Reglas de Operación"/>
    <x v="92"/>
    <x v="385"/>
    <x v="270"/>
    <x v="450"/>
    <n v="2"/>
    <s v="Desarrollo Social"/>
    <n v="0"/>
    <s v="Educación"/>
    <n v="7"/>
    <x v="50"/>
    <x v="5"/>
    <x v="97"/>
    <n v="1"/>
    <s v="Gasto corriente"/>
    <x v="0"/>
    <x v="0"/>
    <x v="0"/>
    <x v="0"/>
    <x v="0"/>
    <x v="0"/>
    <x v="0"/>
    <m/>
    <x v="0"/>
    <x v="0"/>
    <m/>
    <n v="533358327"/>
    <n v="0"/>
    <n v="-7969073"/>
    <n v="525389254"/>
    <n v="575402440"/>
    <m/>
    <x v="1"/>
    <n v="575402440"/>
  </r>
  <r>
    <x v="1"/>
    <x v="13"/>
    <x v="13"/>
    <x v="11"/>
    <s v="Sujetos a Reglas de Operación"/>
    <x v="93"/>
    <x v="386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39500000"/>
    <n v="0"/>
    <n v="-590182"/>
    <n v="38909818"/>
    <n v="35909818"/>
    <m/>
    <x v="1"/>
    <n v="35909818"/>
  </r>
  <r>
    <x v="1"/>
    <x v="13"/>
    <x v="13"/>
    <x v="11"/>
    <s v="Sujetos a Reglas de Operación"/>
    <x v="94"/>
    <x v="387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30000000"/>
    <n v="0"/>
    <n v="-448239"/>
    <n v="29551761"/>
    <n v="26551761"/>
    <m/>
    <x v="1"/>
    <n v="26551761"/>
  </r>
  <r>
    <x v="1"/>
    <x v="13"/>
    <x v="13"/>
    <x v="11"/>
    <s v="Sujetos a Reglas de Operación"/>
    <x v="95"/>
    <x v="388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113800000"/>
    <n v="0"/>
    <n v="-1700321"/>
    <n v="112099679"/>
    <n v="106099679"/>
    <m/>
    <x v="1"/>
    <n v="106099679"/>
  </r>
  <r>
    <x v="1"/>
    <x v="13"/>
    <x v="13"/>
    <x v="11"/>
    <s v="Sujetos a Reglas de Operación"/>
    <x v="96"/>
    <x v="389"/>
    <x v="53"/>
    <x v="452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m/>
    <x v="0"/>
    <x v="0"/>
    <m/>
    <n v="515000000"/>
    <n v="0"/>
    <n v="-7694775"/>
    <n v="507305225"/>
    <n v="1602830069"/>
    <m/>
    <x v="0"/>
    <n v="1802830069"/>
  </r>
  <r>
    <x v="1"/>
    <x v="13"/>
    <x v="13"/>
    <x v="11"/>
    <s v="Sujetos a Reglas de Operación"/>
    <x v="97"/>
    <x v="390"/>
    <x v="53"/>
    <x v="452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1"/>
    <x v="0"/>
    <n v="1"/>
    <x v="0"/>
    <x v="0"/>
    <m/>
    <n v="230000000"/>
    <n v="0"/>
    <n v="-3436501"/>
    <n v="226563499"/>
    <n v="329434847"/>
    <m/>
    <x v="1"/>
    <n v="329434847"/>
  </r>
  <r>
    <x v="1"/>
    <x v="13"/>
    <x v="13"/>
    <x v="11"/>
    <s v="Sujetos a Reglas de Operación"/>
    <x v="98"/>
    <x v="391"/>
    <x v="54"/>
    <x v="413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m/>
    <x v="0"/>
    <x v="0"/>
    <m/>
    <n v="595000000"/>
    <n v="0"/>
    <n v="-8890080"/>
    <n v="586109920"/>
    <n v="4903746828"/>
    <n v="863987310"/>
    <x v="1"/>
    <n v="4039759518"/>
  </r>
  <r>
    <x v="1"/>
    <x v="13"/>
    <x v="13"/>
    <x v="11"/>
    <s v="Sujetos a Reglas de Operación"/>
    <x v="99"/>
    <x v="392"/>
    <x v="278"/>
    <x v="467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n v="1"/>
    <x v="0"/>
    <x v="0"/>
    <m/>
    <n v="0"/>
    <n v="100000000"/>
    <n v="0"/>
    <n v="100000000"/>
    <m/>
    <m/>
    <x v="10"/>
    <n v="100000000"/>
  </r>
  <r>
    <x v="1"/>
    <x v="13"/>
    <x v="13"/>
    <x v="11"/>
    <s v="Sujetos a Reglas de Operación"/>
    <x v="100"/>
    <x v="393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1"/>
    <m/>
    <x v="0"/>
    <x v="0"/>
    <m/>
    <n v="1068222648"/>
    <n v="50000000"/>
    <n v="-10000000"/>
    <n v="1108222648"/>
    <n v="1267763891"/>
    <m/>
    <x v="24"/>
    <n v="1317763891"/>
  </r>
  <r>
    <x v="1"/>
    <x v="13"/>
    <x v="13"/>
    <x v="11"/>
    <s v="Sujetos a Reglas de Operación"/>
    <x v="100"/>
    <x v="393"/>
    <x v="85"/>
    <x v="463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1"/>
    <m/>
    <x v="0"/>
    <x v="0"/>
    <m/>
    <n v="284083229"/>
    <n v="50000000"/>
    <n v="-10000000"/>
    <n v="324083229"/>
    <n v="284035229"/>
    <m/>
    <x v="1"/>
    <n v="284035229"/>
  </r>
  <r>
    <x v="1"/>
    <x v="13"/>
    <x v="13"/>
    <x v="11"/>
    <s v="Sujetos a Reglas de Operación"/>
    <x v="101"/>
    <x v="394"/>
    <x v="270"/>
    <x v="450"/>
    <n v="2"/>
    <s v="Desarrollo Social"/>
    <n v="0"/>
    <s v="Educación"/>
    <n v="7"/>
    <x v="50"/>
    <x v="5"/>
    <x v="97"/>
    <n v="1"/>
    <s v="Gasto corriente"/>
    <x v="0"/>
    <x v="0"/>
    <x v="0"/>
    <x v="0"/>
    <x v="0"/>
    <x v="0"/>
    <x v="0"/>
    <m/>
    <x v="0"/>
    <x v="0"/>
    <m/>
    <m/>
    <m/>
    <m/>
    <m/>
    <n v="660000000"/>
    <m/>
    <x v="1"/>
    <n v="660000000"/>
  </r>
  <r>
    <x v="1"/>
    <x v="13"/>
    <x v="13"/>
    <x v="7"/>
    <s v="Otros Subsidios"/>
    <x v="7"/>
    <x v="395"/>
    <x v="85"/>
    <x v="463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6628641227"/>
    <n v="0"/>
    <n v="0"/>
    <n v="6628641227"/>
    <n v="6403267411"/>
    <m/>
    <x v="1"/>
    <n v="6403267411"/>
  </r>
  <r>
    <x v="1"/>
    <x v="13"/>
    <x v="13"/>
    <x v="7"/>
    <s v="Otros Subsidios"/>
    <x v="7"/>
    <x v="395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21664544050"/>
    <n v="2836067273"/>
    <n v="0"/>
    <n v="24500611323"/>
    <n v="25727265355"/>
    <m/>
    <x v="80"/>
    <n v="28061515355"/>
  </r>
  <r>
    <x v="1"/>
    <x v="13"/>
    <x v="13"/>
    <x v="7"/>
    <s v="Otros Subsidios"/>
    <x v="7"/>
    <x v="395"/>
    <x v="85"/>
    <x v="463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1"/>
    <x v="0"/>
    <m/>
    <n v="793490057"/>
    <n v="0"/>
    <n v="0"/>
    <n v="793490057"/>
    <n v="766511379"/>
    <m/>
    <x v="1"/>
    <n v="766511379"/>
  </r>
  <r>
    <x v="1"/>
    <x v="13"/>
    <x v="13"/>
    <x v="7"/>
    <s v="Otros Subsidios"/>
    <x v="7"/>
    <x v="395"/>
    <x v="105"/>
    <x v="42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1909769268"/>
    <n v="0"/>
    <n v="-28534455"/>
    <n v="1881234813"/>
    <n v="1844837099"/>
    <m/>
    <x v="81"/>
    <n v="2004837099"/>
  </r>
  <r>
    <x v="1"/>
    <x v="13"/>
    <x v="13"/>
    <x v="7"/>
    <s v="Otros Subsidios"/>
    <x v="7"/>
    <x v="395"/>
    <x v="82"/>
    <x v="43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1617608049"/>
    <n v="0"/>
    <n v="-24169185"/>
    <n v="1593438864"/>
    <n v="2422042976"/>
    <m/>
    <x v="82"/>
    <n v="2462042976"/>
  </r>
  <r>
    <x v="1"/>
    <x v="13"/>
    <x v="13"/>
    <x v="7"/>
    <s v="Otros Subsidios"/>
    <x v="7"/>
    <x v="395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8027701509"/>
    <n v="0"/>
    <n v="-119944380"/>
    <n v="7907757129"/>
    <n v="9312418181"/>
    <m/>
    <x v="1"/>
    <n v="9312418181"/>
  </r>
  <r>
    <x v="1"/>
    <x v="13"/>
    <x v="13"/>
    <x v="7"/>
    <s v="Otros Subsidios"/>
    <x v="7"/>
    <x v="395"/>
    <x v="74"/>
    <x v="424"/>
    <n v="2"/>
    <s v="Desarrollo Social"/>
    <n v="0"/>
    <s v="Educación"/>
    <n v="5"/>
    <x v="48"/>
    <x v="15"/>
    <x v="91"/>
    <n v="1"/>
    <s v="Gasto corriente"/>
    <x v="0"/>
    <x v="0"/>
    <x v="0"/>
    <x v="0"/>
    <x v="0"/>
    <x v="0"/>
    <x v="0"/>
    <m/>
    <x v="1"/>
    <x v="0"/>
    <m/>
    <n v="849980472"/>
    <n v="0"/>
    <n v="-12699822"/>
    <n v="837280650"/>
    <n v="763176249"/>
    <m/>
    <x v="1"/>
    <n v="763176249"/>
  </r>
  <r>
    <x v="1"/>
    <x v="13"/>
    <x v="13"/>
    <x v="7"/>
    <s v="Otros Subsidios"/>
    <x v="9"/>
    <x v="396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0"/>
    <n v="800000000"/>
    <n v="0"/>
    <n v="800000000"/>
    <n v="800000000"/>
    <m/>
    <x v="1"/>
    <n v="800000000"/>
  </r>
  <r>
    <x v="1"/>
    <x v="13"/>
    <x v="13"/>
    <x v="7"/>
    <s v="Otros Subsidios"/>
    <x v="16"/>
    <x v="397"/>
    <x v="58"/>
    <x v="461"/>
    <n v="2"/>
    <s v="Desarrollo Social"/>
    <n v="0"/>
    <s v="Educación"/>
    <n v="3"/>
    <x v="29"/>
    <x v="0"/>
    <x v="93"/>
    <n v="1"/>
    <s v="Gasto corriente"/>
    <x v="0"/>
    <x v="0"/>
    <x v="0"/>
    <x v="0"/>
    <x v="0"/>
    <x v="1"/>
    <x v="0"/>
    <m/>
    <x v="1"/>
    <x v="0"/>
    <m/>
    <m/>
    <m/>
    <m/>
    <m/>
    <n v="55000000"/>
    <m/>
    <x v="1"/>
    <n v="55000000"/>
  </r>
  <r>
    <x v="1"/>
    <x v="13"/>
    <x v="13"/>
    <x v="7"/>
    <s v="Otros Subsidios"/>
    <x v="16"/>
    <x v="397"/>
    <x v="85"/>
    <x v="463"/>
    <n v="2"/>
    <s v="Desarrollo Social"/>
    <n v="0"/>
    <s v="Educación"/>
    <n v="3"/>
    <x v="29"/>
    <x v="0"/>
    <x v="93"/>
    <n v="1"/>
    <s v="Gasto corriente"/>
    <x v="0"/>
    <x v="0"/>
    <x v="0"/>
    <x v="0"/>
    <x v="0"/>
    <x v="1"/>
    <x v="0"/>
    <m/>
    <x v="1"/>
    <x v="0"/>
    <m/>
    <n v="26000000"/>
    <n v="0"/>
    <n v="0"/>
    <n v="26000000"/>
    <m/>
    <m/>
    <x v="1"/>
    <n v="0"/>
  </r>
  <r>
    <x v="1"/>
    <x v="13"/>
    <x v="13"/>
    <x v="7"/>
    <s v="Otros Subsidios"/>
    <x v="16"/>
    <x v="397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1"/>
    <x v="0"/>
    <n v="1"/>
    <x v="1"/>
    <x v="0"/>
    <m/>
    <n v="113047175"/>
    <n v="150000000"/>
    <n v="-1689073"/>
    <n v="261358102"/>
    <n v="125000000"/>
    <m/>
    <x v="1"/>
    <n v="125000000"/>
  </r>
  <r>
    <x v="1"/>
    <x v="13"/>
    <x v="13"/>
    <x v="7"/>
    <s v="Otros Subsidios"/>
    <x v="17"/>
    <x v="398"/>
    <x v="53"/>
    <x v="452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m/>
    <x v="0"/>
    <x v="0"/>
    <m/>
    <n v="400000000"/>
    <n v="0"/>
    <n v="-5976524"/>
    <n v="394023476"/>
    <n v="410020000"/>
    <m/>
    <x v="0"/>
    <n v="610020000"/>
  </r>
  <r>
    <x v="1"/>
    <x v="13"/>
    <x v="13"/>
    <x v="7"/>
    <s v="Otros Subsidios"/>
    <x v="18"/>
    <x v="399"/>
    <x v="86"/>
    <x v="513"/>
    <n v="2"/>
    <s v="Desarrollo Social"/>
    <n v="0"/>
    <s v="Educación"/>
    <n v="3"/>
    <x v="29"/>
    <x v="8"/>
    <x v="90"/>
    <n v="2"/>
    <s v="Gasto de capital"/>
    <x v="0"/>
    <x v="0"/>
    <x v="0"/>
    <x v="0"/>
    <x v="0"/>
    <x v="0"/>
    <x v="0"/>
    <m/>
    <x v="0"/>
    <x v="0"/>
    <m/>
    <n v="100000000"/>
    <n v="0"/>
    <n v="-1494131"/>
    <n v="98505869"/>
    <n v="100000000"/>
    <m/>
    <x v="1"/>
    <n v="100000000"/>
  </r>
  <r>
    <x v="1"/>
    <x v="13"/>
    <x v="13"/>
    <x v="7"/>
    <s v="Otros Subsidios"/>
    <x v="19"/>
    <x v="400"/>
    <x v="23"/>
    <x v="474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47491982"/>
    <n v="0"/>
    <n v="-709592"/>
    <n v="46782390"/>
    <m/>
    <m/>
    <x v="1"/>
    <n v="0"/>
  </r>
  <r>
    <x v="1"/>
    <x v="13"/>
    <x v="13"/>
    <x v="7"/>
    <s v="Otros Subsidios"/>
    <x v="19"/>
    <x v="400"/>
    <x v="58"/>
    <x v="461"/>
    <n v="2"/>
    <s v="Desarrollo Social"/>
    <n v="0"/>
    <s v="Educación"/>
    <n v="3"/>
    <x v="29"/>
    <x v="0"/>
    <x v="93"/>
    <n v="1"/>
    <s v="Gasto corriente"/>
    <x v="0"/>
    <x v="0"/>
    <x v="0"/>
    <x v="0"/>
    <x v="0"/>
    <x v="0"/>
    <x v="1"/>
    <m/>
    <x v="1"/>
    <x v="0"/>
    <m/>
    <m/>
    <m/>
    <m/>
    <m/>
    <n v="772106458"/>
    <m/>
    <x v="83"/>
    <n v="778106458"/>
  </r>
  <r>
    <x v="1"/>
    <x v="13"/>
    <x v="13"/>
    <x v="7"/>
    <s v="Otros Subsidios"/>
    <x v="19"/>
    <x v="400"/>
    <x v="58"/>
    <x v="461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1"/>
    <m/>
    <x v="1"/>
    <x v="0"/>
    <m/>
    <m/>
    <m/>
    <m/>
    <m/>
    <n v="70565800"/>
    <m/>
    <x v="1"/>
    <n v="70565800"/>
  </r>
  <r>
    <x v="1"/>
    <x v="13"/>
    <x v="13"/>
    <x v="7"/>
    <s v="Otros Subsidios"/>
    <x v="19"/>
    <x v="400"/>
    <x v="85"/>
    <x v="463"/>
    <n v="2"/>
    <s v="Desarrollo Social"/>
    <n v="0"/>
    <s v="Educación"/>
    <n v="3"/>
    <x v="29"/>
    <x v="0"/>
    <x v="93"/>
    <n v="1"/>
    <s v="Gasto corriente"/>
    <x v="0"/>
    <x v="0"/>
    <x v="0"/>
    <x v="0"/>
    <x v="0"/>
    <x v="0"/>
    <x v="0"/>
    <m/>
    <x v="1"/>
    <x v="0"/>
    <m/>
    <n v="769700000"/>
    <n v="0"/>
    <n v="0"/>
    <n v="769700000"/>
    <m/>
    <m/>
    <x v="1"/>
    <n v="0"/>
  </r>
  <r>
    <x v="1"/>
    <x v="13"/>
    <x v="13"/>
    <x v="7"/>
    <s v="Otros Subsidios"/>
    <x v="19"/>
    <x v="400"/>
    <x v="85"/>
    <x v="463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m/>
    <x v="1"/>
    <x v="0"/>
    <m/>
    <n v="70565800"/>
    <n v="0"/>
    <n v="0"/>
    <n v="70565800"/>
    <m/>
    <m/>
    <x v="1"/>
    <n v="0"/>
  </r>
  <r>
    <x v="1"/>
    <x v="13"/>
    <x v="13"/>
    <x v="7"/>
    <s v="Otros Subsidios"/>
    <x v="19"/>
    <x v="400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2392208874"/>
    <n v="0"/>
    <n v="-35742735"/>
    <n v="2356466139"/>
    <n v="2465060417"/>
    <m/>
    <x v="84"/>
    <n v="2675560417"/>
  </r>
  <r>
    <x v="1"/>
    <x v="13"/>
    <x v="13"/>
    <x v="7"/>
    <s v="Otros Subsidios"/>
    <x v="19"/>
    <x v="400"/>
    <x v="72"/>
    <x v="426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2430153"/>
    <n v="0"/>
    <n v="-36310"/>
    <n v="2393843"/>
    <n v="2393843"/>
    <m/>
    <x v="1"/>
    <n v="2393843"/>
  </r>
  <r>
    <x v="1"/>
    <x v="13"/>
    <x v="13"/>
    <x v="7"/>
    <s v="Otros Subsidios"/>
    <x v="19"/>
    <x v="400"/>
    <x v="57"/>
    <x v="43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9991421"/>
    <n v="0"/>
    <n v="-149285"/>
    <n v="9842136"/>
    <n v="36991421"/>
    <m/>
    <x v="1"/>
    <n v="36991421"/>
  </r>
  <r>
    <x v="1"/>
    <x v="13"/>
    <x v="13"/>
    <x v="7"/>
    <s v="Otros Subsidios"/>
    <x v="19"/>
    <x v="400"/>
    <x v="259"/>
    <x v="434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8036633"/>
    <n v="0"/>
    <n v="-120078"/>
    <n v="7916555"/>
    <n v="10709792"/>
    <m/>
    <x v="1"/>
    <n v="10709792"/>
  </r>
  <r>
    <x v="1"/>
    <x v="13"/>
    <x v="13"/>
    <x v="7"/>
    <s v="Otros Subsidios"/>
    <x v="19"/>
    <x v="400"/>
    <x v="253"/>
    <x v="420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1"/>
    <x v="0"/>
    <m/>
    <n v="235356518"/>
    <n v="0"/>
    <n v="-3516535"/>
    <n v="231839983"/>
    <n v="235356518"/>
    <m/>
    <x v="1"/>
    <n v="235356518"/>
  </r>
  <r>
    <x v="1"/>
    <x v="13"/>
    <x v="13"/>
    <x v="7"/>
    <s v="Otros Subsidios"/>
    <x v="19"/>
    <x v="400"/>
    <x v="31"/>
    <x v="428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10734297"/>
    <n v="0"/>
    <n v="-160384"/>
    <n v="10573913"/>
    <n v="50734297"/>
    <m/>
    <x v="1"/>
    <n v="50734297"/>
  </r>
  <r>
    <x v="1"/>
    <x v="13"/>
    <x v="13"/>
    <x v="7"/>
    <s v="Otros Subsidios"/>
    <x v="19"/>
    <x v="400"/>
    <x v="31"/>
    <x v="428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143923753"/>
    <n v="50000000"/>
    <n v="-2150409"/>
    <n v="191773344"/>
    <n v="233923753"/>
    <m/>
    <x v="1"/>
    <n v="233923753"/>
  </r>
  <r>
    <x v="1"/>
    <x v="13"/>
    <x v="13"/>
    <x v="7"/>
    <s v="Otros Subsidios"/>
    <x v="19"/>
    <x v="400"/>
    <x v="40"/>
    <x v="435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2500000"/>
    <n v="0"/>
    <n v="-37353"/>
    <n v="2462647"/>
    <n v="2462647"/>
    <m/>
    <x v="1"/>
    <n v="2462647"/>
  </r>
  <r>
    <x v="1"/>
    <x v="13"/>
    <x v="13"/>
    <x v="7"/>
    <s v="Otros Subsidios"/>
    <x v="19"/>
    <x v="400"/>
    <x v="92"/>
    <x v="438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2670800"/>
    <n v="0"/>
    <n v="-39905"/>
    <n v="2630895"/>
    <n v="2630895"/>
    <m/>
    <x v="1"/>
    <n v="2630895"/>
  </r>
  <r>
    <x v="1"/>
    <x v="13"/>
    <x v="13"/>
    <x v="7"/>
    <s v="Otros Subsidios"/>
    <x v="19"/>
    <x v="400"/>
    <x v="256"/>
    <x v="429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500000"/>
    <n v="0"/>
    <n v="-7471"/>
    <n v="492529"/>
    <n v="492529"/>
    <m/>
    <x v="1"/>
    <n v="492529"/>
  </r>
  <r>
    <x v="1"/>
    <x v="13"/>
    <x v="13"/>
    <x v="7"/>
    <s v="Otros Subsidios"/>
    <x v="19"/>
    <x v="400"/>
    <x v="260"/>
    <x v="436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1"/>
    <x v="0"/>
    <m/>
    <n v="8677440"/>
    <n v="0"/>
    <n v="-129652"/>
    <n v="8547788"/>
    <n v="12129652"/>
    <m/>
    <x v="1"/>
    <n v="12129652"/>
  </r>
  <r>
    <x v="1"/>
    <x v="13"/>
    <x v="13"/>
    <x v="7"/>
    <s v="Otros Subsidios"/>
    <x v="19"/>
    <x v="400"/>
    <x v="257"/>
    <x v="430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60000000"/>
    <n v="0"/>
    <n v="-896479"/>
    <n v="59103521"/>
    <n v="97103521"/>
    <m/>
    <x v="1"/>
    <n v="97103521"/>
  </r>
  <r>
    <x v="1"/>
    <x v="13"/>
    <x v="13"/>
    <x v="7"/>
    <s v="Otros Subsidios"/>
    <x v="19"/>
    <x v="400"/>
    <x v="255"/>
    <x v="422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n v="1"/>
    <x v="1"/>
    <x v="0"/>
    <m/>
    <n v="4254762"/>
    <n v="0"/>
    <n v="-63572"/>
    <n v="4191190"/>
    <n v="6767485"/>
    <m/>
    <x v="1"/>
    <n v="6767485"/>
  </r>
  <r>
    <x v="1"/>
    <x v="13"/>
    <x v="13"/>
    <x v="7"/>
    <s v="Otros Subsidios"/>
    <x v="19"/>
    <x v="400"/>
    <x v="255"/>
    <x v="422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1"/>
    <x v="0"/>
    <m/>
    <n v="35546580"/>
    <n v="0"/>
    <n v="-531112"/>
    <n v="35015468"/>
    <n v="67388907"/>
    <m/>
    <x v="1"/>
    <n v="67388907"/>
  </r>
  <r>
    <x v="1"/>
    <x v="13"/>
    <x v="13"/>
    <x v="7"/>
    <s v="Otros Subsidios"/>
    <x v="19"/>
    <x v="400"/>
    <x v="255"/>
    <x v="422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m/>
    <x v="1"/>
    <x v="0"/>
    <m/>
    <n v="80730485"/>
    <n v="0"/>
    <n v="-1206219"/>
    <n v="79524266"/>
    <n v="57375435"/>
    <m/>
    <x v="1"/>
    <n v="57375435"/>
  </r>
  <r>
    <x v="1"/>
    <x v="13"/>
    <x v="13"/>
    <x v="7"/>
    <s v="Otros Subsidios"/>
    <x v="19"/>
    <x v="400"/>
    <x v="251"/>
    <x v="414"/>
    <n v="2"/>
    <s v="Desarrollo Social"/>
    <n v="0"/>
    <s v="Educación"/>
    <n v="3"/>
    <x v="29"/>
    <x v="4"/>
    <x v="94"/>
    <n v="1"/>
    <s v="Gasto corriente"/>
    <x v="0"/>
    <x v="0"/>
    <x v="0"/>
    <x v="1"/>
    <x v="0"/>
    <x v="0"/>
    <x v="0"/>
    <n v="1"/>
    <x v="1"/>
    <x v="0"/>
    <m/>
    <n v="3638124"/>
    <n v="0"/>
    <n v="-54358"/>
    <n v="3583766"/>
    <n v="3638124"/>
    <m/>
    <x v="1"/>
    <n v="3638124"/>
  </r>
  <r>
    <x v="1"/>
    <x v="13"/>
    <x v="13"/>
    <x v="7"/>
    <s v="Otros Subsidios"/>
    <x v="19"/>
    <x v="400"/>
    <x v="251"/>
    <x v="414"/>
    <n v="2"/>
    <s v="Desarrollo Social"/>
    <n v="0"/>
    <s v="Educación"/>
    <n v="4"/>
    <x v="32"/>
    <x v="11"/>
    <x v="95"/>
    <n v="1"/>
    <s v="Gasto corriente"/>
    <x v="0"/>
    <x v="0"/>
    <x v="0"/>
    <x v="1"/>
    <x v="0"/>
    <x v="0"/>
    <x v="0"/>
    <n v="1"/>
    <x v="1"/>
    <x v="0"/>
    <m/>
    <n v="13170307"/>
    <n v="0"/>
    <n v="-196782"/>
    <n v="12973525"/>
    <n v="13170307"/>
    <m/>
    <x v="1"/>
    <n v="13170307"/>
  </r>
  <r>
    <x v="1"/>
    <x v="13"/>
    <x v="13"/>
    <x v="7"/>
    <s v="Otros Subsidios"/>
    <x v="19"/>
    <x v="400"/>
    <x v="261"/>
    <x v="437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1"/>
    <x v="0"/>
    <m/>
    <n v="15000000"/>
    <n v="0"/>
    <n v="-224120"/>
    <n v="14775880"/>
    <n v="37000000"/>
    <m/>
    <x v="1"/>
    <n v="37000000"/>
  </r>
  <r>
    <x v="1"/>
    <x v="13"/>
    <x v="13"/>
    <x v="7"/>
    <s v="Otros Subsidios"/>
    <x v="22"/>
    <x v="401"/>
    <x v="85"/>
    <x v="463"/>
    <n v="2"/>
    <s v="Desarrollo Social"/>
    <n v="0"/>
    <s v="Educación"/>
    <n v="3"/>
    <x v="29"/>
    <x v="7"/>
    <x v="92"/>
    <n v="1"/>
    <s v="Gasto corriente"/>
    <x v="0"/>
    <x v="0"/>
    <x v="0"/>
    <x v="0"/>
    <x v="0"/>
    <x v="0"/>
    <x v="0"/>
    <m/>
    <x v="0"/>
    <x v="0"/>
    <m/>
    <n v="181632583"/>
    <n v="0"/>
    <n v="0"/>
    <n v="181632583"/>
    <n v="188230508"/>
    <m/>
    <x v="1"/>
    <n v="188230508"/>
  </r>
  <r>
    <x v="1"/>
    <x v="13"/>
    <x v="13"/>
    <x v="7"/>
    <s v="Otros Subsidios"/>
    <x v="22"/>
    <x v="401"/>
    <x v="85"/>
    <x v="463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122658656"/>
    <n v="0"/>
    <n v="0"/>
    <n v="122658656"/>
    <n v="100053985"/>
    <m/>
    <x v="1"/>
    <n v="100053985"/>
  </r>
  <r>
    <x v="1"/>
    <x v="13"/>
    <x v="13"/>
    <x v="7"/>
    <s v="Otros Subsidios"/>
    <x v="22"/>
    <x v="401"/>
    <x v="85"/>
    <x v="463"/>
    <n v="3"/>
    <s v="Desarrollo Económico"/>
    <n v="7"/>
    <s v="Ciencia y Tecnología"/>
    <n v="3"/>
    <x v="46"/>
    <x v="14"/>
    <x v="89"/>
    <n v="1"/>
    <s v="Gasto corriente"/>
    <x v="0"/>
    <x v="0"/>
    <x v="0"/>
    <x v="1"/>
    <x v="0"/>
    <x v="0"/>
    <x v="0"/>
    <m/>
    <x v="0"/>
    <x v="0"/>
    <m/>
    <n v="11599472"/>
    <n v="0"/>
    <n v="0"/>
    <n v="11599472"/>
    <n v="12223084"/>
    <m/>
    <x v="1"/>
    <n v="12223084"/>
  </r>
  <r>
    <x v="1"/>
    <x v="13"/>
    <x v="13"/>
    <x v="7"/>
    <s v="Otros Subsidios"/>
    <x v="22"/>
    <x v="401"/>
    <x v="74"/>
    <x v="424"/>
    <n v="2"/>
    <s v="Desarrollo Social"/>
    <n v="0"/>
    <s v="Educación"/>
    <n v="5"/>
    <x v="48"/>
    <x v="15"/>
    <x v="91"/>
    <n v="1"/>
    <s v="Gasto corriente"/>
    <x v="0"/>
    <x v="0"/>
    <x v="0"/>
    <x v="0"/>
    <x v="0"/>
    <x v="0"/>
    <x v="0"/>
    <m/>
    <x v="0"/>
    <x v="0"/>
    <m/>
    <n v="7642711"/>
    <n v="0"/>
    <n v="-114192"/>
    <n v="7528519"/>
    <n v="8153519"/>
    <m/>
    <x v="1"/>
    <n v="8153519"/>
  </r>
  <r>
    <x v="1"/>
    <x v="13"/>
    <x v="13"/>
    <x v="7"/>
    <s v="Otros Subsidios"/>
    <x v="22"/>
    <x v="401"/>
    <x v="61"/>
    <x v="39"/>
    <n v="2"/>
    <s v="Desarrollo Social"/>
    <n v="0"/>
    <s v="Educación"/>
    <n v="9"/>
    <x v="47"/>
    <x v="6"/>
    <x v="88"/>
    <n v="1"/>
    <s v="Gasto corriente"/>
    <x v="0"/>
    <x v="0"/>
    <x v="0"/>
    <x v="0"/>
    <x v="0"/>
    <x v="0"/>
    <x v="0"/>
    <m/>
    <x v="0"/>
    <x v="0"/>
    <m/>
    <n v="17800000"/>
    <n v="0"/>
    <n v="-265955"/>
    <n v="17534045"/>
    <m/>
    <m/>
    <x v="1"/>
    <n v="0"/>
  </r>
  <r>
    <x v="1"/>
    <x v="13"/>
    <x v="13"/>
    <x v="7"/>
    <s v="Otros Subsidios"/>
    <x v="23"/>
    <x v="402"/>
    <x v="271"/>
    <x v="451"/>
    <n v="2"/>
    <s v="Desarrollo Social"/>
    <n v="0"/>
    <s v="Educación"/>
    <n v="9"/>
    <x v="47"/>
    <x v="10"/>
    <x v="98"/>
    <n v="1"/>
    <s v="Gasto corriente"/>
    <x v="0"/>
    <x v="0"/>
    <x v="0"/>
    <x v="0"/>
    <x v="0"/>
    <x v="0"/>
    <x v="0"/>
    <m/>
    <x v="1"/>
    <x v="0"/>
    <m/>
    <n v="77991401"/>
    <n v="9000000"/>
    <n v="-1165294"/>
    <n v="85826107"/>
    <n v="149841429"/>
    <m/>
    <x v="1"/>
    <n v="149841429"/>
  </r>
  <r>
    <x v="1"/>
    <x v="13"/>
    <x v="13"/>
    <x v="7"/>
    <s v="Otros Subsidios"/>
    <x v="24"/>
    <x v="312"/>
    <x v="58"/>
    <x v="46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58211516"/>
    <n v="30000000"/>
    <n v="-869756"/>
    <n v="87341760"/>
    <m/>
    <m/>
    <x v="1"/>
    <n v="0"/>
  </r>
  <r>
    <x v="1"/>
    <x v="13"/>
    <x v="13"/>
    <x v="7"/>
    <s v="Otros Subsidios"/>
    <x v="20"/>
    <x v="403"/>
    <x v="85"/>
    <x v="463"/>
    <n v="2"/>
    <s v="Desarrollo Social"/>
    <n v="0"/>
    <s v="Educación"/>
    <n v="3"/>
    <x v="29"/>
    <x v="0"/>
    <x v="93"/>
    <n v="1"/>
    <s v="Gasto corriente"/>
    <x v="0"/>
    <x v="0"/>
    <x v="0"/>
    <x v="0"/>
    <x v="0"/>
    <x v="1"/>
    <x v="0"/>
    <m/>
    <x v="1"/>
    <x v="0"/>
    <m/>
    <n v="50000000"/>
    <n v="0"/>
    <n v="0"/>
    <n v="50000000"/>
    <n v="50000000"/>
    <m/>
    <x v="1"/>
    <n v="50000000"/>
  </r>
  <r>
    <x v="1"/>
    <x v="13"/>
    <x v="13"/>
    <x v="7"/>
    <s v="Otros Subsidios"/>
    <x v="20"/>
    <x v="403"/>
    <x v="74"/>
    <x v="424"/>
    <n v="2"/>
    <s v="Desarrollo Social"/>
    <n v="0"/>
    <s v="Educación"/>
    <n v="8"/>
    <x v="51"/>
    <x v="6"/>
    <x v="88"/>
    <n v="1"/>
    <s v="Gasto corriente"/>
    <x v="0"/>
    <x v="0"/>
    <x v="0"/>
    <x v="0"/>
    <x v="0"/>
    <x v="1"/>
    <x v="0"/>
    <m/>
    <x v="0"/>
    <x v="0"/>
    <m/>
    <n v="25000000"/>
    <n v="0"/>
    <n v="-373533"/>
    <n v="24626467"/>
    <n v="30000000"/>
    <m/>
    <x v="1"/>
    <n v="30000000"/>
  </r>
  <r>
    <x v="1"/>
    <x v="13"/>
    <x v="13"/>
    <x v="7"/>
    <s v="Otros Subsidios"/>
    <x v="21"/>
    <x v="404"/>
    <x v="260"/>
    <x v="436"/>
    <n v="2"/>
    <s v="Desarrollo Social"/>
    <n v="0"/>
    <s v="Educación"/>
    <n v="4"/>
    <x v="32"/>
    <x v="11"/>
    <x v="95"/>
    <n v="2"/>
    <s v="Gasto de capital"/>
    <x v="0"/>
    <x v="0"/>
    <x v="0"/>
    <x v="1"/>
    <x v="0"/>
    <x v="0"/>
    <x v="0"/>
    <n v="1"/>
    <x v="0"/>
    <x v="0"/>
    <m/>
    <n v="17481469"/>
    <n v="0"/>
    <n v="-261196"/>
    <n v="17220273"/>
    <m/>
    <m/>
    <x v="1"/>
    <n v="0"/>
  </r>
  <r>
    <x v="1"/>
    <x v="13"/>
    <x v="13"/>
    <x v="7"/>
    <s v="Otros Subsidios"/>
    <x v="21"/>
    <x v="404"/>
    <x v="260"/>
    <x v="436"/>
    <n v="3"/>
    <s v="Desarrollo Económico"/>
    <n v="7"/>
    <s v="Ciencia y Tecnología"/>
    <n v="1"/>
    <x v="33"/>
    <x v="14"/>
    <x v="89"/>
    <n v="2"/>
    <s v="Gasto de capital"/>
    <x v="0"/>
    <x v="0"/>
    <x v="0"/>
    <x v="1"/>
    <x v="0"/>
    <x v="0"/>
    <x v="0"/>
    <n v="1"/>
    <x v="0"/>
    <x v="0"/>
    <m/>
    <n v="27000000"/>
    <n v="0"/>
    <n v="-403415"/>
    <n v="26596585"/>
    <m/>
    <m/>
    <x v="1"/>
    <n v="0"/>
  </r>
  <r>
    <x v="1"/>
    <x v="13"/>
    <x v="13"/>
    <x v="7"/>
    <s v="Otros Subsidios"/>
    <x v="47"/>
    <x v="405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1828239162"/>
    <n v="0"/>
    <n v="-727316289"/>
    <n v="1100922873"/>
    <n v="1200000000"/>
    <m/>
    <x v="1"/>
    <n v="1200000000"/>
  </r>
  <r>
    <x v="1"/>
    <x v="13"/>
    <x v="13"/>
    <x v="7"/>
    <s v="Otros Subsidios"/>
    <x v="47"/>
    <x v="405"/>
    <x v="74"/>
    <x v="424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m/>
    <x v="1"/>
    <x v="0"/>
    <m/>
    <n v="1"/>
    <n v="0"/>
    <n v="0"/>
    <n v="1"/>
    <m/>
    <m/>
    <x v="1"/>
    <n v="0"/>
  </r>
  <r>
    <x v="1"/>
    <x v="13"/>
    <x v="13"/>
    <x v="7"/>
    <s v="Otros Subsidios"/>
    <x v="25"/>
    <x v="406"/>
    <x v="74"/>
    <x v="424"/>
    <n v="2"/>
    <s v="Desarrollo Social"/>
    <n v="0"/>
    <s v="Educación"/>
    <n v="2"/>
    <x v="28"/>
    <x v="0"/>
    <x v="93"/>
    <n v="2"/>
    <s v="Gasto de capital"/>
    <x v="0"/>
    <x v="0"/>
    <x v="0"/>
    <x v="0"/>
    <x v="0"/>
    <x v="0"/>
    <x v="0"/>
    <n v="1"/>
    <x v="1"/>
    <x v="0"/>
    <m/>
    <n v="1750000000"/>
    <n v="500000000"/>
    <n v="-26147293"/>
    <n v="2223852707"/>
    <n v="2375735010"/>
    <m/>
    <x v="1"/>
    <n v="2375735010"/>
  </r>
  <r>
    <x v="1"/>
    <x v="13"/>
    <x v="13"/>
    <x v="7"/>
    <s v="Otros Subsidios"/>
    <x v="1"/>
    <x v="407"/>
    <x v="105"/>
    <x v="42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0"/>
    <n v="350000000"/>
    <n v="0"/>
    <n v="350000000"/>
    <n v="470000000"/>
    <m/>
    <x v="1"/>
    <n v="470000000"/>
  </r>
  <r>
    <x v="1"/>
    <x v="13"/>
    <x v="13"/>
    <x v="7"/>
    <s v="Otros Subsidios"/>
    <x v="27"/>
    <x v="408"/>
    <x v="86"/>
    <x v="51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99000000"/>
    <n v="0"/>
    <n v="-1479190"/>
    <n v="97520810"/>
    <n v="95000000"/>
    <m/>
    <x v="1"/>
    <n v="95000000"/>
  </r>
  <r>
    <x v="1"/>
    <x v="13"/>
    <x v="13"/>
    <x v="7"/>
    <s v="Otros Subsidios"/>
    <x v="28"/>
    <x v="409"/>
    <x v="55"/>
    <x v="465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n v="1"/>
    <x v="0"/>
    <x v="0"/>
    <m/>
    <n v="0"/>
    <n v="500000000"/>
    <n v="0"/>
    <n v="500000000"/>
    <m/>
    <m/>
    <x v="18"/>
    <n v="300000000"/>
  </r>
  <r>
    <x v="1"/>
    <x v="13"/>
    <x v="13"/>
    <x v="7"/>
    <s v="Otros Subsidios"/>
    <x v="29"/>
    <x v="410"/>
    <x v="53"/>
    <x v="452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1"/>
    <x v="0"/>
    <n v="1"/>
    <x v="0"/>
    <x v="0"/>
    <m/>
    <n v="0"/>
    <n v="68800000"/>
    <n v="0"/>
    <n v="68800000"/>
    <n v="70000000"/>
    <m/>
    <x v="1"/>
    <n v="70000000"/>
  </r>
  <r>
    <x v="1"/>
    <x v="13"/>
    <x v="13"/>
    <x v="7"/>
    <s v="Otros Subsidios"/>
    <x v="30"/>
    <x v="411"/>
    <x v="7"/>
    <x v="464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n v="1"/>
    <x v="0"/>
    <x v="0"/>
    <m/>
    <n v="0"/>
    <n v="1000000000"/>
    <n v="0"/>
    <n v="1000000000"/>
    <m/>
    <m/>
    <x v="85"/>
    <n v="1000000000"/>
  </r>
  <r>
    <x v="1"/>
    <x v="13"/>
    <x v="13"/>
    <x v="7"/>
    <s v="Otros Subsidios"/>
    <x v="54"/>
    <x v="412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0"/>
    <n v="0"/>
    <n v="392000000"/>
    <n v="392000000"/>
    <n v="410000000"/>
    <m/>
    <x v="1"/>
    <n v="410000000"/>
  </r>
  <r>
    <x v="1"/>
    <x v="13"/>
    <x v="13"/>
    <x v="7"/>
    <s v="Otros Subsidios"/>
    <x v="55"/>
    <x v="413"/>
    <x v="74"/>
    <x v="424"/>
    <n v="2"/>
    <s v="Desarrollo Social"/>
    <n v="0"/>
    <s v="Educación"/>
    <n v="2"/>
    <x v="28"/>
    <x v="0"/>
    <x v="93"/>
    <n v="1"/>
    <s v="Gasto corriente"/>
    <x v="0"/>
    <x v="0"/>
    <x v="0"/>
    <x v="0"/>
    <x v="0"/>
    <x v="0"/>
    <x v="0"/>
    <m/>
    <x v="1"/>
    <x v="0"/>
    <m/>
    <n v="0"/>
    <n v="0"/>
    <n v="196000000"/>
    <n v="196000000"/>
    <n v="205000000"/>
    <m/>
    <x v="1"/>
    <n v="205000000"/>
  </r>
  <r>
    <x v="1"/>
    <x v="13"/>
    <x v="13"/>
    <x v="7"/>
    <s v="Otros Subsidios"/>
    <x v="57"/>
    <x v="414"/>
    <x v="58"/>
    <x v="46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1"/>
    <m/>
    <n v="0"/>
    <n v="70000000"/>
    <n v="0"/>
    <n v="70000000"/>
    <m/>
    <m/>
    <x v="82"/>
    <n v="40000000"/>
  </r>
  <r>
    <x v="1"/>
    <x v="13"/>
    <x v="13"/>
    <x v="7"/>
    <s v="Otros Subsidios"/>
    <x v="58"/>
    <x v="415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n v="0"/>
    <n v="100000000"/>
    <n v="0"/>
    <n v="100000000"/>
    <n v="100000000"/>
    <m/>
    <x v="24"/>
    <n v="150000000"/>
  </r>
  <r>
    <x v="1"/>
    <x v="13"/>
    <x v="13"/>
    <x v="7"/>
    <s v="Otros Subsidios"/>
    <x v="59"/>
    <x v="416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n v="0"/>
    <n v="100000000"/>
    <n v="0"/>
    <n v="100000000"/>
    <m/>
    <m/>
    <x v="1"/>
    <n v="0"/>
  </r>
  <r>
    <x v="1"/>
    <x v="13"/>
    <x v="13"/>
    <x v="7"/>
    <s v="Otros Subsidios"/>
    <x v="66"/>
    <x v="417"/>
    <x v="161"/>
    <x v="466"/>
    <n v="2"/>
    <s v="Desarrollo Social"/>
    <n v="0"/>
    <s v="Educación"/>
    <n v="1"/>
    <x v="31"/>
    <x v="6"/>
    <x v="88"/>
    <n v="1"/>
    <s v="Gasto corriente"/>
    <x v="0"/>
    <x v="0"/>
    <x v="1"/>
    <x v="0"/>
    <x v="0"/>
    <x v="0"/>
    <x v="0"/>
    <n v="1"/>
    <x v="0"/>
    <x v="0"/>
    <m/>
    <n v="0"/>
    <n v="250000000"/>
    <n v="0"/>
    <n v="250000000"/>
    <m/>
    <m/>
    <x v="10"/>
    <n v="100000000"/>
  </r>
  <r>
    <x v="1"/>
    <x v="13"/>
    <x v="13"/>
    <x v="7"/>
    <s v="Otros Subsidios"/>
    <x v="76"/>
    <x v="418"/>
    <x v="85"/>
    <x v="463"/>
    <n v="2"/>
    <s v="Desarrollo Social"/>
    <n v="0"/>
    <s v="Educación"/>
    <n v="3"/>
    <x v="29"/>
    <x v="4"/>
    <x v="94"/>
    <n v="2"/>
    <s v="Gasto de capital"/>
    <x v="0"/>
    <x v="0"/>
    <x v="1"/>
    <x v="0"/>
    <x v="0"/>
    <x v="0"/>
    <x v="0"/>
    <n v="1"/>
    <x v="0"/>
    <x v="0"/>
    <m/>
    <n v="0"/>
    <n v="100000000"/>
    <n v="0"/>
    <n v="100000000"/>
    <n v="110000000"/>
    <m/>
    <x v="1"/>
    <n v="110000000"/>
  </r>
  <r>
    <x v="1"/>
    <x v="13"/>
    <x v="13"/>
    <x v="7"/>
    <s v="Otros Subsidios"/>
    <x v="61"/>
    <x v="419"/>
    <x v="82"/>
    <x v="43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n v="0"/>
    <n v="100000000"/>
    <n v="0"/>
    <n v="100000000"/>
    <n v="210000000"/>
    <m/>
    <x v="1"/>
    <n v="210000000"/>
  </r>
  <r>
    <x v="1"/>
    <x v="13"/>
    <x v="13"/>
    <x v="7"/>
    <s v="Otros Subsidios"/>
    <x v="61"/>
    <x v="419"/>
    <x v="82"/>
    <x v="431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0"/>
    <x v="0"/>
    <m/>
    <n v="0"/>
    <n v="100000000"/>
    <n v="0"/>
    <n v="100000000"/>
    <m/>
    <m/>
    <x v="1"/>
    <n v="0"/>
  </r>
  <r>
    <x v="1"/>
    <x v="13"/>
    <x v="13"/>
    <x v="7"/>
    <s v="Otros Subsidios"/>
    <x v="68"/>
    <x v="420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m/>
    <m/>
    <m/>
    <m/>
    <n v="105000000"/>
    <m/>
    <x v="1"/>
    <n v="105000000"/>
  </r>
  <r>
    <x v="1"/>
    <x v="13"/>
    <x v="13"/>
    <x v="7"/>
    <s v="Otros Subsidios"/>
    <x v="68"/>
    <x v="420"/>
    <x v="85"/>
    <x v="463"/>
    <n v="2"/>
    <s v="Desarrollo Social"/>
    <n v="0"/>
    <s v="Educación"/>
    <n v="3"/>
    <x v="29"/>
    <x v="7"/>
    <x v="92"/>
    <n v="1"/>
    <s v="Gasto corriente"/>
    <x v="0"/>
    <x v="0"/>
    <x v="0"/>
    <x v="0"/>
    <x v="0"/>
    <x v="0"/>
    <x v="0"/>
    <m/>
    <x v="0"/>
    <x v="0"/>
    <m/>
    <n v="0"/>
    <n v="100000000"/>
    <n v="0"/>
    <n v="100000000"/>
    <m/>
    <m/>
    <x v="1"/>
    <n v="0"/>
  </r>
  <r>
    <x v="1"/>
    <x v="13"/>
    <x v="13"/>
    <x v="7"/>
    <m/>
    <x v="69"/>
    <x v="421"/>
    <x v="23"/>
    <x v="474"/>
    <m/>
    <m/>
    <m/>
    <m/>
    <m/>
    <x v="52"/>
    <x v="21"/>
    <x v="99"/>
    <m/>
    <m/>
    <x v="1"/>
    <x v="0"/>
    <x v="0"/>
    <x v="0"/>
    <x v="0"/>
    <x v="0"/>
    <x v="0"/>
    <n v="1"/>
    <x v="0"/>
    <x v="0"/>
    <m/>
    <m/>
    <m/>
    <m/>
    <m/>
    <m/>
    <m/>
    <x v="34"/>
    <m/>
  </r>
  <r>
    <x v="1"/>
    <x v="13"/>
    <x v="13"/>
    <x v="14"/>
    <m/>
    <x v="102"/>
    <x v="422"/>
    <x v="282"/>
    <x v="514"/>
    <m/>
    <m/>
    <m/>
    <m/>
    <m/>
    <x v="52"/>
    <x v="21"/>
    <x v="99"/>
    <n v="1"/>
    <s v="Gasto corriente"/>
    <x v="0"/>
    <x v="0"/>
    <x v="0"/>
    <x v="0"/>
    <x v="0"/>
    <x v="0"/>
    <x v="0"/>
    <n v="1"/>
    <x v="0"/>
    <x v="0"/>
    <m/>
    <m/>
    <m/>
    <m/>
    <m/>
    <m/>
    <m/>
    <x v="85"/>
    <m/>
  </r>
  <r>
    <x v="1"/>
    <x v="13"/>
    <x v="13"/>
    <x v="7"/>
    <s v="Otros Subsidios"/>
    <x v="73"/>
    <x v="423"/>
    <x v="85"/>
    <x v="463"/>
    <n v="2"/>
    <s v="Desarrollo Social"/>
    <n v="0"/>
    <s v="Educación"/>
    <n v="3"/>
    <x v="29"/>
    <x v="4"/>
    <x v="94"/>
    <n v="1"/>
    <s v="Gasto corriente"/>
    <x v="0"/>
    <x v="0"/>
    <x v="1"/>
    <x v="0"/>
    <x v="0"/>
    <x v="0"/>
    <x v="0"/>
    <n v="1"/>
    <x v="0"/>
    <x v="0"/>
    <m/>
    <n v="0"/>
    <n v="50000000"/>
    <n v="0"/>
    <n v="50000000"/>
    <n v="60000000"/>
    <m/>
    <x v="1"/>
    <n v="60000000"/>
  </r>
  <r>
    <x v="1"/>
    <x v="13"/>
    <x v="13"/>
    <x v="7"/>
    <s v="Otros Subsidios"/>
    <x v="103"/>
    <x v="424"/>
    <x v="105"/>
    <x v="423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m/>
    <x v="1"/>
    <x v="0"/>
    <m/>
    <n v="0"/>
    <n v="65000000"/>
    <n v="0"/>
    <n v="65000000"/>
    <n v="70000000"/>
    <m/>
    <x v="1"/>
    <n v="70000000"/>
  </r>
  <r>
    <x v="1"/>
    <x v="13"/>
    <x v="13"/>
    <x v="7"/>
    <s v="Otros Subsidios"/>
    <x v="104"/>
    <x v="425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480000000"/>
    <n v="0"/>
    <n v="480000000"/>
    <m/>
    <m/>
    <x v="86"/>
    <n v="480000000"/>
  </r>
  <r>
    <x v="1"/>
    <x v="13"/>
    <x v="13"/>
    <x v="7"/>
    <s v="Otros Subsidios"/>
    <x v="75"/>
    <x v="426"/>
    <x v="49"/>
    <x v="439"/>
    <n v="2"/>
    <s v="Desarrollo Social"/>
    <n v="0"/>
    <s v="Educación"/>
    <n v="6"/>
    <x v="49"/>
    <x v="9"/>
    <x v="96"/>
    <n v="1"/>
    <s v="Gasto corriente"/>
    <x v="0"/>
    <x v="0"/>
    <x v="0"/>
    <x v="0"/>
    <x v="0"/>
    <x v="0"/>
    <x v="0"/>
    <m/>
    <x v="0"/>
    <x v="0"/>
    <m/>
    <n v="0"/>
    <n v="480000000"/>
    <n v="0"/>
    <n v="480000000"/>
    <m/>
    <m/>
    <x v="1"/>
    <n v="0"/>
  </r>
  <r>
    <x v="1"/>
    <x v="13"/>
    <x v="13"/>
    <x v="7"/>
    <s v="Otros Subsidios"/>
    <x v="105"/>
    <x v="427"/>
    <x v="53"/>
    <x v="452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n v="1"/>
    <x v="0"/>
    <x v="0"/>
    <m/>
    <n v="0"/>
    <n v="150000000"/>
    <n v="0"/>
    <n v="150000000"/>
    <m/>
    <m/>
    <x v="1"/>
    <n v="0"/>
  </r>
  <r>
    <x v="1"/>
    <x v="13"/>
    <x v="13"/>
    <x v="7"/>
    <s v="Otros Subsidios"/>
    <x v="106"/>
    <x v="428"/>
    <x v="54"/>
    <x v="413"/>
    <n v="2"/>
    <s v="Desarrollo Social"/>
    <n v="0"/>
    <s v="Educación"/>
    <n v="1"/>
    <x v="31"/>
    <x v="6"/>
    <x v="88"/>
    <n v="1"/>
    <s v="Gasto corriente"/>
    <x v="0"/>
    <x v="0"/>
    <x v="0"/>
    <x v="0"/>
    <x v="0"/>
    <x v="0"/>
    <x v="0"/>
    <n v="1"/>
    <x v="0"/>
    <x v="0"/>
    <m/>
    <n v="0"/>
    <n v="100000000"/>
    <n v="0"/>
    <n v="100000000"/>
    <m/>
    <m/>
    <x v="1"/>
    <n v="0"/>
  </r>
  <r>
    <x v="1"/>
    <x v="13"/>
    <x v="13"/>
    <x v="7"/>
    <s v="Otros Subsidios"/>
    <x v="107"/>
    <x v="429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0"/>
    <n v="150000000"/>
    <n v="0"/>
    <n v="150000000"/>
    <m/>
    <m/>
    <x v="1"/>
    <n v="0"/>
  </r>
  <r>
    <x v="1"/>
    <x v="13"/>
    <x v="13"/>
    <x v="7"/>
    <s v="Otros Subsidios"/>
    <x v="108"/>
    <x v="430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0"/>
    <n v="15000000"/>
    <n v="0"/>
    <n v="15000000"/>
    <m/>
    <m/>
    <x v="1"/>
    <n v="0"/>
  </r>
  <r>
    <x v="1"/>
    <x v="13"/>
    <x v="13"/>
    <x v="7"/>
    <s v="Otros Subsidios"/>
    <x v="77"/>
    <x v="431"/>
    <x v="55"/>
    <x v="465"/>
    <n v="2"/>
    <s v="Desarrollo Social"/>
    <n v="0"/>
    <s v="Educación"/>
    <n v="1"/>
    <x v="31"/>
    <x v="8"/>
    <x v="90"/>
    <n v="1"/>
    <s v="Gasto corriente"/>
    <x v="0"/>
    <x v="0"/>
    <x v="0"/>
    <x v="0"/>
    <x v="0"/>
    <x v="0"/>
    <x v="0"/>
    <m/>
    <x v="0"/>
    <x v="0"/>
    <m/>
    <n v="0"/>
    <n v="238000000"/>
    <n v="0"/>
    <n v="238000000"/>
    <m/>
    <m/>
    <x v="1"/>
    <n v="0"/>
  </r>
  <r>
    <x v="1"/>
    <x v="13"/>
    <x v="13"/>
    <x v="7"/>
    <s v="Otros Subsidios"/>
    <x v="78"/>
    <x v="432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n v="500000000"/>
    <n v="900000000"/>
    <n v="0"/>
    <n v="1400000000"/>
    <n v="1115000000"/>
    <m/>
    <x v="1"/>
    <n v="1115000000"/>
  </r>
  <r>
    <x v="1"/>
    <x v="13"/>
    <x v="13"/>
    <x v="7"/>
    <s v="Otros Subsidios"/>
    <x v="79"/>
    <x v="433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n v="500000000"/>
    <n v="1169381669"/>
    <n v="0"/>
    <n v="1669381669"/>
    <m/>
    <m/>
    <x v="1"/>
    <n v="0"/>
  </r>
  <r>
    <x v="1"/>
    <x v="13"/>
    <x v="13"/>
    <x v="7"/>
    <s v="Otros Subsidios"/>
    <x v="79"/>
    <x v="433"/>
    <x v="85"/>
    <x v="463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0"/>
    <x v="0"/>
    <m/>
    <m/>
    <m/>
    <m/>
    <m/>
    <n v="1000000000"/>
    <m/>
    <x v="1"/>
    <n v="1000000000"/>
  </r>
  <r>
    <x v="1"/>
    <x v="13"/>
    <x v="13"/>
    <x v="7"/>
    <s v="Otros Subsidios"/>
    <x v="79"/>
    <x v="433"/>
    <x v="82"/>
    <x v="43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m/>
    <x v="0"/>
    <x v="0"/>
    <m/>
    <n v="0"/>
    <n v="30618331"/>
    <n v="0"/>
    <n v="30618331"/>
    <m/>
    <m/>
    <x v="1"/>
    <n v="0"/>
  </r>
  <r>
    <x v="1"/>
    <x v="13"/>
    <x v="13"/>
    <x v="7"/>
    <s v="Otros Subsidios"/>
    <x v="109"/>
    <x v="434"/>
    <x v="85"/>
    <x v="46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n v="0"/>
    <n v="600000000"/>
    <n v="0"/>
    <n v="600000000"/>
    <n v="750025353"/>
    <m/>
    <x v="1"/>
    <n v="750025353"/>
  </r>
  <r>
    <x v="1"/>
    <x v="13"/>
    <x v="13"/>
    <x v="7"/>
    <s v="Otros Subsidios"/>
    <x v="109"/>
    <x v="434"/>
    <x v="85"/>
    <x v="463"/>
    <n v="2"/>
    <s v="Desarrollo Social"/>
    <n v="0"/>
    <s v="Educación"/>
    <n v="3"/>
    <x v="29"/>
    <x v="4"/>
    <x v="94"/>
    <n v="2"/>
    <s v="Gasto de capital"/>
    <x v="0"/>
    <x v="0"/>
    <x v="0"/>
    <x v="0"/>
    <x v="0"/>
    <x v="0"/>
    <x v="0"/>
    <n v="1"/>
    <x v="0"/>
    <x v="0"/>
    <m/>
    <n v="1001625353"/>
    <n v="0"/>
    <n v="-456870522"/>
    <n v="544754831"/>
    <n v="200000000"/>
    <m/>
    <x v="1"/>
    <n v="200000000"/>
  </r>
  <r>
    <x v="1"/>
    <x v="13"/>
    <x v="13"/>
    <x v="7"/>
    <s v="Otros Subsidios"/>
    <x v="109"/>
    <x v="434"/>
    <x v="105"/>
    <x v="423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n v="250000000"/>
    <n v="0"/>
    <n v="-3735328"/>
    <n v="246264672"/>
    <m/>
    <m/>
    <x v="1"/>
    <n v="0"/>
  </r>
  <r>
    <x v="1"/>
    <x v="13"/>
    <x v="13"/>
    <x v="7"/>
    <s v="Otros Subsidios"/>
    <x v="109"/>
    <x v="434"/>
    <x v="82"/>
    <x v="431"/>
    <n v="2"/>
    <s v="Desarrollo Social"/>
    <n v="0"/>
    <s v="Educación"/>
    <n v="3"/>
    <x v="29"/>
    <x v="4"/>
    <x v="94"/>
    <n v="1"/>
    <s v="Gasto corriente"/>
    <x v="0"/>
    <x v="0"/>
    <x v="0"/>
    <x v="0"/>
    <x v="0"/>
    <x v="0"/>
    <x v="0"/>
    <n v="1"/>
    <x v="0"/>
    <x v="0"/>
    <m/>
    <n v="398659496"/>
    <n v="0"/>
    <n v="-5956495"/>
    <n v="392703001"/>
    <n v="5956495"/>
    <m/>
    <x v="1"/>
    <n v="5956495"/>
  </r>
  <r>
    <x v="1"/>
    <x v="14"/>
    <x v="14"/>
    <x v="4"/>
    <s v="Prestación de Servicios Públicos"/>
    <x v="11"/>
    <x v="435"/>
    <x v="283"/>
    <x v="515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m/>
    <n v="0"/>
    <n v="0"/>
    <m/>
    <n v="1171000"/>
    <m/>
    <x v="1"/>
    <n v="1171000"/>
  </r>
  <r>
    <x v="1"/>
    <x v="14"/>
    <x v="14"/>
    <x v="4"/>
    <s v="Prestación de Servicios Públicos"/>
    <x v="11"/>
    <x v="435"/>
    <x v="75"/>
    <x v="516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103849158"/>
    <n v="0"/>
    <n v="0"/>
    <n v="103849158"/>
    <n v="310489739"/>
    <m/>
    <x v="1"/>
    <n v="310489739"/>
  </r>
  <r>
    <x v="1"/>
    <x v="14"/>
    <x v="14"/>
    <x v="4"/>
    <s v="Prestación de Servicios Públicos"/>
    <x v="11"/>
    <x v="435"/>
    <x v="75"/>
    <x v="516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1376313998"/>
    <n v="0"/>
    <n v="0"/>
    <n v="1376313998"/>
    <n v="1692333746"/>
    <m/>
    <x v="1"/>
    <n v="1692333746"/>
  </r>
  <r>
    <x v="1"/>
    <x v="14"/>
    <x v="14"/>
    <x v="4"/>
    <s v="Prestación de Servicios Públicos"/>
    <x v="11"/>
    <x v="435"/>
    <x v="284"/>
    <x v="517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59467"/>
    <n v="0"/>
    <n v="0"/>
    <n v="59467"/>
    <m/>
    <m/>
    <x v="1"/>
    <n v="0"/>
  </r>
  <r>
    <x v="1"/>
    <x v="14"/>
    <x v="14"/>
    <x v="4"/>
    <s v="Prestación de Servicios Públicos"/>
    <x v="11"/>
    <x v="435"/>
    <x v="284"/>
    <x v="517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1226032"/>
    <n v="0"/>
    <n v="-54917"/>
    <n v="1171115"/>
    <n v="481565"/>
    <m/>
    <x v="1"/>
    <n v="481565"/>
  </r>
  <r>
    <x v="1"/>
    <x v="14"/>
    <x v="14"/>
    <x v="4"/>
    <s v="Prestación de Servicios Públicos"/>
    <x v="11"/>
    <x v="435"/>
    <x v="285"/>
    <x v="518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1036359"/>
    <n v="0"/>
    <n v="0"/>
    <n v="1036359"/>
    <n v="864238"/>
    <m/>
    <x v="1"/>
    <n v="864238"/>
  </r>
  <r>
    <x v="1"/>
    <x v="14"/>
    <x v="14"/>
    <x v="4"/>
    <s v="Prestación de Servicios Públicos"/>
    <x v="11"/>
    <x v="435"/>
    <x v="285"/>
    <x v="518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15006514"/>
    <n v="0"/>
    <n v="0"/>
    <n v="15006514"/>
    <n v="15787490"/>
    <m/>
    <x v="1"/>
    <n v="15787490"/>
  </r>
  <r>
    <x v="1"/>
    <x v="14"/>
    <x v="14"/>
    <x v="4"/>
    <s v="Prestación de Servicios Públicos"/>
    <x v="11"/>
    <x v="435"/>
    <x v="286"/>
    <x v="519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m/>
    <m/>
    <m/>
    <m/>
    <n v="1166002"/>
    <m/>
    <x v="1"/>
    <n v="1166002"/>
  </r>
  <r>
    <x v="1"/>
    <x v="14"/>
    <x v="14"/>
    <x v="4"/>
    <s v="Prestación de Servicios Públicos"/>
    <x v="11"/>
    <x v="435"/>
    <x v="34"/>
    <x v="520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100000"/>
    <n v="0"/>
    <n v="0"/>
    <n v="100000"/>
    <n v="100000"/>
    <m/>
    <x v="1"/>
    <n v="100000"/>
  </r>
  <r>
    <x v="1"/>
    <x v="14"/>
    <x v="14"/>
    <x v="4"/>
    <s v="Prestación de Servicios Públicos"/>
    <x v="11"/>
    <x v="435"/>
    <x v="287"/>
    <x v="521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806759"/>
    <n v="0"/>
    <n v="0"/>
    <n v="806759"/>
    <n v="958855"/>
    <m/>
    <x v="1"/>
    <n v="958855"/>
  </r>
  <r>
    <x v="1"/>
    <x v="14"/>
    <x v="14"/>
    <x v="4"/>
    <s v="Prestación de Servicios Públicos"/>
    <x v="11"/>
    <x v="435"/>
    <x v="287"/>
    <x v="521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10816844"/>
    <n v="0"/>
    <n v="0"/>
    <n v="10816844"/>
    <n v="12202269"/>
    <m/>
    <x v="1"/>
    <n v="12202269"/>
  </r>
  <r>
    <x v="1"/>
    <x v="14"/>
    <x v="14"/>
    <x v="4"/>
    <s v="Prestación de Servicios Públicos"/>
    <x v="11"/>
    <x v="435"/>
    <x v="288"/>
    <x v="522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413365"/>
    <n v="0"/>
    <n v="0"/>
    <n v="413365"/>
    <n v="414769"/>
    <m/>
    <x v="1"/>
    <n v="414769"/>
  </r>
  <r>
    <x v="1"/>
    <x v="14"/>
    <x v="14"/>
    <x v="4"/>
    <s v="Prestación de Servicios Públicos"/>
    <x v="11"/>
    <x v="435"/>
    <x v="288"/>
    <x v="522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6101051"/>
    <n v="0"/>
    <n v="0"/>
    <n v="6101051"/>
    <n v="5291738"/>
    <m/>
    <x v="1"/>
    <n v="5291738"/>
  </r>
  <r>
    <x v="1"/>
    <x v="14"/>
    <x v="14"/>
    <x v="4"/>
    <s v="Prestación de Servicios Públicos"/>
    <x v="11"/>
    <x v="435"/>
    <x v="289"/>
    <x v="523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307037"/>
    <n v="0"/>
    <n v="0"/>
    <n v="307037"/>
    <n v="307037"/>
    <m/>
    <x v="1"/>
    <n v="307037"/>
  </r>
  <r>
    <x v="1"/>
    <x v="14"/>
    <x v="14"/>
    <x v="4"/>
    <s v="Prestación de Servicios Públicos"/>
    <x v="11"/>
    <x v="435"/>
    <x v="290"/>
    <x v="524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3379044"/>
    <n v="0"/>
    <n v="0"/>
    <n v="3379044"/>
    <n v="39074786"/>
    <m/>
    <x v="1"/>
    <n v="39074786"/>
  </r>
  <r>
    <x v="1"/>
    <x v="14"/>
    <x v="14"/>
    <x v="4"/>
    <s v="Prestación de Servicios Públicos"/>
    <x v="11"/>
    <x v="435"/>
    <x v="290"/>
    <x v="524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54868148"/>
    <n v="0"/>
    <n v="0"/>
    <n v="54868148"/>
    <n v="488517759"/>
    <m/>
    <x v="1"/>
    <n v="488517759"/>
  </r>
  <r>
    <x v="1"/>
    <x v="14"/>
    <x v="14"/>
    <x v="4"/>
    <s v="Prestación de Servicios Públicos"/>
    <x v="11"/>
    <x v="435"/>
    <x v="291"/>
    <x v="525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1051122"/>
    <n v="0"/>
    <n v="0"/>
    <n v="1051122"/>
    <n v="1144820"/>
    <m/>
    <x v="1"/>
    <n v="1144820"/>
  </r>
  <r>
    <x v="1"/>
    <x v="14"/>
    <x v="14"/>
    <x v="4"/>
    <s v="Prestación de Servicios Públicos"/>
    <x v="11"/>
    <x v="435"/>
    <x v="291"/>
    <x v="525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20719121"/>
    <n v="0"/>
    <n v="0"/>
    <n v="20719121"/>
    <n v="21373475"/>
    <m/>
    <x v="1"/>
    <n v="21373475"/>
  </r>
  <r>
    <x v="1"/>
    <x v="14"/>
    <x v="14"/>
    <x v="4"/>
    <s v="Prestación de Servicios Públicos"/>
    <x v="11"/>
    <x v="435"/>
    <x v="292"/>
    <x v="526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1771933"/>
    <n v="0"/>
    <n v="0"/>
    <n v="1771933"/>
    <n v="1305989"/>
    <m/>
    <x v="1"/>
    <n v="1305989"/>
  </r>
  <r>
    <x v="1"/>
    <x v="14"/>
    <x v="14"/>
    <x v="4"/>
    <s v="Prestación de Servicios Públicos"/>
    <x v="11"/>
    <x v="435"/>
    <x v="292"/>
    <x v="526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28103312"/>
    <n v="0"/>
    <n v="0"/>
    <n v="28103312"/>
    <n v="13487411"/>
    <m/>
    <x v="1"/>
    <n v="13487411"/>
  </r>
  <r>
    <x v="1"/>
    <x v="14"/>
    <x v="14"/>
    <x v="4"/>
    <s v="Prestación de Servicios Públicos"/>
    <x v="11"/>
    <x v="435"/>
    <x v="293"/>
    <x v="527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1258545"/>
    <n v="0"/>
    <n v="0"/>
    <n v="1258545"/>
    <n v="783219"/>
    <m/>
    <x v="1"/>
    <n v="783219"/>
  </r>
  <r>
    <x v="1"/>
    <x v="14"/>
    <x v="14"/>
    <x v="4"/>
    <s v="Prestación de Servicios Públicos"/>
    <x v="11"/>
    <x v="435"/>
    <x v="293"/>
    <x v="527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18734886"/>
    <n v="0"/>
    <n v="0"/>
    <n v="18734886"/>
    <n v="18097045"/>
    <m/>
    <x v="1"/>
    <n v="18097045"/>
  </r>
  <r>
    <x v="1"/>
    <x v="14"/>
    <x v="14"/>
    <x v="4"/>
    <s v="Prestación de Servicios Públicos"/>
    <x v="11"/>
    <x v="435"/>
    <x v="294"/>
    <x v="528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3257381"/>
    <n v="0"/>
    <n v="0"/>
    <n v="3257381"/>
    <n v="3408970"/>
    <m/>
    <x v="1"/>
    <n v="3408970"/>
  </r>
  <r>
    <x v="1"/>
    <x v="14"/>
    <x v="14"/>
    <x v="4"/>
    <s v="Prestación de Servicios Públicos"/>
    <x v="11"/>
    <x v="435"/>
    <x v="294"/>
    <x v="528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49681278"/>
    <n v="0"/>
    <n v="0"/>
    <n v="49681278"/>
    <n v="48041291"/>
    <m/>
    <x v="1"/>
    <n v="48041291"/>
  </r>
  <r>
    <x v="1"/>
    <x v="14"/>
    <x v="14"/>
    <x v="4"/>
    <s v="Prestación de Servicios Públicos"/>
    <x v="11"/>
    <x v="435"/>
    <x v="295"/>
    <x v="529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m/>
    <n v="0"/>
    <n v="0"/>
    <m/>
    <n v="437771"/>
    <m/>
    <x v="1"/>
    <n v="437771"/>
  </r>
  <r>
    <x v="1"/>
    <x v="14"/>
    <x v="14"/>
    <x v="4"/>
    <s v="Prestación de Servicios Públicos"/>
    <x v="11"/>
    <x v="435"/>
    <x v="295"/>
    <x v="529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m/>
    <n v="0"/>
    <n v="0"/>
    <m/>
    <n v="7230275"/>
    <m/>
    <x v="1"/>
    <n v="7230275"/>
  </r>
  <r>
    <x v="1"/>
    <x v="14"/>
    <x v="14"/>
    <x v="4"/>
    <s v="Prestación de Servicios Públicos"/>
    <x v="11"/>
    <x v="435"/>
    <x v="296"/>
    <x v="530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1650166"/>
    <n v="0"/>
    <n v="0"/>
    <n v="1650166"/>
    <n v="1354869"/>
    <m/>
    <x v="1"/>
    <n v="1354869"/>
  </r>
  <r>
    <x v="1"/>
    <x v="14"/>
    <x v="14"/>
    <x v="4"/>
    <s v="Prestación de Servicios Públicos"/>
    <x v="11"/>
    <x v="435"/>
    <x v="296"/>
    <x v="530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22912209"/>
    <n v="0"/>
    <n v="0"/>
    <n v="22912209"/>
    <n v="22413996"/>
    <m/>
    <x v="1"/>
    <n v="22413996"/>
  </r>
  <r>
    <x v="1"/>
    <x v="14"/>
    <x v="14"/>
    <x v="4"/>
    <s v="Prestación de Servicios Públicos"/>
    <x v="11"/>
    <x v="435"/>
    <x v="297"/>
    <x v="531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3437720"/>
    <n v="0"/>
    <n v="0"/>
    <n v="3437720"/>
    <n v="3420725"/>
    <m/>
    <x v="1"/>
    <n v="3420725"/>
  </r>
  <r>
    <x v="1"/>
    <x v="14"/>
    <x v="14"/>
    <x v="4"/>
    <s v="Prestación de Servicios Públicos"/>
    <x v="11"/>
    <x v="435"/>
    <x v="297"/>
    <x v="531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53515399"/>
    <n v="0"/>
    <n v="0"/>
    <n v="53515399"/>
    <n v="49566129"/>
    <m/>
    <x v="1"/>
    <n v="49566129"/>
  </r>
  <r>
    <x v="1"/>
    <x v="14"/>
    <x v="14"/>
    <x v="4"/>
    <s v="Prestación de Servicios Públicos"/>
    <x v="11"/>
    <x v="435"/>
    <x v="298"/>
    <x v="532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1"/>
    <m/>
    <x v="0"/>
    <x v="0"/>
    <m/>
    <n v="712383"/>
    <n v="0"/>
    <n v="0"/>
    <n v="712383"/>
    <n v="2299272"/>
    <m/>
    <x v="1"/>
    <n v="2299272"/>
  </r>
  <r>
    <x v="1"/>
    <x v="14"/>
    <x v="14"/>
    <x v="4"/>
    <s v="Prestación de Servicios Públicos"/>
    <x v="11"/>
    <x v="435"/>
    <x v="298"/>
    <x v="532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1"/>
    <m/>
    <x v="0"/>
    <x v="0"/>
    <m/>
    <n v="11492695"/>
    <n v="0"/>
    <n v="0"/>
    <n v="11492695"/>
    <n v="33316028"/>
    <m/>
    <x v="1"/>
    <n v="33316028"/>
  </r>
  <r>
    <x v="1"/>
    <x v="14"/>
    <x v="14"/>
    <x v="4"/>
    <s v="Prestación de Servicios Públicos"/>
    <x v="11"/>
    <x v="435"/>
    <x v="299"/>
    <x v="533"/>
    <n v="2"/>
    <s v="Desarrollo Social"/>
    <n v="1"/>
    <s v="Salud"/>
    <n v="3"/>
    <x v="53"/>
    <x v="20"/>
    <x v="100"/>
    <n v="1"/>
    <s v="Gasto corriente"/>
    <x v="0"/>
    <x v="0"/>
    <x v="0"/>
    <x v="1"/>
    <x v="0"/>
    <x v="1"/>
    <x v="0"/>
    <m/>
    <x v="0"/>
    <x v="0"/>
    <m/>
    <n v="10765526"/>
    <n v="0"/>
    <n v="0"/>
    <n v="10765526"/>
    <n v="10765526"/>
    <m/>
    <x v="1"/>
    <n v="10765526"/>
  </r>
  <r>
    <x v="1"/>
    <x v="14"/>
    <x v="14"/>
    <x v="4"/>
    <s v="Prestación de Servicios Públicos"/>
    <x v="11"/>
    <x v="435"/>
    <x v="300"/>
    <x v="534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723646"/>
    <n v="0"/>
    <n v="0"/>
    <n v="723646"/>
    <n v="1010893"/>
    <m/>
    <x v="1"/>
    <n v="1010893"/>
  </r>
  <r>
    <x v="1"/>
    <x v="14"/>
    <x v="14"/>
    <x v="4"/>
    <s v="Prestación de Servicios Públicos"/>
    <x v="11"/>
    <x v="435"/>
    <x v="300"/>
    <x v="534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20242814"/>
    <n v="0"/>
    <n v="0"/>
    <n v="20242814"/>
    <n v="22841021"/>
    <m/>
    <x v="1"/>
    <n v="22841021"/>
  </r>
  <r>
    <x v="1"/>
    <x v="14"/>
    <x v="14"/>
    <x v="4"/>
    <s v="Prestación de Servicios Públicos"/>
    <x v="11"/>
    <x v="435"/>
    <x v="301"/>
    <x v="535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426199"/>
    <n v="0"/>
    <n v="0"/>
    <n v="426199"/>
    <n v="426184"/>
    <m/>
    <x v="1"/>
    <n v="426184"/>
  </r>
  <r>
    <x v="1"/>
    <x v="14"/>
    <x v="14"/>
    <x v="4"/>
    <s v="Prestación de Servicios Públicos"/>
    <x v="11"/>
    <x v="435"/>
    <x v="301"/>
    <x v="535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30728857"/>
    <n v="0"/>
    <n v="0"/>
    <n v="30728857"/>
    <n v="30756934"/>
    <m/>
    <x v="1"/>
    <n v="30756934"/>
  </r>
  <r>
    <x v="1"/>
    <x v="14"/>
    <x v="14"/>
    <x v="4"/>
    <s v="Prestación de Servicios Públicos"/>
    <x v="11"/>
    <x v="435"/>
    <x v="41"/>
    <x v="536"/>
    <n v="2"/>
    <s v="Desarrollo Social"/>
    <n v="1"/>
    <s v="Salud"/>
    <n v="3"/>
    <x v="53"/>
    <x v="20"/>
    <x v="100"/>
    <n v="1"/>
    <s v="Gasto corriente"/>
    <x v="0"/>
    <x v="1"/>
    <x v="0"/>
    <x v="1"/>
    <x v="0"/>
    <x v="0"/>
    <x v="0"/>
    <m/>
    <x v="0"/>
    <x v="0"/>
    <m/>
    <n v="394359"/>
    <n v="0"/>
    <n v="0"/>
    <n v="394359"/>
    <n v="598568"/>
    <m/>
    <x v="1"/>
    <n v="598568"/>
  </r>
  <r>
    <x v="1"/>
    <x v="14"/>
    <x v="14"/>
    <x v="4"/>
    <s v="Prestación de Servicios Públicos"/>
    <x v="11"/>
    <x v="435"/>
    <x v="41"/>
    <x v="536"/>
    <n v="2"/>
    <s v="Desarrollo Social"/>
    <n v="1"/>
    <s v="Salud"/>
    <n v="3"/>
    <x v="53"/>
    <x v="20"/>
    <x v="100"/>
    <n v="1"/>
    <s v="Gasto corriente"/>
    <x v="0"/>
    <x v="0"/>
    <x v="0"/>
    <x v="1"/>
    <x v="0"/>
    <x v="0"/>
    <x v="0"/>
    <m/>
    <x v="0"/>
    <x v="0"/>
    <m/>
    <n v="8091541"/>
    <n v="0"/>
    <n v="0"/>
    <n v="8091541"/>
    <n v="10078771"/>
    <m/>
    <x v="1"/>
    <n v="10078771"/>
  </r>
  <r>
    <x v="1"/>
    <x v="14"/>
    <x v="14"/>
    <x v="4"/>
    <s v="Prestación de Servicios Públicos"/>
    <x v="22"/>
    <x v="436"/>
    <x v="19"/>
    <x v="40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12500"/>
    <n v="0"/>
    <n v="-68336"/>
    <n v="44164"/>
    <n v="12532"/>
    <m/>
    <x v="1"/>
    <n v="12532"/>
  </r>
  <r>
    <x v="1"/>
    <x v="14"/>
    <x v="14"/>
    <x v="4"/>
    <s v="Prestación de Servicios Públicos"/>
    <x v="22"/>
    <x v="436"/>
    <x v="283"/>
    <x v="515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958422"/>
    <n v="0"/>
    <n v="-958422"/>
    <n v="0"/>
    <m/>
    <m/>
    <x v="1"/>
    <n v="0"/>
  </r>
  <r>
    <x v="1"/>
    <x v="14"/>
    <x v="14"/>
    <x v="4"/>
    <s v="Prestación de Servicios Públicos"/>
    <x v="22"/>
    <x v="436"/>
    <x v="302"/>
    <x v="474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90000"/>
    <n v="0"/>
    <n v="0"/>
    <n v="90000"/>
    <n v="23500"/>
    <m/>
    <x v="1"/>
    <n v="23500"/>
  </r>
  <r>
    <x v="1"/>
    <x v="14"/>
    <x v="14"/>
    <x v="4"/>
    <s v="Prestación de Servicios Públicos"/>
    <x v="22"/>
    <x v="436"/>
    <x v="105"/>
    <x v="69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30774268"/>
    <n v="0"/>
    <n v="0"/>
    <n v="30774268"/>
    <n v="105894093"/>
    <m/>
    <x v="87"/>
    <n v="1914289314"/>
  </r>
  <r>
    <x v="1"/>
    <x v="14"/>
    <x v="14"/>
    <x v="4"/>
    <s v="Prestación de Servicios Públicos"/>
    <x v="22"/>
    <x v="436"/>
    <x v="82"/>
    <x v="537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008928"/>
    <n v="0"/>
    <n v="0"/>
    <n v="1008928"/>
    <n v="263441"/>
    <m/>
    <x v="1"/>
    <n v="263441"/>
  </r>
  <r>
    <x v="1"/>
    <x v="14"/>
    <x v="14"/>
    <x v="4"/>
    <s v="Prestación de Servicios Públicos"/>
    <x v="22"/>
    <x v="436"/>
    <x v="75"/>
    <x v="516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586239"/>
    <n v="0"/>
    <n v="0"/>
    <n v="586239"/>
    <n v="153073"/>
    <m/>
    <x v="1"/>
    <n v="153073"/>
  </r>
  <r>
    <x v="1"/>
    <x v="14"/>
    <x v="14"/>
    <x v="4"/>
    <s v="Prestación de Servicios Públicos"/>
    <x v="22"/>
    <x v="436"/>
    <x v="30"/>
    <x v="538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261977"/>
    <n v="0"/>
    <n v="0"/>
    <n v="261977"/>
    <n v="249893"/>
    <m/>
    <x v="1"/>
    <n v="249893"/>
  </r>
  <r>
    <x v="1"/>
    <x v="14"/>
    <x v="14"/>
    <x v="4"/>
    <s v="Prestación de Servicios Públicos"/>
    <x v="22"/>
    <x v="436"/>
    <x v="30"/>
    <x v="538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8842774"/>
    <n v="0"/>
    <n v="0"/>
    <n v="8842774"/>
    <n v="8379121"/>
    <m/>
    <x v="1"/>
    <n v="8379121"/>
  </r>
  <r>
    <x v="1"/>
    <x v="14"/>
    <x v="14"/>
    <x v="4"/>
    <s v="Prestación de Servicios Públicos"/>
    <x v="22"/>
    <x v="436"/>
    <x v="35"/>
    <x v="539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6298"/>
    <n v="0"/>
    <n v="0"/>
    <n v="6298"/>
    <n v="1644"/>
    <m/>
    <x v="1"/>
    <n v="1644"/>
  </r>
  <r>
    <x v="1"/>
    <x v="14"/>
    <x v="14"/>
    <x v="4"/>
    <s v="Prestación de Servicios Públicos"/>
    <x v="22"/>
    <x v="436"/>
    <x v="65"/>
    <x v="540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270942"/>
    <n v="0"/>
    <n v="0"/>
    <n v="270942"/>
    <n v="70745"/>
    <m/>
    <x v="1"/>
    <n v="70745"/>
  </r>
  <r>
    <x v="1"/>
    <x v="14"/>
    <x v="14"/>
    <x v="4"/>
    <s v="Prestación de Servicios Públicos"/>
    <x v="22"/>
    <x v="436"/>
    <x v="284"/>
    <x v="517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916731"/>
    <n v="0"/>
    <n v="0"/>
    <n v="916731"/>
    <n v="239367"/>
    <m/>
    <x v="1"/>
    <n v="239367"/>
  </r>
  <r>
    <x v="1"/>
    <x v="14"/>
    <x v="14"/>
    <x v="4"/>
    <s v="Prestación de Servicios Públicos"/>
    <x v="22"/>
    <x v="436"/>
    <x v="285"/>
    <x v="518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2504339"/>
    <n v="0"/>
    <n v="0"/>
    <n v="2504339"/>
    <n v="653908"/>
    <m/>
    <x v="1"/>
    <n v="653908"/>
  </r>
  <r>
    <x v="1"/>
    <x v="14"/>
    <x v="14"/>
    <x v="4"/>
    <s v="Prestación de Servicios Públicos"/>
    <x v="22"/>
    <x v="436"/>
    <x v="286"/>
    <x v="519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m/>
    <m/>
    <m/>
    <m/>
    <n v="161175"/>
    <m/>
    <x v="1"/>
    <n v="161175"/>
  </r>
  <r>
    <x v="1"/>
    <x v="14"/>
    <x v="14"/>
    <x v="4"/>
    <s v="Prestación de Servicios Públicos"/>
    <x v="22"/>
    <x v="436"/>
    <x v="286"/>
    <x v="519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6799068"/>
    <n v="0"/>
    <n v="0"/>
    <n v="6799068"/>
    <n v="6367229"/>
    <m/>
    <x v="1"/>
    <n v="6367229"/>
  </r>
  <r>
    <x v="1"/>
    <x v="14"/>
    <x v="14"/>
    <x v="4"/>
    <s v="Prestación de Servicios Públicos"/>
    <x v="22"/>
    <x v="436"/>
    <x v="34"/>
    <x v="520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563376"/>
    <n v="0"/>
    <n v="0"/>
    <n v="563376"/>
    <n v="147104"/>
    <m/>
    <x v="1"/>
    <n v="147104"/>
  </r>
  <r>
    <x v="1"/>
    <x v="14"/>
    <x v="14"/>
    <x v="4"/>
    <s v="Prestación de Servicios Públicos"/>
    <x v="22"/>
    <x v="436"/>
    <x v="287"/>
    <x v="521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225000"/>
    <n v="0"/>
    <n v="0"/>
    <n v="225000"/>
    <n v="58750"/>
    <m/>
    <x v="1"/>
    <n v="58750"/>
  </r>
  <r>
    <x v="1"/>
    <x v="14"/>
    <x v="14"/>
    <x v="4"/>
    <s v="Prestación de Servicios Públicos"/>
    <x v="22"/>
    <x v="436"/>
    <x v="288"/>
    <x v="522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72608"/>
    <n v="0"/>
    <n v="0"/>
    <n v="172608"/>
    <n v="45070"/>
    <m/>
    <x v="1"/>
    <n v="45070"/>
  </r>
  <r>
    <x v="1"/>
    <x v="14"/>
    <x v="14"/>
    <x v="4"/>
    <s v="Prestación de Servicios Públicos"/>
    <x v="22"/>
    <x v="436"/>
    <x v="289"/>
    <x v="523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5522125"/>
    <n v="0"/>
    <n v="0"/>
    <n v="5522125"/>
    <n v="4428339"/>
    <m/>
    <x v="1"/>
    <n v="4428339"/>
  </r>
  <r>
    <x v="1"/>
    <x v="14"/>
    <x v="14"/>
    <x v="4"/>
    <s v="Prestación de Servicios Públicos"/>
    <x v="22"/>
    <x v="436"/>
    <x v="289"/>
    <x v="523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85209007"/>
    <n v="0"/>
    <n v="0"/>
    <n v="85209007"/>
    <n v="81882514"/>
    <m/>
    <x v="1"/>
    <n v="81882514"/>
  </r>
  <r>
    <x v="1"/>
    <x v="14"/>
    <x v="14"/>
    <x v="4"/>
    <s v="Prestación de Servicios Públicos"/>
    <x v="22"/>
    <x v="436"/>
    <x v="290"/>
    <x v="524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m/>
    <m/>
    <m/>
    <m/>
    <n v="1182175"/>
    <m/>
    <x v="1"/>
    <n v="1182175"/>
  </r>
  <r>
    <x v="1"/>
    <x v="14"/>
    <x v="14"/>
    <x v="4"/>
    <s v="Prestación de Servicios Públicos"/>
    <x v="22"/>
    <x v="436"/>
    <x v="290"/>
    <x v="524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381991"/>
    <n v="0"/>
    <n v="0"/>
    <n v="381991"/>
    <n v="18732768"/>
    <m/>
    <x v="1"/>
    <n v="18732768"/>
  </r>
  <r>
    <x v="1"/>
    <x v="14"/>
    <x v="14"/>
    <x v="4"/>
    <s v="Prestación de Servicios Públicos"/>
    <x v="22"/>
    <x v="436"/>
    <x v="303"/>
    <x v="541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173290"/>
    <n v="0"/>
    <n v="0"/>
    <n v="173290"/>
    <n v="155571"/>
    <m/>
    <x v="1"/>
    <n v="155571"/>
  </r>
  <r>
    <x v="1"/>
    <x v="14"/>
    <x v="14"/>
    <x v="4"/>
    <s v="Prestación de Servicios Públicos"/>
    <x v="22"/>
    <x v="436"/>
    <x v="303"/>
    <x v="541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2332648"/>
    <n v="0"/>
    <n v="-407206"/>
    <n v="1925442"/>
    <n v="1678865"/>
    <m/>
    <x v="1"/>
    <n v="1678865"/>
  </r>
  <r>
    <x v="1"/>
    <x v="14"/>
    <x v="14"/>
    <x v="4"/>
    <s v="Prestación de Servicios Públicos"/>
    <x v="22"/>
    <x v="436"/>
    <x v="304"/>
    <x v="542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16240"/>
    <n v="0"/>
    <n v="0"/>
    <n v="16240"/>
    <n v="16437"/>
    <m/>
    <x v="1"/>
    <n v="16437"/>
  </r>
  <r>
    <x v="1"/>
    <x v="14"/>
    <x v="14"/>
    <x v="4"/>
    <s v="Prestación de Servicios Públicos"/>
    <x v="22"/>
    <x v="436"/>
    <x v="304"/>
    <x v="542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799514"/>
    <n v="0"/>
    <n v="-10180"/>
    <n v="1789334"/>
    <n v="692952"/>
    <m/>
    <x v="1"/>
    <n v="692952"/>
  </r>
  <r>
    <x v="1"/>
    <x v="14"/>
    <x v="14"/>
    <x v="4"/>
    <s v="Prestación de Servicios Públicos"/>
    <x v="22"/>
    <x v="436"/>
    <x v="305"/>
    <x v="543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516953"/>
    <n v="0"/>
    <n v="0"/>
    <n v="516953"/>
    <n v="451889"/>
    <m/>
    <x v="1"/>
    <n v="451889"/>
  </r>
  <r>
    <x v="1"/>
    <x v="14"/>
    <x v="14"/>
    <x v="4"/>
    <s v="Prestación de Servicios Públicos"/>
    <x v="22"/>
    <x v="436"/>
    <x v="305"/>
    <x v="543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7777679"/>
    <n v="0"/>
    <n v="-1084935"/>
    <n v="6692744"/>
    <n v="3510988"/>
    <m/>
    <x v="1"/>
    <n v="3510988"/>
  </r>
  <r>
    <x v="1"/>
    <x v="14"/>
    <x v="14"/>
    <x v="4"/>
    <s v="Prestación de Servicios Públicos"/>
    <x v="22"/>
    <x v="436"/>
    <x v="292"/>
    <x v="526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329912"/>
    <n v="0"/>
    <n v="0"/>
    <n v="329912"/>
    <n v="86143"/>
    <m/>
    <x v="1"/>
    <n v="86143"/>
  </r>
  <r>
    <x v="1"/>
    <x v="14"/>
    <x v="14"/>
    <x v="4"/>
    <s v="Prestación de Servicios Públicos"/>
    <x v="22"/>
    <x v="436"/>
    <x v="293"/>
    <x v="527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47743"/>
    <n v="0"/>
    <n v="0"/>
    <n v="147743"/>
    <n v="38578"/>
    <m/>
    <x v="1"/>
    <n v="38578"/>
  </r>
  <r>
    <x v="1"/>
    <x v="14"/>
    <x v="14"/>
    <x v="4"/>
    <s v="Prestación de Servicios Públicos"/>
    <x v="22"/>
    <x v="436"/>
    <x v="294"/>
    <x v="528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119604"/>
    <n v="0"/>
    <n v="0"/>
    <n v="119604"/>
    <n v="126064"/>
    <m/>
    <x v="1"/>
    <n v="126064"/>
  </r>
  <r>
    <x v="1"/>
    <x v="14"/>
    <x v="14"/>
    <x v="4"/>
    <s v="Prestación de Servicios Públicos"/>
    <x v="22"/>
    <x v="436"/>
    <x v="294"/>
    <x v="528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452278"/>
    <n v="0"/>
    <n v="0"/>
    <n v="1452278"/>
    <n v="1428280"/>
    <m/>
    <x v="1"/>
    <n v="1428280"/>
  </r>
  <r>
    <x v="1"/>
    <x v="14"/>
    <x v="14"/>
    <x v="4"/>
    <s v="Prestación de Servicios Públicos"/>
    <x v="22"/>
    <x v="436"/>
    <x v="295"/>
    <x v="529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417957"/>
    <n v="0"/>
    <n v="0"/>
    <n v="417957"/>
    <m/>
    <m/>
    <x v="1"/>
    <n v="0"/>
  </r>
  <r>
    <x v="1"/>
    <x v="14"/>
    <x v="14"/>
    <x v="4"/>
    <s v="Prestación de Servicios Públicos"/>
    <x v="22"/>
    <x v="436"/>
    <x v="295"/>
    <x v="529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23230044"/>
    <n v="0"/>
    <n v="0"/>
    <n v="23230044"/>
    <n v="4333709"/>
    <m/>
    <x v="1"/>
    <n v="4333709"/>
  </r>
  <r>
    <x v="1"/>
    <x v="14"/>
    <x v="14"/>
    <x v="4"/>
    <s v="Prestación de Servicios Públicos"/>
    <x v="22"/>
    <x v="436"/>
    <x v="297"/>
    <x v="531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678912"/>
    <n v="0"/>
    <n v="0"/>
    <n v="1678912"/>
    <n v="438382"/>
    <m/>
    <x v="1"/>
    <n v="438382"/>
  </r>
  <r>
    <x v="1"/>
    <x v="14"/>
    <x v="14"/>
    <x v="4"/>
    <s v="Prestación de Servicios Públicos"/>
    <x v="22"/>
    <x v="436"/>
    <x v="298"/>
    <x v="532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800457"/>
    <n v="0"/>
    <n v="0"/>
    <n v="1800457"/>
    <n v="470117"/>
    <m/>
    <x v="1"/>
    <n v="470117"/>
  </r>
  <r>
    <x v="1"/>
    <x v="14"/>
    <x v="14"/>
    <x v="4"/>
    <s v="Prestación de Servicios Públicos"/>
    <x v="22"/>
    <x v="436"/>
    <x v="299"/>
    <x v="533"/>
    <n v="2"/>
    <s v="Desarrollo Social"/>
    <n v="1"/>
    <s v="Salud"/>
    <n v="3"/>
    <x v="53"/>
    <x v="20"/>
    <x v="100"/>
    <n v="1"/>
    <s v="Gasto corriente"/>
    <x v="0"/>
    <x v="1"/>
    <x v="0"/>
    <x v="0"/>
    <x v="0"/>
    <x v="1"/>
    <x v="0"/>
    <m/>
    <x v="0"/>
    <x v="0"/>
    <m/>
    <n v="153994"/>
    <n v="0"/>
    <n v="0"/>
    <n v="153994"/>
    <n v="685234"/>
    <m/>
    <x v="1"/>
    <n v="685234"/>
  </r>
  <r>
    <x v="1"/>
    <x v="14"/>
    <x v="14"/>
    <x v="4"/>
    <s v="Prestación de Servicios Públicos"/>
    <x v="22"/>
    <x v="436"/>
    <x v="299"/>
    <x v="533"/>
    <n v="2"/>
    <s v="Desarrollo Social"/>
    <n v="1"/>
    <s v="Salud"/>
    <n v="3"/>
    <x v="53"/>
    <x v="20"/>
    <x v="100"/>
    <n v="1"/>
    <s v="Gasto corriente"/>
    <x v="0"/>
    <x v="0"/>
    <x v="0"/>
    <x v="0"/>
    <x v="0"/>
    <x v="1"/>
    <x v="0"/>
    <m/>
    <x v="0"/>
    <x v="0"/>
    <m/>
    <n v="4716166"/>
    <n v="0"/>
    <n v="0"/>
    <n v="4716166"/>
    <n v="11562951"/>
    <m/>
    <x v="1"/>
    <n v="11562951"/>
  </r>
  <r>
    <x v="1"/>
    <x v="14"/>
    <x v="14"/>
    <x v="4"/>
    <s v="Prestación de Servicios Públicos"/>
    <x v="22"/>
    <x v="436"/>
    <x v="300"/>
    <x v="534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301809"/>
    <n v="0"/>
    <n v="0"/>
    <n v="301809"/>
    <n v="364888"/>
    <m/>
    <x v="1"/>
    <n v="364888"/>
  </r>
  <r>
    <x v="1"/>
    <x v="14"/>
    <x v="14"/>
    <x v="4"/>
    <s v="Prestación de Servicios Públicos"/>
    <x v="22"/>
    <x v="436"/>
    <x v="300"/>
    <x v="534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6239340"/>
    <n v="0"/>
    <n v="0"/>
    <n v="6239340"/>
    <n v="5940104"/>
    <m/>
    <x v="1"/>
    <n v="5940104"/>
  </r>
  <r>
    <x v="1"/>
    <x v="14"/>
    <x v="14"/>
    <x v="4"/>
    <s v="Prestación de Servicios Públicos"/>
    <x v="22"/>
    <x v="436"/>
    <x v="301"/>
    <x v="535"/>
    <n v="2"/>
    <s v="Desarrollo Social"/>
    <n v="5"/>
    <s v="Asistencia Social"/>
    <n v="3"/>
    <x v="54"/>
    <x v="16"/>
    <x v="101"/>
    <n v="1"/>
    <s v="Gasto corriente"/>
    <x v="0"/>
    <x v="1"/>
    <x v="0"/>
    <x v="0"/>
    <x v="0"/>
    <x v="0"/>
    <x v="0"/>
    <m/>
    <x v="0"/>
    <x v="0"/>
    <m/>
    <n v="2009292"/>
    <n v="0"/>
    <n v="0"/>
    <n v="2009292"/>
    <m/>
    <m/>
    <x v="1"/>
    <n v="0"/>
  </r>
  <r>
    <x v="1"/>
    <x v="14"/>
    <x v="14"/>
    <x v="4"/>
    <s v="Prestación de Servicios Públicos"/>
    <x v="22"/>
    <x v="436"/>
    <x v="301"/>
    <x v="535"/>
    <n v="2"/>
    <s v="Desarrollo Social"/>
    <n v="5"/>
    <s v="Asistencia Social"/>
    <n v="3"/>
    <x v="54"/>
    <x v="16"/>
    <x v="101"/>
    <n v="1"/>
    <s v="Gasto corriente"/>
    <x v="0"/>
    <x v="0"/>
    <x v="0"/>
    <x v="0"/>
    <x v="0"/>
    <x v="0"/>
    <x v="0"/>
    <m/>
    <x v="0"/>
    <x v="0"/>
    <m/>
    <n v="34338382"/>
    <n v="0"/>
    <n v="0"/>
    <n v="34338382"/>
    <m/>
    <m/>
    <x v="1"/>
    <n v="0"/>
  </r>
  <r>
    <x v="1"/>
    <x v="14"/>
    <x v="14"/>
    <x v="4"/>
    <s v="Prestación de Servicios Públicos"/>
    <x v="22"/>
    <x v="436"/>
    <x v="306"/>
    <x v="544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770312"/>
    <n v="0"/>
    <n v="0"/>
    <n v="770312"/>
    <n v="201137"/>
    <m/>
    <x v="1"/>
    <n v="201137"/>
  </r>
  <r>
    <x v="1"/>
    <x v="14"/>
    <x v="14"/>
    <x v="4"/>
    <s v="Prestación de Servicios Públicos"/>
    <x v="22"/>
    <x v="436"/>
    <x v="33"/>
    <x v="545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152237"/>
    <n v="0"/>
    <n v="0"/>
    <n v="152237"/>
    <n v="350978"/>
    <m/>
    <x v="1"/>
    <n v="350978"/>
  </r>
  <r>
    <x v="1"/>
    <x v="14"/>
    <x v="14"/>
    <x v="4"/>
    <s v="Prestación de Servicios Públicos"/>
    <x v="22"/>
    <x v="436"/>
    <x v="33"/>
    <x v="545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2254773"/>
    <n v="0"/>
    <n v="0"/>
    <n v="2254773"/>
    <n v="4026156"/>
    <m/>
    <x v="1"/>
    <n v="4026156"/>
  </r>
  <r>
    <x v="1"/>
    <x v="14"/>
    <x v="14"/>
    <x v="4"/>
    <s v="Prestación de Servicios Públicos"/>
    <x v="22"/>
    <x v="436"/>
    <x v="307"/>
    <x v="546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1"/>
    <x v="0"/>
    <m/>
    <n v="184930"/>
    <n v="0"/>
    <n v="0"/>
    <n v="184930"/>
    <n v="48287"/>
    <m/>
    <x v="1"/>
    <n v="48287"/>
  </r>
  <r>
    <x v="1"/>
    <x v="14"/>
    <x v="14"/>
    <x v="4"/>
    <s v="Prestación de Servicios Públicos"/>
    <x v="22"/>
    <x v="436"/>
    <x v="308"/>
    <x v="547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16250"/>
    <n v="0"/>
    <n v="0"/>
    <n v="16250"/>
    <n v="4243"/>
    <m/>
    <x v="1"/>
    <n v="4243"/>
  </r>
  <r>
    <x v="1"/>
    <x v="14"/>
    <x v="14"/>
    <x v="4"/>
    <s v="Prestación de Servicios Públicos"/>
    <x v="22"/>
    <x v="436"/>
    <x v="41"/>
    <x v="536"/>
    <n v="2"/>
    <s v="Desarrollo Social"/>
    <n v="1"/>
    <s v="Salud"/>
    <n v="3"/>
    <x v="53"/>
    <x v="20"/>
    <x v="100"/>
    <n v="1"/>
    <s v="Gasto corriente"/>
    <x v="0"/>
    <x v="1"/>
    <x v="0"/>
    <x v="0"/>
    <x v="0"/>
    <x v="0"/>
    <x v="0"/>
    <m/>
    <x v="0"/>
    <x v="0"/>
    <m/>
    <n v="265785"/>
    <n v="0"/>
    <n v="0"/>
    <n v="265785"/>
    <n v="180550"/>
    <m/>
    <x v="1"/>
    <n v="180550"/>
  </r>
  <r>
    <x v="1"/>
    <x v="14"/>
    <x v="14"/>
    <x v="4"/>
    <s v="Prestación de Servicios Públicos"/>
    <x v="22"/>
    <x v="436"/>
    <x v="41"/>
    <x v="536"/>
    <n v="2"/>
    <s v="Desarrollo Social"/>
    <n v="1"/>
    <s v="Salud"/>
    <n v="3"/>
    <x v="53"/>
    <x v="20"/>
    <x v="100"/>
    <n v="1"/>
    <s v="Gasto corriente"/>
    <x v="0"/>
    <x v="0"/>
    <x v="0"/>
    <x v="0"/>
    <x v="0"/>
    <x v="0"/>
    <x v="0"/>
    <m/>
    <x v="0"/>
    <x v="0"/>
    <m/>
    <n v="8231357"/>
    <n v="0"/>
    <n v="0"/>
    <n v="8231357"/>
    <n v="4476740"/>
    <m/>
    <x v="1"/>
    <n v="4476740"/>
  </r>
  <r>
    <x v="1"/>
    <x v="14"/>
    <x v="14"/>
    <x v="4"/>
    <s v="Prestación de Servicios Públicos"/>
    <x v="23"/>
    <x v="437"/>
    <x v="82"/>
    <x v="537"/>
    <n v="2"/>
    <s v="Desarrollo Social"/>
    <n v="1"/>
    <s v="Salud"/>
    <n v="3"/>
    <x v="53"/>
    <x v="19"/>
    <x v="102"/>
    <n v="1"/>
    <s v="Gasto corriente"/>
    <x v="0"/>
    <x v="1"/>
    <x v="0"/>
    <x v="0"/>
    <x v="0"/>
    <x v="0"/>
    <x v="0"/>
    <m/>
    <x v="0"/>
    <x v="0"/>
    <n v="1"/>
    <n v="2516052"/>
    <n v="0"/>
    <n v="0"/>
    <n v="2516052"/>
    <n v="2745065"/>
    <m/>
    <x v="1"/>
    <n v="2745065"/>
  </r>
  <r>
    <x v="1"/>
    <x v="14"/>
    <x v="14"/>
    <x v="4"/>
    <s v="Prestación de Servicios Públicos"/>
    <x v="23"/>
    <x v="437"/>
    <x v="82"/>
    <x v="537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n v="1"/>
    <n v="87268259"/>
    <n v="0"/>
    <n v="0"/>
    <n v="87268259"/>
    <n v="265567500"/>
    <m/>
    <x v="1"/>
    <n v="265567500"/>
  </r>
  <r>
    <x v="1"/>
    <x v="14"/>
    <x v="14"/>
    <x v="4"/>
    <s v="Prestación de Servicios Públicos"/>
    <x v="23"/>
    <x v="437"/>
    <x v="284"/>
    <x v="517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28160726"/>
    <n v="0"/>
    <n v="0"/>
    <n v="28160726"/>
    <n v="24000000"/>
    <m/>
    <x v="1"/>
    <n v="24000000"/>
  </r>
  <r>
    <x v="1"/>
    <x v="14"/>
    <x v="14"/>
    <x v="4"/>
    <s v="Prestación de Servicios Públicos"/>
    <x v="23"/>
    <x v="437"/>
    <x v="285"/>
    <x v="518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2500000"/>
    <n v="0"/>
    <n v="0"/>
    <n v="2500000"/>
    <m/>
    <m/>
    <x v="1"/>
    <n v="0"/>
  </r>
  <r>
    <x v="1"/>
    <x v="14"/>
    <x v="14"/>
    <x v="4"/>
    <s v="Prestación de Servicios Públicos"/>
    <x v="23"/>
    <x v="437"/>
    <x v="288"/>
    <x v="522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5845504"/>
    <n v="0"/>
    <n v="0"/>
    <n v="5845504"/>
    <m/>
    <m/>
    <x v="1"/>
    <n v="0"/>
  </r>
  <r>
    <x v="1"/>
    <x v="14"/>
    <x v="14"/>
    <x v="4"/>
    <s v="Prestación de Servicios Públicos"/>
    <x v="23"/>
    <x v="437"/>
    <x v="290"/>
    <x v="524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2657155"/>
    <n v="0"/>
    <n v="0"/>
    <n v="2657155"/>
    <m/>
    <m/>
    <x v="1"/>
    <n v="0"/>
  </r>
  <r>
    <x v="1"/>
    <x v="14"/>
    <x v="14"/>
    <x v="4"/>
    <s v="Prestación de Servicios Públicos"/>
    <x v="23"/>
    <x v="437"/>
    <x v="304"/>
    <x v="542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6255024"/>
    <n v="0"/>
    <n v="0"/>
    <n v="6255024"/>
    <m/>
    <m/>
    <x v="1"/>
    <n v="0"/>
  </r>
  <r>
    <x v="1"/>
    <x v="14"/>
    <x v="14"/>
    <x v="4"/>
    <s v="Prestación de Servicios Públicos"/>
    <x v="23"/>
    <x v="437"/>
    <x v="305"/>
    <x v="543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10984510"/>
    <n v="0"/>
    <n v="0"/>
    <n v="10984510"/>
    <m/>
    <m/>
    <x v="1"/>
    <n v="0"/>
  </r>
  <r>
    <x v="1"/>
    <x v="14"/>
    <x v="14"/>
    <x v="4"/>
    <s v="Prestación de Servicios Públicos"/>
    <x v="23"/>
    <x v="437"/>
    <x v="292"/>
    <x v="526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2915822"/>
    <n v="0"/>
    <n v="0"/>
    <n v="2915822"/>
    <m/>
    <m/>
    <x v="1"/>
    <n v="0"/>
  </r>
  <r>
    <x v="1"/>
    <x v="14"/>
    <x v="14"/>
    <x v="4"/>
    <s v="Prestación de Servicios Públicos"/>
    <x v="23"/>
    <x v="437"/>
    <x v="293"/>
    <x v="527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13088765"/>
    <n v="0"/>
    <n v="0"/>
    <n v="13088765"/>
    <m/>
    <m/>
    <x v="1"/>
    <n v="0"/>
  </r>
  <r>
    <x v="1"/>
    <x v="14"/>
    <x v="14"/>
    <x v="4"/>
    <s v="Prestación de Servicios Públicos"/>
    <x v="23"/>
    <x v="437"/>
    <x v="297"/>
    <x v="531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7308219"/>
    <n v="0"/>
    <n v="0"/>
    <n v="7308219"/>
    <n v="3300000"/>
    <m/>
    <x v="1"/>
    <n v="3300000"/>
  </r>
  <r>
    <x v="1"/>
    <x v="14"/>
    <x v="14"/>
    <x v="4"/>
    <s v="Prestación de Servicios Públicos"/>
    <x v="23"/>
    <x v="437"/>
    <x v="298"/>
    <x v="532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739512"/>
    <n v="0"/>
    <n v="0"/>
    <n v="739512"/>
    <m/>
    <m/>
    <x v="1"/>
    <n v="0"/>
  </r>
  <r>
    <x v="1"/>
    <x v="14"/>
    <x v="14"/>
    <x v="4"/>
    <s v="Prestación de Servicios Públicos"/>
    <x v="23"/>
    <x v="437"/>
    <x v="299"/>
    <x v="533"/>
    <n v="2"/>
    <s v="Desarrollo Social"/>
    <n v="1"/>
    <s v="Salud"/>
    <n v="3"/>
    <x v="53"/>
    <x v="19"/>
    <x v="102"/>
    <n v="1"/>
    <s v="Gasto corriente"/>
    <x v="0"/>
    <x v="1"/>
    <x v="0"/>
    <x v="0"/>
    <x v="0"/>
    <x v="1"/>
    <x v="0"/>
    <m/>
    <x v="0"/>
    <x v="0"/>
    <m/>
    <n v="1456226"/>
    <n v="0"/>
    <n v="0"/>
    <n v="1456226"/>
    <n v="1969993"/>
    <m/>
    <x v="1"/>
    <n v="1969993"/>
  </r>
  <r>
    <x v="1"/>
    <x v="14"/>
    <x v="14"/>
    <x v="4"/>
    <s v="Prestación de Servicios Públicos"/>
    <x v="23"/>
    <x v="437"/>
    <x v="299"/>
    <x v="533"/>
    <n v="2"/>
    <s v="Desarrollo Social"/>
    <n v="1"/>
    <s v="Salud"/>
    <n v="3"/>
    <x v="53"/>
    <x v="19"/>
    <x v="102"/>
    <n v="1"/>
    <s v="Gasto corriente"/>
    <x v="0"/>
    <x v="0"/>
    <x v="0"/>
    <x v="0"/>
    <x v="0"/>
    <x v="1"/>
    <x v="0"/>
    <m/>
    <x v="0"/>
    <x v="0"/>
    <m/>
    <n v="34823789"/>
    <n v="0"/>
    <n v="0"/>
    <n v="34823789"/>
    <n v="28585763"/>
    <m/>
    <x v="1"/>
    <n v="28585763"/>
  </r>
  <r>
    <x v="1"/>
    <x v="14"/>
    <x v="14"/>
    <x v="4"/>
    <s v="Prestación de Servicios Públicos"/>
    <x v="23"/>
    <x v="437"/>
    <x v="70"/>
    <x v="548"/>
    <n v="2"/>
    <s v="Desarrollo Social"/>
    <n v="1"/>
    <s v="Salud"/>
    <n v="5"/>
    <x v="55"/>
    <x v="22"/>
    <x v="103"/>
    <n v="2"/>
    <s v="Gasto de capital"/>
    <x v="0"/>
    <x v="0"/>
    <x v="0"/>
    <x v="0"/>
    <x v="0"/>
    <x v="0"/>
    <x v="0"/>
    <m/>
    <x v="0"/>
    <x v="0"/>
    <m/>
    <n v="1946371514"/>
    <n v="0"/>
    <n v="0"/>
    <n v="1946371514"/>
    <n v="2314579440"/>
    <m/>
    <x v="1"/>
    <n v="2314579440"/>
  </r>
  <r>
    <x v="1"/>
    <x v="14"/>
    <x v="14"/>
    <x v="4"/>
    <s v="Prestación de Servicios Públicos"/>
    <x v="20"/>
    <x v="438"/>
    <x v="283"/>
    <x v="515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1877997"/>
    <n v="0"/>
    <n v="0"/>
    <n v="1877997"/>
    <n v="16892997"/>
    <m/>
    <x v="1"/>
    <n v="16892997"/>
  </r>
  <r>
    <x v="1"/>
    <x v="14"/>
    <x v="14"/>
    <x v="4"/>
    <s v="Prestación de Servicios Públicos"/>
    <x v="20"/>
    <x v="438"/>
    <x v="284"/>
    <x v="517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3539237"/>
    <n v="0"/>
    <n v="0"/>
    <n v="3539237"/>
    <n v="5364764"/>
    <m/>
    <x v="1"/>
    <n v="5364764"/>
  </r>
  <r>
    <x v="1"/>
    <x v="14"/>
    <x v="14"/>
    <x v="4"/>
    <s v="Prestación de Servicios Públicos"/>
    <x v="20"/>
    <x v="438"/>
    <x v="284"/>
    <x v="517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47610540"/>
    <n v="0"/>
    <n v="-9503638"/>
    <n v="38106902"/>
    <n v="61350584"/>
    <m/>
    <x v="1"/>
    <n v="61350584"/>
  </r>
  <r>
    <x v="1"/>
    <x v="14"/>
    <x v="14"/>
    <x v="4"/>
    <s v="Prestación de Servicios Públicos"/>
    <x v="20"/>
    <x v="438"/>
    <x v="285"/>
    <x v="518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4532997"/>
    <n v="0"/>
    <n v="0"/>
    <n v="4532997"/>
    <n v="4127090"/>
    <m/>
    <x v="1"/>
    <n v="4127090"/>
  </r>
  <r>
    <x v="1"/>
    <x v="14"/>
    <x v="14"/>
    <x v="4"/>
    <s v="Prestación de Servicios Públicos"/>
    <x v="20"/>
    <x v="438"/>
    <x v="285"/>
    <x v="518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73316196"/>
    <n v="0"/>
    <n v="0"/>
    <n v="73316196"/>
    <n v="74580067"/>
    <m/>
    <x v="1"/>
    <n v="74580067"/>
  </r>
  <r>
    <x v="1"/>
    <x v="14"/>
    <x v="14"/>
    <x v="4"/>
    <s v="Prestación de Servicios Públicos"/>
    <x v="20"/>
    <x v="438"/>
    <x v="285"/>
    <x v="518"/>
    <n v="3"/>
    <s v="Desarrollo Económico"/>
    <n v="7"/>
    <s v="Ciencia y Tecnología"/>
    <n v="1"/>
    <x v="33"/>
    <x v="23"/>
    <x v="104"/>
    <n v="2"/>
    <s v="Gasto de capital"/>
    <x v="0"/>
    <x v="0"/>
    <x v="0"/>
    <x v="1"/>
    <x v="0"/>
    <x v="0"/>
    <x v="0"/>
    <m/>
    <x v="0"/>
    <x v="0"/>
    <m/>
    <n v="585630"/>
    <n v="0"/>
    <n v="0"/>
    <n v="585630"/>
    <n v="700000"/>
    <m/>
    <x v="1"/>
    <n v="700000"/>
  </r>
  <r>
    <x v="1"/>
    <x v="14"/>
    <x v="14"/>
    <x v="4"/>
    <s v="Prestación de Servicios Públicos"/>
    <x v="20"/>
    <x v="438"/>
    <x v="286"/>
    <x v="519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m/>
    <m/>
    <m/>
    <m/>
    <n v="400615"/>
    <m/>
    <x v="1"/>
    <n v="400615"/>
  </r>
  <r>
    <x v="1"/>
    <x v="14"/>
    <x v="14"/>
    <x v="4"/>
    <s v="Prestación de Servicios Públicos"/>
    <x v="20"/>
    <x v="438"/>
    <x v="286"/>
    <x v="519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5484326"/>
    <n v="0"/>
    <n v="0"/>
    <n v="5484326"/>
    <n v="14980660"/>
    <m/>
    <x v="1"/>
    <n v="14980660"/>
  </r>
  <r>
    <x v="1"/>
    <x v="14"/>
    <x v="14"/>
    <x v="4"/>
    <s v="Prestación de Servicios Públicos"/>
    <x v="20"/>
    <x v="438"/>
    <x v="34"/>
    <x v="520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300000"/>
    <n v="0"/>
    <n v="0"/>
    <n v="300000"/>
    <n v="300000"/>
    <m/>
    <x v="1"/>
    <n v="300000"/>
  </r>
  <r>
    <x v="1"/>
    <x v="14"/>
    <x v="14"/>
    <x v="4"/>
    <s v="Prestación de Servicios Públicos"/>
    <x v="20"/>
    <x v="438"/>
    <x v="287"/>
    <x v="521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873690"/>
    <n v="0"/>
    <n v="0"/>
    <n v="873690"/>
    <n v="919505"/>
    <m/>
    <x v="1"/>
    <n v="919505"/>
  </r>
  <r>
    <x v="1"/>
    <x v="14"/>
    <x v="14"/>
    <x v="4"/>
    <s v="Prestación de Servicios Públicos"/>
    <x v="20"/>
    <x v="438"/>
    <x v="287"/>
    <x v="521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13590142"/>
    <n v="0"/>
    <n v="0"/>
    <n v="13590142"/>
    <n v="13090027"/>
    <m/>
    <x v="1"/>
    <n v="13090027"/>
  </r>
  <r>
    <x v="1"/>
    <x v="14"/>
    <x v="14"/>
    <x v="4"/>
    <s v="Prestación de Servicios Públicos"/>
    <x v="20"/>
    <x v="438"/>
    <x v="288"/>
    <x v="522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703669"/>
    <n v="0"/>
    <n v="0"/>
    <n v="703669"/>
    <n v="839548"/>
    <m/>
    <x v="1"/>
    <n v="839548"/>
  </r>
  <r>
    <x v="1"/>
    <x v="14"/>
    <x v="14"/>
    <x v="4"/>
    <s v="Prestación de Servicios Públicos"/>
    <x v="20"/>
    <x v="438"/>
    <x v="288"/>
    <x v="522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23863938"/>
    <n v="0"/>
    <n v="0"/>
    <n v="23863938"/>
    <n v="26290668"/>
    <m/>
    <x v="1"/>
    <n v="26290668"/>
  </r>
  <r>
    <x v="1"/>
    <x v="14"/>
    <x v="14"/>
    <x v="4"/>
    <s v="Prestación de Servicios Públicos"/>
    <x v="20"/>
    <x v="438"/>
    <x v="289"/>
    <x v="523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701632"/>
    <n v="0"/>
    <n v="0"/>
    <n v="701632"/>
    <n v="883324"/>
    <m/>
    <x v="1"/>
    <n v="883324"/>
  </r>
  <r>
    <x v="1"/>
    <x v="14"/>
    <x v="14"/>
    <x v="4"/>
    <s v="Prestación de Servicios Públicos"/>
    <x v="20"/>
    <x v="438"/>
    <x v="289"/>
    <x v="523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12194964"/>
    <n v="0"/>
    <n v="0"/>
    <n v="12194964"/>
    <n v="16354951"/>
    <m/>
    <x v="1"/>
    <n v="16354951"/>
  </r>
  <r>
    <x v="1"/>
    <x v="14"/>
    <x v="14"/>
    <x v="4"/>
    <s v="Prestación de Servicios Públicos"/>
    <x v="20"/>
    <x v="438"/>
    <x v="290"/>
    <x v="524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2549247"/>
    <n v="0"/>
    <n v="0"/>
    <n v="2549247"/>
    <n v="4418826"/>
    <m/>
    <x v="1"/>
    <n v="4418826"/>
  </r>
  <r>
    <x v="1"/>
    <x v="14"/>
    <x v="14"/>
    <x v="4"/>
    <s v="Prestación de Servicios Públicos"/>
    <x v="20"/>
    <x v="438"/>
    <x v="290"/>
    <x v="524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50378299"/>
    <n v="0"/>
    <n v="0"/>
    <n v="50378299"/>
    <n v="74571311"/>
    <m/>
    <x v="1"/>
    <n v="74571311"/>
  </r>
  <r>
    <x v="1"/>
    <x v="14"/>
    <x v="14"/>
    <x v="4"/>
    <s v="Prestación de Servicios Públicos"/>
    <x v="20"/>
    <x v="438"/>
    <x v="303"/>
    <x v="541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264756"/>
    <n v="0"/>
    <n v="0"/>
    <n v="264756"/>
    <n v="393739"/>
    <m/>
    <x v="1"/>
    <n v="393739"/>
  </r>
  <r>
    <x v="1"/>
    <x v="14"/>
    <x v="14"/>
    <x v="4"/>
    <s v="Prestación de Servicios Públicos"/>
    <x v="20"/>
    <x v="438"/>
    <x v="303"/>
    <x v="541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4368152"/>
    <n v="0"/>
    <n v="-633330"/>
    <n v="3734822"/>
    <n v="4750657"/>
    <m/>
    <x v="1"/>
    <n v="4750657"/>
  </r>
  <r>
    <x v="1"/>
    <x v="14"/>
    <x v="14"/>
    <x v="4"/>
    <s v="Prestación de Servicios Públicos"/>
    <x v="20"/>
    <x v="438"/>
    <x v="304"/>
    <x v="542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49466"/>
    <n v="0"/>
    <n v="0"/>
    <n v="49466"/>
    <n v="50084"/>
    <m/>
    <x v="1"/>
    <n v="50084"/>
  </r>
  <r>
    <x v="1"/>
    <x v="14"/>
    <x v="14"/>
    <x v="4"/>
    <s v="Prestación de Servicios Públicos"/>
    <x v="20"/>
    <x v="438"/>
    <x v="304"/>
    <x v="542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1980893"/>
    <n v="0"/>
    <n v="-31138"/>
    <n v="1949755"/>
    <n v="1833098"/>
    <m/>
    <x v="1"/>
    <n v="1833098"/>
  </r>
  <r>
    <x v="1"/>
    <x v="14"/>
    <x v="14"/>
    <x v="4"/>
    <s v="Prestación de Servicios Públicos"/>
    <x v="20"/>
    <x v="438"/>
    <x v="291"/>
    <x v="525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1421542"/>
    <n v="0"/>
    <n v="0"/>
    <n v="1421542"/>
    <n v="1782917"/>
    <m/>
    <x v="1"/>
    <n v="1782917"/>
  </r>
  <r>
    <x v="1"/>
    <x v="14"/>
    <x v="14"/>
    <x v="4"/>
    <s v="Prestación de Servicios Públicos"/>
    <x v="20"/>
    <x v="438"/>
    <x v="291"/>
    <x v="525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29971048"/>
    <n v="0"/>
    <n v="0"/>
    <n v="29971048"/>
    <n v="33033629"/>
    <m/>
    <x v="1"/>
    <n v="33033629"/>
  </r>
  <r>
    <x v="1"/>
    <x v="14"/>
    <x v="14"/>
    <x v="4"/>
    <s v="Prestación de Servicios Públicos"/>
    <x v="20"/>
    <x v="438"/>
    <x v="292"/>
    <x v="526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2715010"/>
    <n v="0"/>
    <n v="0"/>
    <n v="2715010"/>
    <n v="5526856"/>
    <m/>
    <x v="1"/>
    <n v="5526856"/>
  </r>
  <r>
    <x v="1"/>
    <x v="14"/>
    <x v="14"/>
    <x v="4"/>
    <s v="Prestación de Servicios Públicos"/>
    <x v="20"/>
    <x v="438"/>
    <x v="292"/>
    <x v="526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43054398"/>
    <n v="0"/>
    <n v="0"/>
    <n v="43054398"/>
    <n v="64681331"/>
    <m/>
    <x v="1"/>
    <n v="64681331"/>
  </r>
  <r>
    <x v="1"/>
    <x v="14"/>
    <x v="14"/>
    <x v="4"/>
    <s v="Prestación de Servicios Públicos"/>
    <x v="20"/>
    <x v="438"/>
    <x v="293"/>
    <x v="527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5025132"/>
    <n v="0"/>
    <n v="0"/>
    <n v="5025132"/>
    <n v="3853064"/>
    <m/>
    <x v="1"/>
    <n v="3853064"/>
  </r>
  <r>
    <x v="1"/>
    <x v="14"/>
    <x v="14"/>
    <x v="4"/>
    <s v="Prestación de Servicios Públicos"/>
    <x v="20"/>
    <x v="438"/>
    <x v="293"/>
    <x v="527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85583001"/>
    <n v="0"/>
    <n v="0"/>
    <n v="85583001"/>
    <n v="63690498"/>
    <m/>
    <x v="1"/>
    <n v="63690498"/>
  </r>
  <r>
    <x v="1"/>
    <x v="14"/>
    <x v="14"/>
    <x v="4"/>
    <s v="Prestación de Servicios Públicos"/>
    <x v="20"/>
    <x v="438"/>
    <x v="293"/>
    <x v="527"/>
    <n v="3"/>
    <s v="Desarrollo Económico"/>
    <n v="7"/>
    <s v="Ciencia y Tecnología"/>
    <n v="1"/>
    <x v="33"/>
    <x v="23"/>
    <x v="104"/>
    <n v="2"/>
    <s v="Gasto de capital"/>
    <x v="0"/>
    <x v="0"/>
    <x v="0"/>
    <x v="1"/>
    <x v="0"/>
    <x v="0"/>
    <x v="0"/>
    <m/>
    <x v="0"/>
    <x v="0"/>
    <m/>
    <n v="433800"/>
    <n v="0"/>
    <n v="0"/>
    <n v="433800"/>
    <n v="650100"/>
    <m/>
    <x v="1"/>
    <n v="650100"/>
  </r>
  <r>
    <x v="1"/>
    <x v="14"/>
    <x v="14"/>
    <x v="4"/>
    <s v="Prestación de Servicios Públicos"/>
    <x v="20"/>
    <x v="438"/>
    <x v="294"/>
    <x v="528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9028057"/>
    <n v="0"/>
    <n v="0"/>
    <n v="9028057"/>
    <n v="9580207"/>
    <m/>
    <x v="1"/>
    <n v="9580207"/>
  </r>
  <r>
    <x v="1"/>
    <x v="14"/>
    <x v="14"/>
    <x v="4"/>
    <s v="Prestación de Servicios Públicos"/>
    <x v="20"/>
    <x v="438"/>
    <x v="294"/>
    <x v="528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133280318"/>
    <n v="0"/>
    <n v="0"/>
    <n v="133280318"/>
    <n v="134823874"/>
    <m/>
    <x v="1"/>
    <n v="134823874"/>
  </r>
  <r>
    <x v="1"/>
    <x v="14"/>
    <x v="14"/>
    <x v="4"/>
    <s v="Prestación de Servicios Públicos"/>
    <x v="20"/>
    <x v="438"/>
    <x v="295"/>
    <x v="529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3798473"/>
    <n v="0"/>
    <n v="0"/>
    <n v="3798473"/>
    <n v="4015488"/>
    <m/>
    <x v="1"/>
    <n v="4015488"/>
  </r>
  <r>
    <x v="1"/>
    <x v="14"/>
    <x v="14"/>
    <x v="4"/>
    <s v="Prestación de Servicios Públicos"/>
    <x v="20"/>
    <x v="438"/>
    <x v="295"/>
    <x v="529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179254529"/>
    <n v="0"/>
    <n v="-47000000"/>
    <n v="132254529"/>
    <n v="134439213"/>
    <m/>
    <x v="88"/>
    <n v="151739213"/>
  </r>
  <r>
    <x v="1"/>
    <x v="14"/>
    <x v="14"/>
    <x v="4"/>
    <s v="Prestación de Servicios Públicos"/>
    <x v="20"/>
    <x v="438"/>
    <x v="296"/>
    <x v="530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3244745"/>
    <n v="0"/>
    <n v="0"/>
    <n v="3244745"/>
    <n v="3099725"/>
    <m/>
    <x v="1"/>
    <n v="3099725"/>
  </r>
  <r>
    <x v="1"/>
    <x v="14"/>
    <x v="14"/>
    <x v="4"/>
    <s v="Prestación de Servicios Públicos"/>
    <x v="20"/>
    <x v="438"/>
    <x v="296"/>
    <x v="530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44759132"/>
    <n v="0"/>
    <n v="0"/>
    <n v="44759132"/>
    <n v="51425112"/>
    <m/>
    <x v="1"/>
    <n v="51425112"/>
  </r>
  <r>
    <x v="1"/>
    <x v="14"/>
    <x v="14"/>
    <x v="4"/>
    <s v="Prestación de Servicios Públicos"/>
    <x v="20"/>
    <x v="438"/>
    <x v="297"/>
    <x v="531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4951891"/>
    <n v="0"/>
    <n v="0"/>
    <n v="4951891"/>
    <n v="5341661"/>
    <m/>
    <x v="1"/>
    <n v="5341661"/>
  </r>
  <r>
    <x v="1"/>
    <x v="14"/>
    <x v="14"/>
    <x v="4"/>
    <s v="Prestación de Servicios Públicos"/>
    <x v="20"/>
    <x v="438"/>
    <x v="297"/>
    <x v="531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82255468"/>
    <n v="0"/>
    <n v="0"/>
    <n v="82255468"/>
    <n v="84602410"/>
    <m/>
    <x v="1"/>
    <n v="84602410"/>
  </r>
  <r>
    <x v="1"/>
    <x v="14"/>
    <x v="14"/>
    <x v="4"/>
    <s v="Prestación de Servicios Públicos"/>
    <x v="20"/>
    <x v="438"/>
    <x v="298"/>
    <x v="532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1"/>
    <m/>
    <x v="0"/>
    <x v="0"/>
    <m/>
    <n v="3267846"/>
    <n v="0"/>
    <n v="0"/>
    <n v="3267846"/>
    <n v="3587952"/>
    <m/>
    <x v="1"/>
    <n v="3587952"/>
  </r>
  <r>
    <x v="1"/>
    <x v="14"/>
    <x v="14"/>
    <x v="4"/>
    <s v="Prestación de Servicios Públicos"/>
    <x v="20"/>
    <x v="438"/>
    <x v="298"/>
    <x v="532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1"/>
    <m/>
    <x v="0"/>
    <x v="0"/>
    <m/>
    <n v="51000184"/>
    <n v="0"/>
    <n v="0"/>
    <n v="51000184"/>
    <n v="52653661"/>
    <m/>
    <x v="1"/>
    <n v="52653661"/>
  </r>
  <r>
    <x v="1"/>
    <x v="14"/>
    <x v="14"/>
    <x v="4"/>
    <s v="Prestación de Servicios Públicos"/>
    <x v="20"/>
    <x v="438"/>
    <x v="298"/>
    <x v="532"/>
    <n v="3"/>
    <s v="Desarrollo Económico"/>
    <n v="7"/>
    <s v="Ciencia y Tecnología"/>
    <n v="1"/>
    <x v="33"/>
    <x v="23"/>
    <x v="104"/>
    <n v="2"/>
    <s v="Gasto de capital"/>
    <x v="0"/>
    <x v="0"/>
    <x v="0"/>
    <x v="1"/>
    <x v="0"/>
    <x v="0"/>
    <x v="1"/>
    <m/>
    <x v="0"/>
    <x v="0"/>
    <m/>
    <n v="1431540"/>
    <n v="0"/>
    <n v="0"/>
    <n v="1431540"/>
    <n v="3000000"/>
    <m/>
    <x v="1"/>
    <n v="3000000"/>
  </r>
  <r>
    <x v="1"/>
    <x v="14"/>
    <x v="14"/>
    <x v="4"/>
    <s v="Prestación de Servicios Públicos"/>
    <x v="20"/>
    <x v="438"/>
    <x v="299"/>
    <x v="533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1"/>
    <x v="0"/>
    <m/>
    <x v="0"/>
    <x v="0"/>
    <m/>
    <n v="2456501"/>
    <n v="0"/>
    <n v="0"/>
    <n v="2456501"/>
    <n v="3237755"/>
    <m/>
    <x v="1"/>
    <n v="3237755"/>
  </r>
  <r>
    <x v="1"/>
    <x v="14"/>
    <x v="14"/>
    <x v="4"/>
    <s v="Prestación de Servicios Públicos"/>
    <x v="20"/>
    <x v="438"/>
    <x v="299"/>
    <x v="533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1"/>
    <x v="0"/>
    <m/>
    <x v="0"/>
    <x v="0"/>
    <m/>
    <n v="43980622"/>
    <n v="0"/>
    <n v="0"/>
    <n v="43980622"/>
    <n v="57503018"/>
    <m/>
    <x v="89"/>
    <n v="104503018"/>
  </r>
  <r>
    <x v="1"/>
    <x v="14"/>
    <x v="14"/>
    <x v="4"/>
    <s v="Prestación de Servicios Públicos"/>
    <x v="20"/>
    <x v="438"/>
    <x v="300"/>
    <x v="534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12310257"/>
    <n v="0"/>
    <n v="0"/>
    <n v="12310257"/>
    <n v="13543631"/>
    <m/>
    <x v="1"/>
    <n v="13543631"/>
  </r>
  <r>
    <x v="1"/>
    <x v="14"/>
    <x v="14"/>
    <x v="4"/>
    <s v="Prestación de Servicios Públicos"/>
    <x v="20"/>
    <x v="438"/>
    <x v="300"/>
    <x v="534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1"/>
    <m/>
    <x v="0"/>
    <x v="0"/>
    <m/>
    <n v="25492980"/>
    <n v="8000000"/>
    <n v="0"/>
    <n v="33492980"/>
    <n v="23476174"/>
    <m/>
    <x v="1"/>
    <n v="23476174"/>
  </r>
  <r>
    <x v="1"/>
    <x v="14"/>
    <x v="14"/>
    <x v="4"/>
    <s v="Prestación de Servicios Públicos"/>
    <x v="20"/>
    <x v="438"/>
    <x v="300"/>
    <x v="534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1"/>
    <m/>
    <x v="0"/>
    <x v="0"/>
    <m/>
    <n v="213133501"/>
    <n v="0"/>
    <n v="0"/>
    <n v="213133501"/>
    <n v="238081202"/>
    <m/>
    <x v="38"/>
    <n v="243081202"/>
  </r>
  <r>
    <x v="1"/>
    <x v="14"/>
    <x v="14"/>
    <x v="4"/>
    <s v="Prestación de Servicios Públicos"/>
    <x v="20"/>
    <x v="438"/>
    <x v="300"/>
    <x v="534"/>
    <n v="3"/>
    <s v="Desarrollo Económico"/>
    <n v="7"/>
    <s v="Ciencia y Tecnología"/>
    <n v="1"/>
    <x v="33"/>
    <x v="23"/>
    <x v="104"/>
    <n v="2"/>
    <s v="Gasto de capital"/>
    <x v="0"/>
    <x v="0"/>
    <x v="0"/>
    <x v="1"/>
    <x v="0"/>
    <x v="0"/>
    <x v="1"/>
    <m/>
    <x v="0"/>
    <x v="0"/>
    <m/>
    <n v="2602800"/>
    <n v="0"/>
    <n v="0"/>
    <n v="2602800"/>
    <m/>
    <m/>
    <x v="1"/>
    <n v="0"/>
  </r>
  <r>
    <x v="1"/>
    <x v="14"/>
    <x v="14"/>
    <x v="4"/>
    <s v="Prestación de Servicios Públicos"/>
    <x v="20"/>
    <x v="438"/>
    <x v="41"/>
    <x v="536"/>
    <n v="3"/>
    <s v="Desarrollo Económico"/>
    <n v="7"/>
    <s v="Ciencia y Tecnología"/>
    <n v="1"/>
    <x v="33"/>
    <x v="23"/>
    <x v="104"/>
    <n v="1"/>
    <s v="Gasto corriente"/>
    <x v="0"/>
    <x v="1"/>
    <x v="0"/>
    <x v="1"/>
    <x v="0"/>
    <x v="0"/>
    <x v="0"/>
    <m/>
    <x v="0"/>
    <x v="0"/>
    <m/>
    <n v="396362"/>
    <n v="0"/>
    <n v="0"/>
    <n v="396362"/>
    <n v="420905"/>
    <m/>
    <x v="1"/>
    <n v="420905"/>
  </r>
  <r>
    <x v="1"/>
    <x v="14"/>
    <x v="14"/>
    <x v="4"/>
    <s v="Prestación de Servicios Públicos"/>
    <x v="20"/>
    <x v="438"/>
    <x v="41"/>
    <x v="536"/>
    <n v="3"/>
    <s v="Desarrollo Económico"/>
    <n v="7"/>
    <s v="Ciencia y Tecnología"/>
    <n v="1"/>
    <x v="33"/>
    <x v="23"/>
    <x v="104"/>
    <n v="1"/>
    <s v="Gasto corriente"/>
    <x v="0"/>
    <x v="0"/>
    <x v="0"/>
    <x v="1"/>
    <x v="0"/>
    <x v="0"/>
    <x v="0"/>
    <m/>
    <x v="0"/>
    <x v="0"/>
    <m/>
    <n v="12804666"/>
    <n v="0"/>
    <n v="0"/>
    <n v="12804666"/>
    <n v="13312926"/>
    <m/>
    <x v="90"/>
    <n v="18262926"/>
  </r>
  <r>
    <x v="1"/>
    <x v="14"/>
    <x v="14"/>
    <x v="4"/>
    <s v="Prestación de Servicios Públicos"/>
    <x v="21"/>
    <x v="439"/>
    <x v="283"/>
    <x v="515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1"/>
    <m/>
    <x v="0"/>
    <x v="0"/>
    <m/>
    <n v="50946869"/>
    <n v="0"/>
    <n v="0"/>
    <n v="50946869"/>
    <n v="52548537"/>
    <m/>
    <x v="1"/>
    <n v="52548537"/>
  </r>
  <r>
    <x v="1"/>
    <x v="14"/>
    <x v="14"/>
    <x v="4"/>
    <s v="Prestación de Servicios Públicos"/>
    <x v="21"/>
    <x v="439"/>
    <x v="283"/>
    <x v="515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1"/>
    <m/>
    <x v="0"/>
    <x v="0"/>
    <m/>
    <n v="768040446"/>
    <n v="0"/>
    <n v="-50000"/>
    <n v="767990446"/>
    <n v="853751776"/>
    <m/>
    <x v="91"/>
    <n v="917751776"/>
  </r>
  <r>
    <x v="1"/>
    <x v="14"/>
    <x v="14"/>
    <x v="4"/>
    <s v="Prestación de Servicios Públicos"/>
    <x v="21"/>
    <x v="439"/>
    <x v="283"/>
    <x v="515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1"/>
    <m/>
    <x v="0"/>
    <x v="0"/>
    <m/>
    <n v="231074083"/>
    <n v="0"/>
    <n v="0"/>
    <n v="231074083"/>
    <n v="191122581"/>
    <m/>
    <x v="1"/>
    <n v="191122581"/>
  </r>
  <r>
    <x v="1"/>
    <x v="14"/>
    <x v="14"/>
    <x v="4"/>
    <s v="Prestación de Servicios Públicos"/>
    <x v="21"/>
    <x v="439"/>
    <x v="85"/>
    <x v="72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m/>
    <m/>
    <m/>
    <m/>
    <n v="509459652"/>
    <m/>
    <x v="1"/>
    <n v="509459652"/>
  </r>
  <r>
    <x v="1"/>
    <x v="14"/>
    <x v="14"/>
    <x v="4"/>
    <s v="Prestación de Servicios Públicos"/>
    <x v="21"/>
    <x v="439"/>
    <x v="284"/>
    <x v="517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39560287"/>
    <n v="0"/>
    <n v="0"/>
    <n v="39560287"/>
    <n v="31884731"/>
    <m/>
    <x v="1"/>
    <n v="31884731"/>
  </r>
  <r>
    <x v="1"/>
    <x v="14"/>
    <x v="14"/>
    <x v="4"/>
    <s v="Prestación de Servicios Públicos"/>
    <x v="21"/>
    <x v="439"/>
    <x v="284"/>
    <x v="517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709133718"/>
    <n v="0"/>
    <n v="-124541786"/>
    <n v="584591932"/>
    <n v="580617962"/>
    <m/>
    <x v="38"/>
    <n v="585617962"/>
  </r>
  <r>
    <x v="1"/>
    <x v="14"/>
    <x v="14"/>
    <x v="4"/>
    <s v="Prestación de Servicios Públicos"/>
    <x v="21"/>
    <x v="439"/>
    <x v="285"/>
    <x v="518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5309799"/>
    <n v="0"/>
    <n v="0"/>
    <n v="5309799"/>
    <n v="5170697"/>
    <m/>
    <x v="1"/>
    <n v="5170697"/>
  </r>
  <r>
    <x v="1"/>
    <x v="14"/>
    <x v="14"/>
    <x v="4"/>
    <s v="Prestación de Servicios Públicos"/>
    <x v="21"/>
    <x v="439"/>
    <x v="285"/>
    <x v="518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97561104"/>
    <n v="0"/>
    <n v="0"/>
    <n v="97561104"/>
    <n v="111226701"/>
    <m/>
    <x v="92"/>
    <n v="113676701"/>
  </r>
  <r>
    <x v="1"/>
    <x v="14"/>
    <x v="14"/>
    <x v="4"/>
    <s v="Prestación de Servicios Públicos"/>
    <x v="21"/>
    <x v="439"/>
    <x v="285"/>
    <x v="518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0"/>
    <m/>
    <x v="0"/>
    <x v="0"/>
    <m/>
    <n v="151830"/>
    <n v="0"/>
    <n v="0"/>
    <n v="151830"/>
    <n v="300000"/>
    <m/>
    <x v="1"/>
    <n v="300000"/>
  </r>
  <r>
    <x v="1"/>
    <x v="14"/>
    <x v="14"/>
    <x v="4"/>
    <s v="Prestación de Servicios Públicos"/>
    <x v="21"/>
    <x v="439"/>
    <x v="34"/>
    <x v="520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36829199"/>
    <n v="0"/>
    <n v="0"/>
    <n v="36829199"/>
    <n v="38962697"/>
    <m/>
    <x v="1"/>
    <n v="38962697"/>
  </r>
  <r>
    <x v="1"/>
    <x v="14"/>
    <x v="14"/>
    <x v="4"/>
    <s v="Prestación de Servicios Públicos"/>
    <x v="21"/>
    <x v="439"/>
    <x v="34"/>
    <x v="520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602554810"/>
    <n v="0"/>
    <n v="0"/>
    <n v="602554810"/>
    <n v="631071522"/>
    <m/>
    <x v="93"/>
    <n v="635871522"/>
  </r>
  <r>
    <x v="1"/>
    <x v="14"/>
    <x v="14"/>
    <x v="4"/>
    <s v="Prestación de Servicios Públicos"/>
    <x v="21"/>
    <x v="439"/>
    <x v="287"/>
    <x v="521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40723466"/>
    <n v="0"/>
    <n v="0"/>
    <n v="40723466"/>
    <n v="43431624"/>
    <m/>
    <x v="1"/>
    <n v="43431624"/>
  </r>
  <r>
    <x v="1"/>
    <x v="14"/>
    <x v="14"/>
    <x v="4"/>
    <s v="Prestación de Servicios Públicos"/>
    <x v="21"/>
    <x v="439"/>
    <x v="287"/>
    <x v="521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703464523"/>
    <n v="0"/>
    <n v="0"/>
    <n v="703464523"/>
    <n v="743888495"/>
    <m/>
    <x v="1"/>
    <n v="743888495"/>
  </r>
  <r>
    <x v="1"/>
    <x v="14"/>
    <x v="14"/>
    <x v="4"/>
    <s v="Prestación de Servicios Públicos"/>
    <x v="21"/>
    <x v="439"/>
    <x v="287"/>
    <x v="521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0"/>
    <m/>
    <x v="0"/>
    <x v="0"/>
    <m/>
    <n v="8560049"/>
    <n v="0"/>
    <n v="0"/>
    <n v="8560049"/>
    <m/>
    <m/>
    <x v="1"/>
    <n v="0"/>
  </r>
  <r>
    <x v="1"/>
    <x v="14"/>
    <x v="14"/>
    <x v="4"/>
    <s v="Prestación de Servicios Públicos"/>
    <x v="21"/>
    <x v="439"/>
    <x v="288"/>
    <x v="522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1"/>
    <m/>
    <x v="0"/>
    <x v="0"/>
    <m/>
    <n v="29231391"/>
    <n v="0"/>
    <n v="0"/>
    <n v="29231391"/>
    <n v="31893476"/>
    <m/>
    <x v="1"/>
    <n v="31893476"/>
  </r>
  <r>
    <x v="1"/>
    <x v="14"/>
    <x v="14"/>
    <x v="4"/>
    <s v="Prestación de Servicios Públicos"/>
    <x v="21"/>
    <x v="439"/>
    <x v="288"/>
    <x v="522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1"/>
    <m/>
    <x v="0"/>
    <x v="0"/>
    <m/>
    <n v="551639802"/>
    <n v="0"/>
    <n v="0"/>
    <n v="551639802"/>
    <n v="593586838"/>
    <m/>
    <x v="23"/>
    <n v="618586838"/>
  </r>
  <r>
    <x v="1"/>
    <x v="14"/>
    <x v="14"/>
    <x v="4"/>
    <s v="Prestación de Servicios Públicos"/>
    <x v="21"/>
    <x v="439"/>
    <x v="288"/>
    <x v="522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1"/>
    <m/>
    <x v="0"/>
    <x v="0"/>
    <m/>
    <n v="3849732"/>
    <n v="0"/>
    <n v="0"/>
    <n v="3849732"/>
    <m/>
    <m/>
    <x v="1"/>
    <n v="0"/>
  </r>
  <r>
    <x v="1"/>
    <x v="14"/>
    <x v="14"/>
    <x v="4"/>
    <s v="Prestación de Servicios Públicos"/>
    <x v="21"/>
    <x v="439"/>
    <x v="289"/>
    <x v="523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97745565"/>
    <n v="0"/>
    <n v="0"/>
    <n v="97745565"/>
    <n v="87770925"/>
    <m/>
    <x v="1"/>
    <n v="87770925"/>
  </r>
  <r>
    <x v="1"/>
    <x v="14"/>
    <x v="14"/>
    <x v="4"/>
    <s v="Prestación de Servicios Públicos"/>
    <x v="21"/>
    <x v="439"/>
    <x v="289"/>
    <x v="523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1480265276"/>
    <n v="0"/>
    <n v="0"/>
    <n v="1480265276"/>
    <n v="1535308494"/>
    <m/>
    <x v="94"/>
    <n v="1557308494"/>
  </r>
  <r>
    <x v="1"/>
    <x v="14"/>
    <x v="14"/>
    <x v="4"/>
    <s v="Prestación de Servicios Públicos"/>
    <x v="21"/>
    <x v="439"/>
    <x v="289"/>
    <x v="523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0"/>
    <m/>
    <x v="0"/>
    <x v="0"/>
    <m/>
    <n v="7257440"/>
    <n v="0"/>
    <n v="0"/>
    <n v="7257440"/>
    <m/>
    <m/>
    <x v="1"/>
    <n v="0"/>
  </r>
  <r>
    <x v="1"/>
    <x v="14"/>
    <x v="14"/>
    <x v="4"/>
    <s v="Prestación de Servicios Públicos"/>
    <x v="21"/>
    <x v="439"/>
    <x v="290"/>
    <x v="524"/>
    <n v="2"/>
    <s v="Desarrollo Social"/>
    <n v="1"/>
    <s v="Salud"/>
    <n v="2"/>
    <x v="30"/>
    <x v="12"/>
    <x v="105"/>
    <n v="1"/>
    <s v="Gasto corriente"/>
    <x v="0"/>
    <x v="1"/>
    <x v="0"/>
    <x v="0"/>
    <x v="0"/>
    <x v="1"/>
    <x v="0"/>
    <m/>
    <x v="0"/>
    <x v="0"/>
    <m/>
    <n v="33438113"/>
    <n v="0"/>
    <n v="0"/>
    <n v="33438113"/>
    <n v="1872433"/>
    <m/>
    <x v="1"/>
    <n v="1872433"/>
  </r>
  <r>
    <x v="1"/>
    <x v="14"/>
    <x v="14"/>
    <x v="4"/>
    <s v="Prestación de Servicios Públicos"/>
    <x v="21"/>
    <x v="439"/>
    <x v="290"/>
    <x v="524"/>
    <n v="2"/>
    <s v="Desarrollo Social"/>
    <n v="1"/>
    <s v="Salud"/>
    <n v="2"/>
    <x v="30"/>
    <x v="12"/>
    <x v="105"/>
    <n v="1"/>
    <s v="Gasto corriente"/>
    <x v="0"/>
    <x v="0"/>
    <x v="0"/>
    <x v="0"/>
    <x v="0"/>
    <x v="1"/>
    <x v="0"/>
    <m/>
    <x v="0"/>
    <x v="0"/>
    <m/>
    <n v="612617432"/>
    <n v="0"/>
    <n v="0"/>
    <n v="612617432"/>
    <n v="220683198"/>
    <m/>
    <x v="95"/>
    <n v="230283198"/>
  </r>
  <r>
    <x v="1"/>
    <x v="14"/>
    <x v="14"/>
    <x v="4"/>
    <s v="Prestación de Servicios Públicos"/>
    <x v="21"/>
    <x v="439"/>
    <x v="303"/>
    <x v="541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22637142"/>
    <n v="0"/>
    <n v="0"/>
    <n v="22637142"/>
    <n v="24249265"/>
    <m/>
    <x v="1"/>
    <n v="24249265"/>
  </r>
  <r>
    <x v="1"/>
    <x v="14"/>
    <x v="14"/>
    <x v="4"/>
    <s v="Prestación de Servicios Públicos"/>
    <x v="21"/>
    <x v="439"/>
    <x v="303"/>
    <x v="541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332873179"/>
    <n v="0"/>
    <n v="-72550171"/>
    <n v="260323008"/>
    <n v="318839792"/>
    <m/>
    <x v="96"/>
    <n v="325839792"/>
  </r>
  <r>
    <x v="1"/>
    <x v="14"/>
    <x v="14"/>
    <x v="4"/>
    <s v="Prestación de Servicios Públicos"/>
    <x v="21"/>
    <x v="439"/>
    <x v="303"/>
    <x v="541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0"/>
    <m/>
    <x v="0"/>
    <x v="0"/>
    <m/>
    <n v="166651974"/>
    <n v="0"/>
    <n v="0"/>
    <n v="166651974"/>
    <n v="150000000"/>
    <m/>
    <x v="1"/>
    <n v="150000000"/>
  </r>
  <r>
    <x v="1"/>
    <x v="14"/>
    <x v="14"/>
    <x v="4"/>
    <s v="Prestación de Servicios Públicos"/>
    <x v="21"/>
    <x v="439"/>
    <x v="304"/>
    <x v="542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16001977"/>
    <n v="0"/>
    <n v="0"/>
    <n v="16001977"/>
    <n v="17149366"/>
    <m/>
    <x v="1"/>
    <n v="17149366"/>
  </r>
  <r>
    <x v="1"/>
    <x v="14"/>
    <x v="14"/>
    <x v="4"/>
    <s v="Prestación de Servicios Públicos"/>
    <x v="21"/>
    <x v="439"/>
    <x v="304"/>
    <x v="542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279008794"/>
    <n v="0"/>
    <n v="-50351275"/>
    <n v="228657519"/>
    <n v="247825754"/>
    <m/>
    <x v="38"/>
    <n v="252825754"/>
  </r>
  <r>
    <x v="1"/>
    <x v="14"/>
    <x v="14"/>
    <x v="4"/>
    <s v="Prestación de Servicios Públicos"/>
    <x v="21"/>
    <x v="439"/>
    <x v="305"/>
    <x v="543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24117982"/>
    <n v="0"/>
    <n v="0"/>
    <n v="24117982"/>
    <n v="25795974"/>
    <m/>
    <x v="1"/>
    <n v="25795974"/>
  </r>
  <r>
    <x v="1"/>
    <x v="14"/>
    <x v="14"/>
    <x v="4"/>
    <s v="Prestación de Servicios Públicos"/>
    <x v="21"/>
    <x v="439"/>
    <x v="305"/>
    <x v="543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450794145"/>
    <n v="0"/>
    <n v="-78762406"/>
    <n v="372031739"/>
    <n v="373438434"/>
    <m/>
    <x v="97"/>
    <n v="383338434"/>
  </r>
  <r>
    <x v="1"/>
    <x v="14"/>
    <x v="14"/>
    <x v="4"/>
    <s v="Prestación de Servicios Públicos"/>
    <x v="21"/>
    <x v="439"/>
    <x v="309"/>
    <x v="549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m/>
    <m/>
    <m/>
    <m/>
    <n v="30858901"/>
    <m/>
    <x v="1"/>
    <n v="30858901"/>
  </r>
  <r>
    <x v="1"/>
    <x v="14"/>
    <x v="14"/>
    <x v="4"/>
    <s v="Prestación de Servicios Públicos"/>
    <x v="21"/>
    <x v="439"/>
    <x v="309"/>
    <x v="549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0"/>
    <m/>
    <x v="0"/>
    <x v="0"/>
    <m/>
    <m/>
    <m/>
    <m/>
    <m/>
    <n v="241119522"/>
    <m/>
    <x v="6"/>
    <n v="261119522"/>
  </r>
  <r>
    <x v="1"/>
    <x v="14"/>
    <x v="14"/>
    <x v="4"/>
    <s v="Prestación de Servicios Públicos"/>
    <x v="21"/>
    <x v="439"/>
    <x v="291"/>
    <x v="525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1"/>
    <m/>
    <x v="0"/>
    <x v="0"/>
    <m/>
    <n v="25207936"/>
    <n v="0"/>
    <n v="0"/>
    <n v="25207936"/>
    <n v="26597694"/>
    <m/>
    <x v="1"/>
    <n v="26597694"/>
  </r>
  <r>
    <x v="1"/>
    <x v="14"/>
    <x v="14"/>
    <x v="4"/>
    <s v="Prestación de Servicios Públicos"/>
    <x v="21"/>
    <x v="439"/>
    <x v="291"/>
    <x v="525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1"/>
    <m/>
    <x v="0"/>
    <x v="0"/>
    <m/>
    <n v="448550265"/>
    <n v="0"/>
    <n v="0"/>
    <n v="448550265"/>
    <n v="469253186"/>
    <m/>
    <x v="98"/>
    <n v="505353186"/>
  </r>
  <r>
    <x v="1"/>
    <x v="14"/>
    <x v="14"/>
    <x v="4"/>
    <s v="Prestación de Servicios Públicos"/>
    <x v="21"/>
    <x v="439"/>
    <x v="291"/>
    <x v="525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1"/>
    <m/>
    <x v="0"/>
    <x v="0"/>
    <m/>
    <n v="0"/>
    <n v="43000000"/>
    <n v="0"/>
    <n v="43000000"/>
    <m/>
    <m/>
    <x v="1"/>
    <n v="0"/>
  </r>
  <r>
    <x v="1"/>
    <x v="14"/>
    <x v="14"/>
    <x v="4"/>
    <s v="Prestación de Servicios Públicos"/>
    <x v="21"/>
    <x v="439"/>
    <x v="292"/>
    <x v="526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29115688"/>
    <n v="0"/>
    <n v="0"/>
    <n v="29115688"/>
    <n v="30225140"/>
    <m/>
    <x v="1"/>
    <n v="30225140"/>
  </r>
  <r>
    <x v="1"/>
    <x v="14"/>
    <x v="14"/>
    <x v="4"/>
    <s v="Prestación de Servicios Públicos"/>
    <x v="21"/>
    <x v="439"/>
    <x v="292"/>
    <x v="526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520491718"/>
    <n v="0"/>
    <n v="0"/>
    <n v="520491718"/>
    <n v="569786363"/>
    <m/>
    <x v="93"/>
    <n v="574586363"/>
  </r>
  <r>
    <x v="1"/>
    <x v="14"/>
    <x v="14"/>
    <x v="4"/>
    <s v="Prestación de Servicios Públicos"/>
    <x v="21"/>
    <x v="439"/>
    <x v="293"/>
    <x v="527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28100841"/>
    <n v="0"/>
    <n v="0"/>
    <n v="28100841"/>
    <n v="31967858"/>
    <m/>
    <x v="1"/>
    <n v="31967858"/>
  </r>
  <r>
    <x v="1"/>
    <x v="14"/>
    <x v="14"/>
    <x v="4"/>
    <s v="Prestación de Servicios Públicos"/>
    <x v="21"/>
    <x v="439"/>
    <x v="293"/>
    <x v="527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490347276"/>
    <n v="0"/>
    <n v="0"/>
    <n v="490347276"/>
    <n v="573076704"/>
    <m/>
    <x v="1"/>
    <n v="573076704"/>
  </r>
  <r>
    <x v="1"/>
    <x v="14"/>
    <x v="14"/>
    <x v="4"/>
    <s v="Prestación de Servicios Públicos"/>
    <x v="21"/>
    <x v="439"/>
    <x v="293"/>
    <x v="527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0"/>
    <m/>
    <x v="0"/>
    <x v="0"/>
    <m/>
    <n v="987659"/>
    <n v="0"/>
    <n v="0"/>
    <n v="987659"/>
    <n v="987659"/>
    <m/>
    <x v="1"/>
    <n v="987659"/>
  </r>
  <r>
    <x v="1"/>
    <x v="14"/>
    <x v="14"/>
    <x v="4"/>
    <s v="Prestación de Servicios Públicos"/>
    <x v="21"/>
    <x v="439"/>
    <x v="294"/>
    <x v="528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1"/>
    <m/>
    <x v="0"/>
    <x v="0"/>
    <m/>
    <n v="30975827"/>
    <n v="0"/>
    <n v="0"/>
    <n v="30975827"/>
    <n v="33884233"/>
    <m/>
    <x v="1"/>
    <n v="33884233"/>
  </r>
  <r>
    <x v="1"/>
    <x v="14"/>
    <x v="14"/>
    <x v="4"/>
    <s v="Prestación de Servicios Públicos"/>
    <x v="21"/>
    <x v="439"/>
    <x v="294"/>
    <x v="528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1"/>
    <m/>
    <x v="0"/>
    <x v="0"/>
    <m/>
    <n v="584768577"/>
    <n v="0"/>
    <n v="0"/>
    <n v="584768577"/>
    <n v="619065778"/>
    <m/>
    <x v="73"/>
    <n v="694065778"/>
  </r>
  <r>
    <x v="1"/>
    <x v="14"/>
    <x v="14"/>
    <x v="4"/>
    <s v="Prestación de Servicios Públicos"/>
    <x v="21"/>
    <x v="439"/>
    <x v="296"/>
    <x v="530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17241645"/>
    <n v="0"/>
    <n v="0"/>
    <n v="17241645"/>
    <n v="15567255"/>
    <m/>
    <x v="1"/>
    <n v="15567255"/>
  </r>
  <r>
    <x v="1"/>
    <x v="14"/>
    <x v="14"/>
    <x v="4"/>
    <s v="Prestación de Servicios Públicos"/>
    <x v="21"/>
    <x v="439"/>
    <x v="296"/>
    <x v="530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363005193"/>
    <n v="0"/>
    <n v="0"/>
    <n v="363005193"/>
    <n v="392089946"/>
    <m/>
    <x v="99"/>
    <n v="397889946"/>
  </r>
  <r>
    <x v="1"/>
    <x v="14"/>
    <x v="14"/>
    <x v="4"/>
    <s v="Prestación de Servicios Públicos"/>
    <x v="21"/>
    <x v="439"/>
    <x v="297"/>
    <x v="531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32915390"/>
    <n v="0"/>
    <n v="0"/>
    <n v="32915390"/>
    <n v="35701736"/>
    <m/>
    <x v="1"/>
    <n v="35701736"/>
  </r>
  <r>
    <x v="1"/>
    <x v="14"/>
    <x v="14"/>
    <x v="4"/>
    <s v="Prestación de Servicios Públicos"/>
    <x v="21"/>
    <x v="439"/>
    <x v="297"/>
    <x v="531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620804769"/>
    <n v="0"/>
    <n v="0"/>
    <n v="620804769"/>
    <n v="672377799"/>
    <m/>
    <x v="100"/>
    <n v="682177799"/>
  </r>
  <r>
    <x v="1"/>
    <x v="14"/>
    <x v="14"/>
    <x v="4"/>
    <s v="Prestación de Servicios Públicos"/>
    <x v="21"/>
    <x v="439"/>
    <x v="298"/>
    <x v="532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1"/>
    <m/>
    <x v="0"/>
    <x v="0"/>
    <m/>
    <n v="23392814"/>
    <n v="0"/>
    <n v="0"/>
    <n v="23392814"/>
    <n v="23071642"/>
    <m/>
    <x v="1"/>
    <n v="23071642"/>
  </r>
  <r>
    <x v="1"/>
    <x v="14"/>
    <x v="14"/>
    <x v="4"/>
    <s v="Prestación de Servicios Públicos"/>
    <x v="21"/>
    <x v="439"/>
    <x v="298"/>
    <x v="532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1"/>
    <m/>
    <x v="0"/>
    <x v="0"/>
    <m/>
    <n v="398017515"/>
    <n v="0"/>
    <n v="0"/>
    <n v="398017515"/>
    <n v="387533525"/>
    <m/>
    <x v="1"/>
    <n v="387533525"/>
  </r>
  <r>
    <x v="1"/>
    <x v="14"/>
    <x v="14"/>
    <x v="4"/>
    <s v="Prestación de Servicios Públicos"/>
    <x v="21"/>
    <x v="439"/>
    <x v="298"/>
    <x v="532"/>
    <n v="2"/>
    <s v="Desarrollo Social"/>
    <n v="1"/>
    <s v="Salud"/>
    <n v="2"/>
    <x v="30"/>
    <x v="12"/>
    <x v="105"/>
    <n v="2"/>
    <s v="Gasto de capital"/>
    <x v="0"/>
    <x v="0"/>
    <x v="0"/>
    <x v="0"/>
    <x v="0"/>
    <x v="0"/>
    <x v="1"/>
    <m/>
    <x v="0"/>
    <x v="0"/>
    <m/>
    <n v="5543964"/>
    <n v="0"/>
    <n v="0"/>
    <n v="5543964"/>
    <n v="10349039"/>
    <m/>
    <x v="1"/>
    <n v="10349039"/>
  </r>
  <r>
    <x v="1"/>
    <x v="14"/>
    <x v="14"/>
    <x v="4"/>
    <s v="Prestación de Servicios Públicos"/>
    <x v="21"/>
    <x v="439"/>
    <x v="299"/>
    <x v="533"/>
    <n v="2"/>
    <s v="Desarrollo Social"/>
    <n v="1"/>
    <s v="Salud"/>
    <n v="2"/>
    <x v="30"/>
    <x v="12"/>
    <x v="105"/>
    <n v="1"/>
    <s v="Gasto corriente"/>
    <x v="0"/>
    <x v="1"/>
    <x v="0"/>
    <x v="0"/>
    <x v="0"/>
    <x v="1"/>
    <x v="0"/>
    <m/>
    <x v="0"/>
    <x v="0"/>
    <m/>
    <n v="38531612"/>
    <n v="0"/>
    <n v="0"/>
    <n v="38531612"/>
    <n v="33574361"/>
    <m/>
    <x v="1"/>
    <n v="33574361"/>
  </r>
  <r>
    <x v="1"/>
    <x v="14"/>
    <x v="14"/>
    <x v="4"/>
    <s v="Prestación de Servicios Públicos"/>
    <x v="21"/>
    <x v="439"/>
    <x v="299"/>
    <x v="533"/>
    <n v="2"/>
    <s v="Desarrollo Social"/>
    <n v="1"/>
    <s v="Salud"/>
    <n v="2"/>
    <x v="30"/>
    <x v="12"/>
    <x v="105"/>
    <n v="1"/>
    <s v="Gasto corriente"/>
    <x v="0"/>
    <x v="0"/>
    <x v="0"/>
    <x v="0"/>
    <x v="0"/>
    <x v="1"/>
    <x v="0"/>
    <m/>
    <x v="0"/>
    <x v="0"/>
    <m/>
    <n v="613028088"/>
    <n v="0"/>
    <n v="0"/>
    <n v="613028088"/>
    <n v="641511657"/>
    <m/>
    <x v="101"/>
    <n v="703011657"/>
  </r>
  <r>
    <x v="1"/>
    <x v="14"/>
    <x v="14"/>
    <x v="4"/>
    <s v="Prestación de Servicios Públicos"/>
    <x v="21"/>
    <x v="439"/>
    <x v="301"/>
    <x v="535"/>
    <n v="2"/>
    <s v="Desarrollo Social"/>
    <n v="1"/>
    <s v="Salud"/>
    <n v="2"/>
    <x v="30"/>
    <x v="12"/>
    <x v="105"/>
    <n v="1"/>
    <s v="Gasto corriente"/>
    <x v="0"/>
    <x v="1"/>
    <x v="0"/>
    <x v="0"/>
    <x v="0"/>
    <x v="1"/>
    <x v="0"/>
    <m/>
    <x v="0"/>
    <x v="0"/>
    <m/>
    <n v="21259631"/>
    <n v="0"/>
    <n v="0"/>
    <n v="21259631"/>
    <n v="7781528"/>
    <m/>
    <x v="1"/>
    <n v="7781528"/>
  </r>
  <r>
    <x v="1"/>
    <x v="14"/>
    <x v="14"/>
    <x v="4"/>
    <s v="Prestación de Servicios Públicos"/>
    <x v="21"/>
    <x v="439"/>
    <x v="301"/>
    <x v="535"/>
    <n v="2"/>
    <s v="Desarrollo Social"/>
    <n v="1"/>
    <s v="Salud"/>
    <n v="2"/>
    <x v="30"/>
    <x v="12"/>
    <x v="105"/>
    <n v="1"/>
    <s v="Gasto corriente"/>
    <x v="0"/>
    <x v="0"/>
    <x v="0"/>
    <x v="0"/>
    <x v="0"/>
    <x v="1"/>
    <x v="0"/>
    <m/>
    <x v="0"/>
    <x v="0"/>
    <m/>
    <n v="414214865"/>
    <n v="0"/>
    <n v="0"/>
    <n v="414214865"/>
    <n v="259574502"/>
    <m/>
    <x v="1"/>
    <n v="259574502"/>
  </r>
  <r>
    <x v="1"/>
    <x v="14"/>
    <x v="14"/>
    <x v="4"/>
    <s v="Prestación de Servicios Públicos"/>
    <x v="0"/>
    <x v="440"/>
    <x v="55"/>
    <x v="550"/>
    <n v="2"/>
    <s v="Desarrollo Social"/>
    <n v="1"/>
    <s v="Salud"/>
    <n v="1"/>
    <x v="56"/>
    <x v="13"/>
    <x v="106"/>
    <n v="1"/>
    <s v="Gasto corriente"/>
    <x v="0"/>
    <x v="1"/>
    <x v="0"/>
    <x v="0"/>
    <x v="0"/>
    <x v="0"/>
    <x v="1"/>
    <m/>
    <x v="0"/>
    <x v="0"/>
    <m/>
    <n v="22028774"/>
    <n v="0"/>
    <n v="0"/>
    <n v="22028774"/>
    <n v="23310876"/>
    <m/>
    <x v="1"/>
    <n v="23310876"/>
  </r>
  <r>
    <x v="1"/>
    <x v="14"/>
    <x v="14"/>
    <x v="4"/>
    <s v="Prestación de Servicios Públicos"/>
    <x v="0"/>
    <x v="440"/>
    <x v="55"/>
    <x v="550"/>
    <n v="2"/>
    <s v="Desarrollo Social"/>
    <n v="1"/>
    <s v="Salud"/>
    <n v="1"/>
    <x v="56"/>
    <x v="13"/>
    <x v="106"/>
    <n v="1"/>
    <s v="Gasto corriente"/>
    <x v="0"/>
    <x v="0"/>
    <x v="0"/>
    <x v="0"/>
    <x v="0"/>
    <x v="0"/>
    <x v="1"/>
    <m/>
    <x v="0"/>
    <x v="0"/>
    <m/>
    <n v="420628216"/>
    <n v="20000000"/>
    <n v="-33379000"/>
    <n v="407249216"/>
    <n v="453222775"/>
    <m/>
    <x v="102"/>
    <n v="923222775"/>
  </r>
  <r>
    <x v="1"/>
    <x v="14"/>
    <x v="14"/>
    <x v="4"/>
    <s v="Prestación de Servicios Públicos"/>
    <x v="0"/>
    <x v="440"/>
    <x v="55"/>
    <x v="550"/>
    <n v="2"/>
    <s v="Desarrollo Social"/>
    <n v="1"/>
    <s v="Salud"/>
    <n v="1"/>
    <x v="56"/>
    <x v="24"/>
    <x v="107"/>
    <n v="1"/>
    <s v="Gasto corriente"/>
    <x v="0"/>
    <x v="0"/>
    <x v="0"/>
    <x v="0"/>
    <x v="0"/>
    <x v="0"/>
    <x v="1"/>
    <m/>
    <x v="0"/>
    <x v="0"/>
    <m/>
    <n v="0"/>
    <n v="40556478"/>
    <n v="0"/>
    <n v="40556478"/>
    <m/>
    <m/>
    <x v="1"/>
    <n v="0"/>
  </r>
  <r>
    <x v="1"/>
    <x v="14"/>
    <x v="14"/>
    <x v="4"/>
    <s v="Prestación de Servicios Públicos"/>
    <x v="0"/>
    <x v="440"/>
    <x v="55"/>
    <x v="550"/>
    <n v="2"/>
    <s v="Desarrollo Social"/>
    <n v="1"/>
    <s v="Salud"/>
    <n v="5"/>
    <x v="55"/>
    <x v="24"/>
    <x v="107"/>
    <n v="1"/>
    <s v="Gasto corriente"/>
    <x v="0"/>
    <x v="0"/>
    <x v="0"/>
    <x v="0"/>
    <x v="0"/>
    <x v="0"/>
    <x v="1"/>
    <m/>
    <x v="0"/>
    <x v="0"/>
    <m/>
    <m/>
    <m/>
    <m/>
    <m/>
    <n v="40000000"/>
    <m/>
    <x v="1"/>
    <n v="40000000"/>
  </r>
  <r>
    <x v="1"/>
    <x v="14"/>
    <x v="14"/>
    <x v="4"/>
    <s v="Prestación de Servicios Públicos"/>
    <x v="0"/>
    <x v="440"/>
    <x v="285"/>
    <x v="518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650000"/>
    <n v="0"/>
    <n v="0"/>
    <n v="650000"/>
    <n v="650000"/>
    <m/>
    <x v="1"/>
    <n v="650000"/>
  </r>
  <r>
    <x v="1"/>
    <x v="14"/>
    <x v="14"/>
    <x v="4"/>
    <s v="Prestación de Servicios Públicos"/>
    <x v="0"/>
    <x v="440"/>
    <x v="286"/>
    <x v="519"/>
    <n v="2"/>
    <s v="Desarrollo Social"/>
    <n v="1"/>
    <s v="Salud"/>
    <n v="1"/>
    <x v="56"/>
    <x v="13"/>
    <x v="106"/>
    <n v="1"/>
    <s v="Gasto corriente"/>
    <x v="0"/>
    <x v="1"/>
    <x v="0"/>
    <x v="0"/>
    <x v="0"/>
    <x v="0"/>
    <x v="0"/>
    <m/>
    <x v="1"/>
    <x v="0"/>
    <m/>
    <m/>
    <m/>
    <m/>
    <m/>
    <n v="10418870"/>
    <m/>
    <x v="1"/>
    <n v="10418870"/>
  </r>
  <r>
    <x v="1"/>
    <x v="14"/>
    <x v="14"/>
    <x v="4"/>
    <s v="Prestación de Servicios Públicos"/>
    <x v="0"/>
    <x v="440"/>
    <x v="286"/>
    <x v="519"/>
    <n v="2"/>
    <s v="Desarrollo Social"/>
    <n v="1"/>
    <s v="Salud"/>
    <n v="1"/>
    <x v="56"/>
    <x v="13"/>
    <x v="106"/>
    <n v="1"/>
    <s v="Gasto corriente"/>
    <x v="0"/>
    <x v="0"/>
    <x v="0"/>
    <x v="0"/>
    <x v="0"/>
    <x v="0"/>
    <x v="0"/>
    <m/>
    <x v="1"/>
    <x v="0"/>
    <m/>
    <n v="426053108"/>
    <n v="0"/>
    <n v="0"/>
    <n v="426053108"/>
    <n v="432968247"/>
    <m/>
    <x v="1"/>
    <n v="432968247"/>
  </r>
  <r>
    <x v="1"/>
    <x v="14"/>
    <x v="14"/>
    <x v="4"/>
    <s v="Prestación de Servicios Públicos"/>
    <x v="0"/>
    <x v="440"/>
    <x v="286"/>
    <x v="519"/>
    <n v="2"/>
    <s v="Desarrollo Social"/>
    <n v="1"/>
    <s v="Salud"/>
    <n v="1"/>
    <x v="56"/>
    <x v="13"/>
    <x v="106"/>
    <n v="2"/>
    <s v="Gasto de capital"/>
    <x v="0"/>
    <x v="0"/>
    <x v="0"/>
    <x v="0"/>
    <x v="0"/>
    <x v="0"/>
    <x v="0"/>
    <m/>
    <x v="1"/>
    <x v="0"/>
    <m/>
    <n v="216901"/>
    <n v="0"/>
    <n v="0"/>
    <n v="216901"/>
    <m/>
    <m/>
    <x v="1"/>
    <n v="0"/>
  </r>
  <r>
    <x v="1"/>
    <x v="14"/>
    <x v="14"/>
    <x v="4"/>
    <s v="Prestación de Servicios Públicos"/>
    <x v="55"/>
    <x v="441"/>
    <x v="307"/>
    <x v="546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1"/>
    <x v="0"/>
    <m/>
    <n v="1161867569"/>
    <n v="0"/>
    <n v="-6794581"/>
    <n v="1155072988"/>
    <n v="1211095203"/>
    <m/>
    <x v="1"/>
    <n v="1211095203"/>
  </r>
  <r>
    <x v="1"/>
    <x v="14"/>
    <x v="14"/>
    <x v="4"/>
    <s v="Prestación de Servicios Públicos"/>
    <x v="58"/>
    <x v="442"/>
    <x v="306"/>
    <x v="544"/>
    <n v="2"/>
    <s v="Desarrollo Social"/>
    <n v="1"/>
    <s v="Salud"/>
    <n v="1"/>
    <x v="56"/>
    <x v="8"/>
    <x v="108"/>
    <n v="1"/>
    <s v="Gasto corriente"/>
    <x v="0"/>
    <x v="1"/>
    <x v="0"/>
    <x v="0"/>
    <x v="0"/>
    <x v="0"/>
    <x v="0"/>
    <m/>
    <x v="0"/>
    <x v="0"/>
    <m/>
    <n v="20988738"/>
    <n v="0"/>
    <n v="0"/>
    <n v="20988738"/>
    <n v="21946883"/>
    <m/>
    <x v="1"/>
    <n v="21946883"/>
  </r>
  <r>
    <x v="1"/>
    <x v="14"/>
    <x v="14"/>
    <x v="4"/>
    <s v="Prestación de Servicios Públicos"/>
    <x v="58"/>
    <x v="442"/>
    <x v="306"/>
    <x v="544"/>
    <n v="2"/>
    <s v="Desarrollo Social"/>
    <n v="1"/>
    <s v="Salud"/>
    <n v="1"/>
    <x v="56"/>
    <x v="8"/>
    <x v="108"/>
    <n v="1"/>
    <s v="Gasto corriente"/>
    <x v="0"/>
    <x v="0"/>
    <x v="0"/>
    <x v="0"/>
    <x v="0"/>
    <x v="0"/>
    <x v="0"/>
    <m/>
    <x v="0"/>
    <x v="0"/>
    <m/>
    <n v="607698015"/>
    <n v="0"/>
    <n v="-5400000"/>
    <n v="602298015"/>
    <n v="825263954"/>
    <m/>
    <x v="103"/>
    <n v="1135263954"/>
  </r>
  <r>
    <x v="1"/>
    <x v="14"/>
    <x v="14"/>
    <x v="4"/>
    <s v="Prestación de Servicios Públicos"/>
    <x v="58"/>
    <x v="442"/>
    <x v="306"/>
    <x v="544"/>
    <n v="2"/>
    <s v="Desarrollo Social"/>
    <n v="1"/>
    <s v="Salud"/>
    <n v="1"/>
    <x v="56"/>
    <x v="8"/>
    <x v="108"/>
    <n v="2"/>
    <s v="Gasto de capital"/>
    <x v="0"/>
    <x v="0"/>
    <x v="0"/>
    <x v="0"/>
    <x v="0"/>
    <x v="0"/>
    <x v="0"/>
    <m/>
    <x v="0"/>
    <x v="0"/>
    <m/>
    <n v="18368730"/>
    <n v="0"/>
    <n v="0"/>
    <n v="18368730"/>
    <m/>
    <m/>
    <x v="1"/>
    <n v="0"/>
  </r>
  <r>
    <x v="1"/>
    <x v="14"/>
    <x v="14"/>
    <x v="4"/>
    <s v="Prestación de Servicios Públicos"/>
    <x v="58"/>
    <x v="442"/>
    <x v="306"/>
    <x v="544"/>
    <n v="2"/>
    <s v="Desarrollo Social"/>
    <n v="1"/>
    <s v="Salud"/>
    <n v="1"/>
    <x v="56"/>
    <x v="24"/>
    <x v="107"/>
    <n v="1"/>
    <s v="Gasto corriente"/>
    <x v="0"/>
    <x v="0"/>
    <x v="0"/>
    <x v="0"/>
    <x v="0"/>
    <x v="0"/>
    <x v="0"/>
    <m/>
    <x v="0"/>
    <x v="0"/>
    <m/>
    <n v="0"/>
    <n v="648666954"/>
    <n v="0"/>
    <n v="648666954"/>
    <m/>
    <m/>
    <x v="1"/>
    <n v="0"/>
  </r>
  <r>
    <x v="1"/>
    <x v="14"/>
    <x v="14"/>
    <x v="10"/>
    <s v="Regulación y supervisión"/>
    <x v="5"/>
    <x v="443"/>
    <x v="308"/>
    <x v="547"/>
    <n v="2"/>
    <s v="Desarrollo Social"/>
    <n v="1"/>
    <s v="Salud"/>
    <n v="1"/>
    <x v="56"/>
    <x v="17"/>
    <x v="109"/>
    <n v="1"/>
    <s v="Gasto corriente"/>
    <x v="0"/>
    <x v="1"/>
    <x v="0"/>
    <x v="0"/>
    <x v="0"/>
    <x v="0"/>
    <x v="0"/>
    <m/>
    <x v="0"/>
    <x v="0"/>
    <m/>
    <n v="29825366"/>
    <n v="0"/>
    <n v="0"/>
    <n v="29825366"/>
    <n v="31206865"/>
    <m/>
    <x v="1"/>
    <n v="31206865"/>
  </r>
  <r>
    <x v="1"/>
    <x v="14"/>
    <x v="14"/>
    <x v="10"/>
    <s v="Regulación y supervisión"/>
    <x v="5"/>
    <x v="443"/>
    <x v="308"/>
    <x v="547"/>
    <n v="2"/>
    <s v="Desarrollo Social"/>
    <n v="1"/>
    <s v="Salud"/>
    <n v="1"/>
    <x v="56"/>
    <x v="17"/>
    <x v="109"/>
    <n v="1"/>
    <s v="Gasto corriente"/>
    <x v="0"/>
    <x v="0"/>
    <x v="0"/>
    <x v="0"/>
    <x v="0"/>
    <x v="0"/>
    <x v="0"/>
    <m/>
    <x v="0"/>
    <x v="0"/>
    <m/>
    <n v="530272358"/>
    <n v="0"/>
    <n v="-17990000"/>
    <n v="512282358"/>
    <n v="528632997"/>
    <m/>
    <x v="104"/>
    <n v="682632997"/>
  </r>
  <r>
    <x v="1"/>
    <x v="14"/>
    <x v="14"/>
    <x v="10"/>
    <s v="Regulación y supervisión"/>
    <x v="5"/>
    <x v="443"/>
    <x v="308"/>
    <x v="547"/>
    <n v="2"/>
    <s v="Desarrollo Social"/>
    <n v="1"/>
    <s v="Salud"/>
    <n v="1"/>
    <x v="56"/>
    <x v="24"/>
    <x v="107"/>
    <n v="1"/>
    <s v="Gasto corriente"/>
    <x v="0"/>
    <x v="0"/>
    <x v="0"/>
    <x v="0"/>
    <x v="0"/>
    <x v="0"/>
    <x v="0"/>
    <m/>
    <x v="0"/>
    <x v="0"/>
    <m/>
    <n v="0"/>
    <n v="153767261"/>
    <n v="0"/>
    <n v="153767261"/>
    <m/>
    <m/>
    <x v="1"/>
    <n v="0"/>
  </r>
  <r>
    <x v="1"/>
    <x v="14"/>
    <x v="14"/>
    <x v="0"/>
    <s v="Proyectos de Inversión"/>
    <x v="12"/>
    <x v="444"/>
    <x v="82"/>
    <x v="537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356000000"/>
    <n v="202550000"/>
    <n v="0"/>
    <n v="558550000"/>
    <n v="189750000"/>
    <m/>
    <x v="105"/>
    <n v="373750000"/>
  </r>
  <r>
    <x v="1"/>
    <x v="14"/>
    <x v="14"/>
    <x v="0"/>
    <s v="Proyectos de Inversión"/>
    <x v="12"/>
    <x v="444"/>
    <x v="285"/>
    <x v="518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2043600"/>
    <n v="0"/>
    <n v="0"/>
    <n v="2043600"/>
    <m/>
    <m/>
    <x v="1"/>
    <n v="0"/>
  </r>
  <r>
    <x v="1"/>
    <x v="14"/>
    <x v="14"/>
    <x v="0"/>
    <s v="Proyectos de Inversión"/>
    <x v="12"/>
    <x v="444"/>
    <x v="286"/>
    <x v="519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1500000"/>
    <n v="0"/>
    <n v="0"/>
    <n v="1500000"/>
    <n v="10000000"/>
    <m/>
    <x v="1"/>
    <n v="10000000"/>
  </r>
  <r>
    <x v="1"/>
    <x v="14"/>
    <x v="14"/>
    <x v="0"/>
    <s v="Proyectos de Inversión"/>
    <x v="12"/>
    <x v="444"/>
    <x v="288"/>
    <x v="522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65000000"/>
    <n v="85000000"/>
    <n v="0"/>
    <n v="150000000"/>
    <n v="180000000"/>
    <m/>
    <x v="10"/>
    <n v="280000000"/>
  </r>
  <r>
    <x v="1"/>
    <x v="14"/>
    <x v="14"/>
    <x v="0"/>
    <s v="Proyectos de Inversión"/>
    <x v="12"/>
    <x v="444"/>
    <x v="289"/>
    <x v="523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m/>
    <m/>
    <m/>
    <m/>
    <n v="50000000"/>
    <m/>
    <x v="24"/>
    <n v="100000000"/>
  </r>
  <r>
    <x v="1"/>
    <x v="14"/>
    <x v="14"/>
    <x v="0"/>
    <s v="Proyectos de Inversión"/>
    <x v="12"/>
    <x v="444"/>
    <x v="290"/>
    <x v="524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2000000"/>
    <n v="0"/>
    <n v="0"/>
    <n v="2000000"/>
    <m/>
    <m/>
    <x v="1"/>
    <n v="0"/>
  </r>
  <r>
    <x v="1"/>
    <x v="14"/>
    <x v="14"/>
    <x v="0"/>
    <s v="Proyectos de Inversión"/>
    <x v="12"/>
    <x v="444"/>
    <x v="295"/>
    <x v="529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99562049"/>
    <n v="0"/>
    <n v="0"/>
    <n v="99562049"/>
    <m/>
    <m/>
    <x v="22"/>
    <n v="80000000"/>
  </r>
  <r>
    <x v="1"/>
    <x v="14"/>
    <x v="14"/>
    <x v="0"/>
    <s v="Proyectos de Inversión"/>
    <x v="12"/>
    <x v="444"/>
    <x v="299"/>
    <x v="533"/>
    <n v="2"/>
    <s v="Desarrollo Social"/>
    <n v="1"/>
    <s v="Salud"/>
    <n v="3"/>
    <x v="53"/>
    <x v="19"/>
    <x v="102"/>
    <n v="2"/>
    <s v="Gasto de capital"/>
    <x v="0"/>
    <x v="0"/>
    <x v="0"/>
    <x v="0"/>
    <x v="0"/>
    <x v="1"/>
    <x v="0"/>
    <m/>
    <x v="0"/>
    <x v="0"/>
    <m/>
    <n v="243000000"/>
    <n v="0"/>
    <n v="0"/>
    <n v="243000000"/>
    <n v="65000000"/>
    <m/>
    <x v="106"/>
    <n v="141000000"/>
  </r>
  <r>
    <x v="1"/>
    <x v="14"/>
    <x v="14"/>
    <x v="0"/>
    <s v="Proyectos de Inversión"/>
    <x v="12"/>
    <x v="444"/>
    <x v="300"/>
    <x v="534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m/>
    <m/>
    <m/>
    <m/>
    <n v="2000000"/>
    <m/>
    <x v="1"/>
    <n v="2000000"/>
  </r>
  <r>
    <x v="1"/>
    <x v="14"/>
    <x v="14"/>
    <x v="0"/>
    <s v="Proyectos de Inversión"/>
    <x v="12"/>
    <x v="444"/>
    <x v="310"/>
    <x v="551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100000000"/>
    <n v="0"/>
    <n v="0"/>
    <n v="100000000"/>
    <n v="0"/>
    <m/>
    <x v="1"/>
    <n v="0"/>
  </r>
  <r>
    <x v="1"/>
    <x v="14"/>
    <x v="14"/>
    <x v="0"/>
    <s v="Proyectos de Inversión"/>
    <x v="0"/>
    <x v="0"/>
    <x v="81"/>
    <x v="71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46913002"/>
    <n v="0"/>
    <n v="0"/>
    <n v="46913002"/>
    <n v="46913002"/>
    <m/>
    <x v="1"/>
    <n v="46913002"/>
  </r>
  <r>
    <x v="1"/>
    <x v="14"/>
    <x v="14"/>
    <x v="0"/>
    <s v="Proyectos de Inversión"/>
    <x v="0"/>
    <x v="0"/>
    <x v="308"/>
    <x v="547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5905722"/>
    <n v="0"/>
    <n v="0"/>
    <n v="5905722"/>
    <n v="5905722"/>
    <m/>
    <x v="1"/>
    <n v="5905722"/>
  </r>
  <r>
    <x v="1"/>
    <x v="14"/>
    <x v="14"/>
    <x v="0"/>
    <s v="Proyectos de Inversión"/>
    <x v="1"/>
    <x v="1"/>
    <x v="283"/>
    <x v="515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9790000"/>
    <n v="0"/>
    <n v="-9790000"/>
    <n v="0"/>
    <m/>
    <m/>
    <x v="1"/>
    <n v="0"/>
  </r>
  <r>
    <x v="1"/>
    <x v="14"/>
    <x v="14"/>
    <x v="0"/>
    <s v="Proyectos de Inversión"/>
    <x v="1"/>
    <x v="1"/>
    <x v="285"/>
    <x v="518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2656400"/>
    <n v="0"/>
    <n v="-1200000"/>
    <n v="1456400"/>
    <n v="1564000"/>
    <m/>
    <x v="1"/>
    <n v="1564000"/>
  </r>
  <r>
    <x v="1"/>
    <x v="14"/>
    <x v="14"/>
    <x v="0"/>
    <s v="Proyectos de Inversión"/>
    <x v="1"/>
    <x v="1"/>
    <x v="286"/>
    <x v="519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1320000"/>
    <n v="0"/>
    <n v="-1320000"/>
    <n v="0"/>
    <m/>
    <m/>
    <x v="1"/>
    <n v="0"/>
  </r>
  <r>
    <x v="1"/>
    <x v="14"/>
    <x v="14"/>
    <x v="0"/>
    <s v="Proyectos de Inversión"/>
    <x v="1"/>
    <x v="1"/>
    <x v="34"/>
    <x v="520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21440000"/>
    <n v="0"/>
    <n v="-21440000"/>
    <n v="0"/>
    <m/>
    <m/>
    <x v="1"/>
    <n v="0"/>
  </r>
  <r>
    <x v="1"/>
    <x v="14"/>
    <x v="14"/>
    <x v="0"/>
    <s v="Proyectos de Inversión"/>
    <x v="1"/>
    <x v="1"/>
    <x v="287"/>
    <x v="521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6600000"/>
    <n v="0"/>
    <n v="-6600000"/>
    <n v="0"/>
    <m/>
    <m/>
    <x v="1"/>
    <n v="0"/>
  </r>
  <r>
    <x v="1"/>
    <x v="14"/>
    <x v="14"/>
    <x v="0"/>
    <s v="Proyectos de Inversión"/>
    <x v="1"/>
    <x v="1"/>
    <x v="289"/>
    <x v="523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19466500"/>
    <n v="0"/>
    <n v="-12300000"/>
    <n v="7166500"/>
    <n v="7500000"/>
    <m/>
    <x v="1"/>
    <n v="7500000"/>
  </r>
  <r>
    <x v="1"/>
    <x v="14"/>
    <x v="14"/>
    <x v="0"/>
    <s v="Proyectos de Inversión"/>
    <x v="1"/>
    <x v="1"/>
    <x v="290"/>
    <x v="524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10800000"/>
    <n v="0"/>
    <n v="-10800000"/>
    <n v="0"/>
    <m/>
    <m/>
    <x v="1"/>
    <n v="0"/>
  </r>
  <r>
    <x v="1"/>
    <x v="14"/>
    <x v="14"/>
    <x v="0"/>
    <s v="Proyectos de Inversión"/>
    <x v="1"/>
    <x v="1"/>
    <x v="291"/>
    <x v="525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1"/>
    <m/>
    <x v="0"/>
    <x v="0"/>
    <m/>
    <n v="6950000"/>
    <n v="0"/>
    <n v="-6950000"/>
    <n v="0"/>
    <m/>
    <m/>
    <x v="0"/>
    <n v="200000000"/>
  </r>
  <r>
    <x v="1"/>
    <x v="14"/>
    <x v="14"/>
    <x v="0"/>
    <s v="Proyectos de Inversión"/>
    <x v="1"/>
    <x v="1"/>
    <x v="292"/>
    <x v="526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9200000"/>
    <n v="0"/>
    <n v="-9200000"/>
    <n v="0"/>
    <m/>
    <m/>
    <x v="1"/>
    <n v="0"/>
  </r>
  <r>
    <x v="1"/>
    <x v="14"/>
    <x v="14"/>
    <x v="0"/>
    <s v="Proyectos de Inversión"/>
    <x v="1"/>
    <x v="1"/>
    <x v="293"/>
    <x v="527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2000000"/>
    <n v="0"/>
    <n v="0"/>
    <n v="2000000"/>
    <n v="2000000"/>
    <m/>
    <x v="1"/>
    <n v="2000000"/>
  </r>
  <r>
    <x v="1"/>
    <x v="14"/>
    <x v="14"/>
    <x v="0"/>
    <s v="Proyectos de Inversión"/>
    <x v="1"/>
    <x v="1"/>
    <x v="294"/>
    <x v="528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11800000"/>
    <n v="0"/>
    <n v="-11800000"/>
    <n v="0"/>
    <m/>
    <m/>
    <x v="1"/>
    <n v="0"/>
  </r>
  <r>
    <x v="1"/>
    <x v="14"/>
    <x v="14"/>
    <x v="0"/>
    <s v="Proyectos de Inversión"/>
    <x v="1"/>
    <x v="1"/>
    <x v="296"/>
    <x v="530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10900000"/>
    <n v="0"/>
    <n v="-10900000"/>
    <n v="0"/>
    <m/>
    <m/>
    <x v="1"/>
    <n v="0"/>
  </r>
  <r>
    <x v="1"/>
    <x v="14"/>
    <x v="14"/>
    <x v="0"/>
    <s v="Proyectos de Inversión"/>
    <x v="1"/>
    <x v="1"/>
    <x v="297"/>
    <x v="531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20224884"/>
    <n v="0"/>
    <n v="-10400000"/>
    <n v="9824884"/>
    <m/>
    <m/>
    <x v="1"/>
    <n v="0"/>
  </r>
  <r>
    <x v="1"/>
    <x v="14"/>
    <x v="14"/>
    <x v="0"/>
    <s v="Proyectos de Inversión"/>
    <x v="1"/>
    <x v="1"/>
    <x v="298"/>
    <x v="532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6400000"/>
    <n v="0"/>
    <n v="-6400000"/>
    <n v="0"/>
    <m/>
    <m/>
    <x v="1"/>
    <n v="0"/>
  </r>
  <r>
    <x v="1"/>
    <x v="14"/>
    <x v="14"/>
    <x v="0"/>
    <s v="Proyectos de Inversión"/>
    <x v="1"/>
    <x v="1"/>
    <x v="300"/>
    <x v="534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9900000"/>
    <n v="0"/>
    <n v="-5900000"/>
    <n v="4000000"/>
    <m/>
    <m/>
    <x v="1"/>
    <n v="0"/>
  </r>
  <r>
    <x v="1"/>
    <x v="14"/>
    <x v="14"/>
    <x v="2"/>
    <s v="Apoyo al proceso presupuestario y para mejorar la eficiencia institucional"/>
    <x v="2"/>
    <x v="34"/>
    <x v="1"/>
    <x v="78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1941775"/>
    <n v="0"/>
    <n v="0"/>
    <n v="1941775"/>
    <n v="1305719"/>
    <m/>
    <x v="1"/>
    <n v="1305719"/>
  </r>
  <r>
    <x v="1"/>
    <x v="14"/>
    <x v="14"/>
    <x v="2"/>
    <s v="Apoyo al proceso presupuestario y para mejorar la eficiencia institucional"/>
    <x v="2"/>
    <x v="34"/>
    <x v="1"/>
    <x v="78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9254754"/>
    <n v="0"/>
    <n v="0"/>
    <n v="39254754"/>
    <n v="13710998"/>
    <m/>
    <x v="1"/>
    <n v="13710998"/>
  </r>
  <r>
    <x v="1"/>
    <x v="14"/>
    <x v="14"/>
    <x v="2"/>
    <s v="Apoyo al proceso presupuestario y para mejorar la eficiencia institucional"/>
    <x v="2"/>
    <x v="34"/>
    <x v="22"/>
    <x v="43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1441"/>
    <n v="0"/>
    <n v="0"/>
    <n v="11441"/>
    <n v="7612"/>
    <m/>
    <x v="1"/>
    <n v="7612"/>
  </r>
  <r>
    <x v="1"/>
    <x v="14"/>
    <x v="14"/>
    <x v="2"/>
    <s v="Apoyo al proceso presupuestario y para mejorar la eficiencia institucional"/>
    <x v="2"/>
    <x v="34"/>
    <x v="23"/>
    <x v="93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1759534"/>
    <n v="0"/>
    <n v="0"/>
    <n v="1759534"/>
    <n v="585484"/>
    <m/>
    <x v="1"/>
    <n v="585484"/>
  </r>
  <r>
    <x v="1"/>
    <x v="14"/>
    <x v="14"/>
    <x v="2"/>
    <s v="Apoyo al proceso presupuestario y para mejorar la eficiencia institucional"/>
    <x v="2"/>
    <x v="34"/>
    <x v="23"/>
    <x v="93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23057153"/>
    <n v="0"/>
    <n v="0"/>
    <n v="23057153"/>
    <n v="9640054"/>
    <m/>
    <x v="1"/>
    <n v="9640054"/>
  </r>
  <r>
    <x v="1"/>
    <x v="14"/>
    <x v="14"/>
    <x v="2"/>
    <s v="Apoyo al proceso presupuestario y para mejorar la eficiencia institucional"/>
    <x v="2"/>
    <x v="34"/>
    <x v="19"/>
    <x v="40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0701"/>
    <n v="0"/>
    <n v="-18649"/>
    <n v="12052"/>
    <n v="7966"/>
    <m/>
    <x v="1"/>
    <n v="7966"/>
  </r>
  <r>
    <x v="1"/>
    <x v="14"/>
    <x v="14"/>
    <x v="2"/>
    <s v="Apoyo al proceso presupuestario y para mejorar la eficiencia institucional"/>
    <x v="2"/>
    <x v="34"/>
    <x v="21"/>
    <x v="552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299128"/>
    <n v="0"/>
    <n v="0"/>
    <n v="299128"/>
    <n v="247552"/>
    <m/>
    <x v="1"/>
    <n v="247552"/>
  </r>
  <r>
    <x v="1"/>
    <x v="14"/>
    <x v="14"/>
    <x v="2"/>
    <s v="Apoyo al proceso presupuestario y para mejorar la eficiencia institucional"/>
    <x v="2"/>
    <x v="34"/>
    <x v="21"/>
    <x v="552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373189"/>
    <n v="0"/>
    <n v="0"/>
    <n v="3373189"/>
    <n v="2600226"/>
    <m/>
    <x v="1"/>
    <n v="2600226"/>
  </r>
  <r>
    <x v="1"/>
    <x v="14"/>
    <x v="14"/>
    <x v="2"/>
    <s v="Apoyo al proceso presupuestario y para mejorar la eficiencia institucional"/>
    <x v="2"/>
    <x v="34"/>
    <x v="283"/>
    <x v="515"/>
    <n v="2"/>
    <s v="Desarrollo Social"/>
    <n v="1"/>
    <s v="Salud"/>
    <n v="2"/>
    <x v="30"/>
    <x v="3"/>
    <x v="12"/>
    <n v="1"/>
    <s v="Gasto corriente"/>
    <x v="0"/>
    <x v="1"/>
    <x v="0"/>
    <x v="0"/>
    <x v="0"/>
    <x v="0"/>
    <x v="0"/>
    <m/>
    <x v="0"/>
    <x v="0"/>
    <m/>
    <n v="1127466"/>
    <n v="0"/>
    <n v="0"/>
    <n v="1127466"/>
    <n v="262238"/>
    <m/>
    <x v="1"/>
    <n v="262238"/>
  </r>
  <r>
    <x v="1"/>
    <x v="14"/>
    <x v="14"/>
    <x v="2"/>
    <s v="Apoyo al proceso presupuestario y para mejorar la eficiencia institucional"/>
    <x v="2"/>
    <x v="34"/>
    <x v="283"/>
    <x v="515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47593158"/>
    <n v="0"/>
    <n v="-380000"/>
    <n v="47213158"/>
    <n v="14054465"/>
    <m/>
    <x v="1"/>
    <n v="14054465"/>
  </r>
  <r>
    <x v="1"/>
    <x v="14"/>
    <x v="14"/>
    <x v="2"/>
    <s v="Apoyo al proceso presupuestario y para mejorar la eficiencia institucional"/>
    <x v="2"/>
    <x v="34"/>
    <x v="283"/>
    <x v="515"/>
    <n v="2"/>
    <s v="Desarrollo Social"/>
    <n v="1"/>
    <s v="Salud"/>
    <n v="3"/>
    <x v="53"/>
    <x v="3"/>
    <x v="12"/>
    <n v="1"/>
    <s v="Gasto corriente"/>
    <x v="0"/>
    <x v="0"/>
    <x v="0"/>
    <x v="0"/>
    <x v="0"/>
    <x v="0"/>
    <x v="0"/>
    <m/>
    <x v="0"/>
    <x v="0"/>
    <m/>
    <n v="73000"/>
    <n v="0"/>
    <n v="0"/>
    <n v="73000"/>
    <m/>
    <m/>
    <x v="1"/>
    <n v="0"/>
  </r>
  <r>
    <x v="1"/>
    <x v="14"/>
    <x v="14"/>
    <x v="2"/>
    <s v="Apoyo al proceso presupuestario y para mejorar la eficiencia institucional"/>
    <x v="2"/>
    <x v="34"/>
    <x v="283"/>
    <x v="515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9500"/>
    <n v="0"/>
    <n v="0"/>
    <n v="39500"/>
    <n v="106883"/>
    <m/>
    <x v="1"/>
    <n v="106883"/>
  </r>
  <r>
    <x v="1"/>
    <x v="14"/>
    <x v="14"/>
    <x v="2"/>
    <s v="Apoyo al proceso presupuestario y para mejorar la eficiencia institucional"/>
    <x v="2"/>
    <x v="34"/>
    <x v="311"/>
    <x v="553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499959"/>
    <n v="0"/>
    <n v="0"/>
    <n v="499959"/>
    <n v="436317"/>
    <m/>
    <x v="1"/>
    <n v="436317"/>
  </r>
  <r>
    <x v="1"/>
    <x v="14"/>
    <x v="14"/>
    <x v="2"/>
    <s v="Apoyo al proceso presupuestario y para mejorar la eficiencia institucional"/>
    <x v="2"/>
    <x v="34"/>
    <x v="311"/>
    <x v="553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6274593"/>
    <n v="0"/>
    <n v="0"/>
    <n v="6274593"/>
    <n v="4867272"/>
    <m/>
    <x v="1"/>
    <n v="4867272"/>
  </r>
  <r>
    <x v="1"/>
    <x v="14"/>
    <x v="14"/>
    <x v="2"/>
    <s v="Apoyo al proceso presupuestario y para mejorar la eficiencia institucional"/>
    <x v="2"/>
    <x v="34"/>
    <x v="312"/>
    <x v="554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699256"/>
    <n v="0"/>
    <n v="0"/>
    <n v="699256"/>
    <n v="545408"/>
    <m/>
    <x v="1"/>
    <n v="545408"/>
  </r>
  <r>
    <x v="1"/>
    <x v="14"/>
    <x v="14"/>
    <x v="2"/>
    <s v="Apoyo al proceso presupuestario y para mejorar la eficiencia institucional"/>
    <x v="2"/>
    <x v="34"/>
    <x v="312"/>
    <x v="554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7706286"/>
    <n v="0"/>
    <n v="0"/>
    <n v="7706286"/>
    <n v="5564178"/>
    <m/>
    <x v="1"/>
    <n v="5564178"/>
  </r>
  <r>
    <x v="1"/>
    <x v="14"/>
    <x v="14"/>
    <x v="2"/>
    <s v="Apoyo al proceso presupuestario y para mejorar la eficiencia institucional"/>
    <x v="2"/>
    <x v="34"/>
    <x v="302"/>
    <x v="474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482855"/>
    <n v="0"/>
    <n v="0"/>
    <n v="482855"/>
    <n v="385004"/>
    <m/>
    <x v="1"/>
    <n v="385004"/>
  </r>
  <r>
    <x v="1"/>
    <x v="14"/>
    <x v="14"/>
    <x v="2"/>
    <s v="Apoyo al proceso presupuestario y para mejorar la eficiencia institucional"/>
    <x v="2"/>
    <x v="34"/>
    <x v="302"/>
    <x v="474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9195956"/>
    <n v="0"/>
    <n v="0"/>
    <n v="9195956"/>
    <n v="6808389"/>
    <m/>
    <x v="1"/>
    <n v="6808389"/>
  </r>
  <r>
    <x v="1"/>
    <x v="14"/>
    <x v="14"/>
    <x v="2"/>
    <s v="Apoyo al proceso presupuestario y para mejorar la eficiencia institucional"/>
    <x v="2"/>
    <x v="34"/>
    <x v="7"/>
    <x v="555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137683"/>
    <n v="0"/>
    <n v="0"/>
    <n v="137683"/>
    <n v="27073"/>
    <m/>
    <x v="1"/>
    <n v="27073"/>
  </r>
  <r>
    <x v="1"/>
    <x v="14"/>
    <x v="14"/>
    <x v="2"/>
    <s v="Apoyo al proceso presupuestario y para mejorar la eficiencia institucional"/>
    <x v="2"/>
    <x v="34"/>
    <x v="7"/>
    <x v="555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058921"/>
    <n v="0"/>
    <n v="0"/>
    <n v="3058921"/>
    <n v="1344737"/>
    <m/>
    <x v="1"/>
    <n v="1344737"/>
  </r>
  <r>
    <x v="1"/>
    <x v="14"/>
    <x v="14"/>
    <x v="2"/>
    <s v="Apoyo al proceso presupuestario y para mejorar la eficiencia institucional"/>
    <x v="2"/>
    <x v="34"/>
    <x v="53"/>
    <x v="556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561189"/>
    <n v="0"/>
    <n v="0"/>
    <n v="1561189"/>
    <n v="1161494"/>
    <m/>
    <x v="1"/>
    <n v="1161494"/>
  </r>
  <r>
    <x v="1"/>
    <x v="14"/>
    <x v="14"/>
    <x v="2"/>
    <s v="Apoyo al proceso presupuestario y para mejorar la eficiencia institucional"/>
    <x v="2"/>
    <x v="34"/>
    <x v="55"/>
    <x v="550"/>
    <n v="2"/>
    <s v="Desarrollo Social"/>
    <n v="1"/>
    <s v="Salud"/>
    <n v="1"/>
    <x v="56"/>
    <x v="3"/>
    <x v="12"/>
    <n v="1"/>
    <s v="Gasto corriente"/>
    <x v="0"/>
    <x v="0"/>
    <x v="0"/>
    <x v="0"/>
    <x v="0"/>
    <x v="0"/>
    <x v="0"/>
    <m/>
    <x v="0"/>
    <x v="0"/>
    <m/>
    <n v="352000"/>
    <n v="0"/>
    <n v="0"/>
    <n v="352000"/>
    <n v="261881"/>
    <m/>
    <x v="1"/>
    <n v="261881"/>
  </r>
  <r>
    <x v="1"/>
    <x v="14"/>
    <x v="14"/>
    <x v="2"/>
    <s v="Apoyo al proceso presupuestario y para mejorar la eficiencia institucional"/>
    <x v="2"/>
    <x v="34"/>
    <x v="161"/>
    <x v="557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95249"/>
    <n v="0"/>
    <n v="0"/>
    <n v="95249"/>
    <n v="70863"/>
    <m/>
    <x v="1"/>
    <n v="70863"/>
  </r>
  <r>
    <x v="1"/>
    <x v="14"/>
    <x v="14"/>
    <x v="2"/>
    <s v="Apoyo al proceso presupuestario y para mejorar la eficiencia institucional"/>
    <x v="2"/>
    <x v="34"/>
    <x v="278"/>
    <x v="558"/>
    <n v="2"/>
    <s v="Desarrollo Social"/>
    <n v="1"/>
    <s v="Salud"/>
    <n v="4"/>
    <x v="57"/>
    <x v="3"/>
    <x v="12"/>
    <n v="1"/>
    <s v="Gasto corriente"/>
    <x v="0"/>
    <x v="0"/>
    <x v="0"/>
    <x v="0"/>
    <x v="0"/>
    <x v="1"/>
    <x v="0"/>
    <m/>
    <x v="0"/>
    <x v="0"/>
    <m/>
    <n v="43683"/>
    <n v="0"/>
    <n v="0"/>
    <n v="43683"/>
    <n v="32499"/>
    <m/>
    <x v="1"/>
    <n v="32499"/>
  </r>
  <r>
    <x v="1"/>
    <x v="14"/>
    <x v="14"/>
    <x v="2"/>
    <s v="Apoyo al proceso presupuestario y para mejorar la eficiencia institucional"/>
    <x v="2"/>
    <x v="34"/>
    <x v="247"/>
    <x v="559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295516"/>
    <n v="0"/>
    <n v="0"/>
    <n v="295516"/>
    <n v="219858"/>
    <m/>
    <x v="1"/>
    <n v="219858"/>
  </r>
  <r>
    <x v="1"/>
    <x v="14"/>
    <x v="14"/>
    <x v="2"/>
    <s v="Apoyo al proceso presupuestario y para mejorar la eficiencia institucional"/>
    <x v="2"/>
    <x v="34"/>
    <x v="58"/>
    <x v="560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1474738"/>
    <n v="0"/>
    <n v="0"/>
    <n v="1474738"/>
    <n v="1445753"/>
    <m/>
    <x v="1"/>
    <n v="1445753"/>
  </r>
  <r>
    <x v="1"/>
    <x v="14"/>
    <x v="14"/>
    <x v="2"/>
    <s v="Apoyo al proceso presupuestario y para mejorar la eficiencia institucional"/>
    <x v="2"/>
    <x v="34"/>
    <x v="58"/>
    <x v="560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48746909"/>
    <n v="0"/>
    <n v="0"/>
    <n v="48746909"/>
    <n v="43986274"/>
    <m/>
    <x v="1"/>
    <n v="43986274"/>
  </r>
  <r>
    <x v="1"/>
    <x v="14"/>
    <x v="14"/>
    <x v="2"/>
    <s v="Apoyo al proceso presupuestario y para mejorar la eficiencia institucional"/>
    <x v="2"/>
    <x v="34"/>
    <x v="59"/>
    <x v="119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3697736"/>
    <n v="0"/>
    <n v="0"/>
    <n v="3697736"/>
    <n v="3553011"/>
    <m/>
    <x v="1"/>
    <n v="3553011"/>
  </r>
  <r>
    <x v="1"/>
    <x v="14"/>
    <x v="14"/>
    <x v="2"/>
    <s v="Apoyo al proceso presupuestario y para mejorar la eficiencia institucional"/>
    <x v="2"/>
    <x v="34"/>
    <x v="59"/>
    <x v="119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87771570"/>
    <n v="0"/>
    <n v="0"/>
    <n v="87771570"/>
    <n v="75757247"/>
    <m/>
    <x v="1"/>
    <n v="75757247"/>
  </r>
  <r>
    <x v="1"/>
    <x v="14"/>
    <x v="14"/>
    <x v="2"/>
    <s v="Apoyo al proceso presupuestario y para mejorar la eficiencia institucional"/>
    <x v="2"/>
    <x v="34"/>
    <x v="85"/>
    <x v="72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443323"/>
    <n v="0"/>
    <n v="0"/>
    <n v="443323"/>
    <n v="293824"/>
    <m/>
    <x v="1"/>
    <n v="293824"/>
  </r>
  <r>
    <x v="1"/>
    <x v="14"/>
    <x v="14"/>
    <x v="2"/>
    <s v="Apoyo al proceso presupuestario y para mejorar la eficiencia institucional"/>
    <x v="2"/>
    <x v="34"/>
    <x v="81"/>
    <x v="71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5350166"/>
    <n v="0"/>
    <n v="0"/>
    <n v="5350166"/>
    <n v="4884455"/>
    <m/>
    <x v="1"/>
    <n v="4884455"/>
  </r>
  <r>
    <x v="1"/>
    <x v="14"/>
    <x v="14"/>
    <x v="2"/>
    <s v="Apoyo al proceso presupuestario y para mejorar la eficiencia institucional"/>
    <x v="2"/>
    <x v="34"/>
    <x v="81"/>
    <x v="71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57136138"/>
    <n v="0"/>
    <n v="0"/>
    <n v="157136138"/>
    <n v="125387982"/>
    <m/>
    <x v="1"/>
    <n v="125387982"/>
  </r>
  <r>
    <x v="1"/>
    <x v="14"/>
    <x v="14"/>
    <x v="2"/>
    <s v="Apoyo al proceso presupuestario y para mejorar la eficiencia institucional"/>
    <x v="2"/>
    <x v="34"/>
    <x v="105"/>
    <x v="69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20170985"/>
    <n v="0"/>
    <n v="0"/>
    <n v="20170985"/>
    <n v="47686824"/>
    <m/>
    <x v="1"/>
    <n v="47686824"/>
  </r>
  <r>
    <x v="1"/>
    <x v="14"/>
    <x v="14"/>
    <x v="2"/>
    <s v="Apoyo al proceso presupuestario y para mejorar la eficiencia institucional"/>
    <x v="2"/>
    <x v="34"/>
    <x v="105"/>
    <x v="69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418403902"/>
    <n v="0"/>
    <n v="0"/>
    <n v="418403902"/>
    <n v="888160939"/>
    <m/>
    <x v="1"/>
    <n v="888160939"/>
  </r>
  <r>
    <x v="1"/>
    <x v="14"/>
    <x v="14"/>
    <x v="2"/>
    <s v="Apoyo al proceso presupuestario y para mejorar la eficiencia institucional"/>
    <x v="2"/>
    <x v="34"/>
    <x v="82"/>
    <x v="537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444552"/>
    <n v="0"/>
    <n v="0"/>
    <n v="1444552"/>
    <n v="874718"/>
    <m/>
    <x v="1"/>
    <n v="874718"/>
  </r>
  <r>
    <x v="1"/>
    <x v="14"/>
    <x v="14"/>
    <x v="2"/>
    <s v="Apoyo al proceso presupuestario y para mejorar la eficiencia institucional"/>
    <x v="2"/>
    <x v="34"/>
    <x v="74"/>
    <x v="561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1111565"/>
    <n v="0"/>
    <n v="0"/>
    <n v="1111565"/>
    <n v="231583"/>
    <m/>
    <x v="1"/>
    <n v="231583"/>
  </r>
  <r>
    <x v="1"/>
    <x v="14"/>
    <x v="14"/>
    <x v="2"/>
    <s v="Apoyo al proceso presupuestario y para mejorar la eficiencia institucional"/>
    <x v="2"/>
    <x v="34"/>
    <x v="74"/>
    <x v="561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9324579"/>
    <n v="0"/>
    <n v="0"/>
    <n v="19324579"/>
    <n v="8098940"/>
    <m/>
    <x v="1"/>
    <n v="8098940"/>
  </r>
  <r>
    <x v="1"/>
    <x v="14"/>
    <x v="14"/>
    <x v="2"/>
    <s v="Apoyo al proceso presupuestario y para mejorar la eficiencia institucional"/>
    <x v="2"/>
    <x v="34"/>
    <x v="75"/>
    <x v="516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3116678"/>
    <n v="0"/>
    <n v="0"/>
    <n v="3116678"/>
    <n v="463856"/>
    <m/>
    <x v="1"/>
    <n v="463856"/>
  </r>
  <r>
    <x v="1"/>
    <x v="14"/>
    <x v="14"/>
    <x v="2"/>
    <s v="Apoyo al proceso presupuestario y para mejorar la eficiencia institucional"/>
    <x v="2"/>
    <x v="34"/>
    <x v="75"/>
    <x v="516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48108753"/>
    <n v="0"/>
    <n v="0"/>
    <n v="48108753"/>
    <n v="16719991"/>
    <m/>
    <x v="1"/>
    <n v="16719991"/>
  </r>
  <r>
    <x v="1"/>
    <x v="14"/>
    <x v="14"/>
    <x v="2"/>
    <s v="Apoyo al proceso presupuestario y para mejorar la eficiencia institucional"/>
    <x v="2"/>
    <x v="34"/>
    <x v="72"/>
    <x v="562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5725021"/>
    <n v="0"/>
    <n v="0"/>
    <n v="15725021"/>
    <n v="11699107"/>
    <m/>
    <x v="1"/>
    <n v="11699107"/>
  </r>
  <r>
    <x v="1"/>
    <x v="14"/>
    <x v="14"/>
    <x v="2"/>
    <s v="Apoyo al proceso presupuestario y para mejorar la eficiencia institucional"/>
    <x v="2"/>
    <x v="34"/>
    <x v="77"/>
    <x v="563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916840"/>
    <n v="0"/>
    <n v="0"/>
    <n v="916840"/>
    <n v="450567"/>
    <m/>
    <x v="1"/>
    <n v="450567"/>
  </r>
  <r>
    <x v="1"/>
    <x v="14"/>
    <x v="14"/>
    <x v="2"/>
    <s v="Apoyo al proceso presupuestario y para mejorar la eficiencia institucional"/>
    <x v="2"/>
    <x v="34"/>
    <x v="77"/>
    <x v="563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5698106"/>
    <n v="0"/>
    <n v="0"/>
    <n v="15698106"/>
    <n v="5470480"/>
    <m/>
    <x v="1"/>
    <n v="5470480"/>
  </r>
  <r>
    <x v="1"/>
    <x v="14"/>
    <x v="14"/>
    <x v="2"/>
    <s v="Apoyo al proceso presupuestario y para mejorar la eficiencia institucional"/>
    <x v="2"/>
    <x v="34"/>
    <x v="78"/>
    <x v="564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264588"/>
    <n v="0"/>
    <n v="0"/>
    <n v="264588"/>
    <n v="185090"/>
    <m/>
    <x v="1"/>
    <n v="185090"/>
  </r>
  <r>
    <x v="1"/>
    <x v="14"/>
    <x v="14"/>
    <x v="2"/>
    <s v="Apoyo al proceso presupuestario y para mejorar la eficiencia institucional"/>
    <x v="2"/>
    <x v="34"/>
    <x v="78"/>
    <x v="564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5336586"/>
    <n v="0"/>
    <n v="0"/>
    <n v="5336586"/>
    <n v="4231810"/>
    <m/>
    <x v="1"/>
    <n v="4231810"/>
  </r>
  <r>
    <x v="1"/>
    <x v="14"/>
    <x v="14"/>
    <x v="2"/>
    <s v="Apoyo al proceso presupuestario y para mejorar la eficiencia institucional"/>
    <x v="2"/>
    <x v="34"/>
    <x v="92"/>
    <x v="565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730727"/>
    <n v="0"/>
    <n v="0"/>
    <n v="730727"/>
    <n v="147717"/>
    <m/>
    <x v="1"/>
    <n v="147717"/>
  </r>
  <r>
    <x v="1"/>
    <x v="14"/>
    <x v="14"/>
    <x v="2"/>
    <s v="Apoyo al proceso presupuestario y para mejorar la eficiencia institucional"/>
    <x v="2"/>
    <x v="34"/>
    <x v="92"/>
    <x v="565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10790372"/>
    <n v="0"/>
    <n v="0"/>
    <n v="10790372"/>
    <n v="3965607"/>
    <m/>
    <x v="1"/>
    <n v="3965607"/>
  </r>
  <r>
    <x v="1"/>
    <x v="14"/>
    <x v="14"/>
    <x v="2"/>
    <s v="Apoyo al proceso presupuestario y para mejorar la eficiencia institucional"/>
    <x v="2"/>
    <x v="34"/>
    <x v="30"/>
    <x v="538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81486"/>
    <n v="0"/>
    <n v="0"/>
    <n v="81486"/>
    <n v="60624"/>
    <m/>
    <x v="1"/>
    <n v="60624"/>
  </r>
  <r>
    <x v="1"/>
    <x v="14"/>
    <x v="14"/>
    <x v="2"/>
    <s v="Apoyo al proceso presupuestario y para mejorar la eficiencia institucional"/>
    <x v="2"/>
    <x v="34"/>
    <x v="35"/>
    <x v="539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491653"/>
    <n v="0"/>
    <n v="0"/>
    <n v="491653"/>
    <n v="365780"/>
    <m/>
    <x v="1"/>
    <n v="365780"/>
  </r>
  <r>
    <x v="1"/>
    <x v="14"/>
    <x v="14"/>
    <x v="2"/>
    <s v="Apoyo al proceso presupuestario y para mejorar la eficiencia institucional"/>
    <x v="2"/>
    <x v="34"/>
    <x v="313"/>
    <x v="566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271536"/>
    <n v="0"/>
    <n v="0"/>
    <n v="271536"/>
    <n v="25000"/>
    <m/>
    <x v="1"/>
    <n v="25000"/>
  </r>
  <r>
    <x v="1"/>
    <x v="14"/>
    <x v="14"/>
    <x v="2"/>
    <s v="Apoyo al proceso presupuestario y para mejorar la eficiencia institucional"/>
    <x v="2"/>
    <x v="34"/>
    <x v="65"/>
    <x v="540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934085"/>
    <n v="0"/>
    <n v="0"/>
    <n v="934085"/>
    <n v="812834"/>
    <m/>
    <x v="1"/>
    <n v="812834"/>
  </r>
  <r>
    <x v="1"/>
    <x v="14"/>
    <x v="14"/>
    <x v="2"/>
    <s v="Apoyo al proceso presupuestario y para mejorar la eficiencia institucional"/>
    <x v="2"/>
    <x v="34"/>
    <x v="65"/>
    <x v="540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3549144"/>
    <n v="0"/>
    <n v="0"/>
    <n v="13549144"/>
    <n v="11833041"/>
    <m/>
    <x v="1"/>
    <n v="11833041"/>
  </r>
  <r>
    <x v="1"/>
    <x v="14"/>
    <x v="14"/>
    <x v="2"/>
    <s v="Apoyo al proceso presupuestario y para mejorar la eficiencia institucional"/>
    <x v="2"/>
    <x v="34"/>
    <x v="284"/>
    <x v="517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m/>
    <m/>
    <m/>
    <m/>
    <n v="58159"/>
    <m/>
    <x v="1"/>
    <n v="58159"/>
  </r>
  <r>
    <x v="1"/>
    <x v="14"/>
    <x v="14"/>
    <x v="2"/>
    <s v="Apoyo al proceso presupuestario y para mejorar la eficiencia institucional"/>
    <x v="2"/>
    <x v="34"/>
    <x v="284"/>
    <x v="517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989702"/>
    <n v="0"/>
    <n v="0"/>
    <n v="989702"/>
    <n v="749424"/>
    <m/>
    <x v="1"/>
    <n v="749424"/>
  </r>
  <r>
    <x v="1"/>
    <x v="14"/>
    <x v="14"/>
    <x v="2"/>
    <s v="Apoyo al proceso presupuestario y para mejorar la eficiencia institucional"/>
    <x v="2"/>
    <x v="34"/>
    <x v="285"/>
    <x v="518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112155"/>
    <n v="0"/>
    <n v="0"/>
    <n v="112155"/>
    <n v="82141"/>
    <m/>
    <x v="1"/>
    <n v="82141"/>
  </r>
  <r>
    <x v="1"/>
    <x v="14"/>
    <x v="14"/>
    <x v="2"/>
    <s v="Apoyo al proceso presupuestario y para mejorar la eficiencia institucional"/>
    <x v="2"/>
    <x v="34"/>
    <x v="285"/>
    <x v="518"/>
    <n v="2"/>
    <s v="Desarrollo Social"/>
    <n v="1"/>
    <s v="Salud"/>
    <n v="3"/>
    <x v="53"/>
    <x v="3"/>
    <x v="12"/>
    <n v="1"/>
    <s v="Gasto corriente"/>
    <x v="0"/>
    <x v="0"/>
    <x v="0"/>
    <x v="0"/>
    <x v="0"/>
    <x v="0"/>
    <x v="0"/>
    <m/>
    <x v="0"/>
    <x v="0"/>
    <m/>
    <n v="50213"/>
    <n v="0"/>
    <n v="0"/>
    <n v="50213"/>
    <n v="82141"/>
    <m/>
    <x v="1"/>
    <n v="82141"/>
  </r>
  <r>
    <x v="1"/>
    <x v="14"/>
    <x v="14"/>
    <x v="2"/>
    <s v="Apoyo al proceso presupuestario y para mejorar la eficiencia institucional"/>
    <x v="2"/>
    <x v="34"/>
    <x v="285"/>
    <x v="518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68854"/>
    <n v="0"/>
    <n v="0"/>
    <n v="168854"/>
    <n v="82141"/>
    <m/>
    <x v="1"/>
    <n v="82141"/>
  </r>
  <r>
    <x v="1"/>
    <x v="14"/>
    <x v="14"/>
    <x v="2"/>
    <s v="Apoyo al proceso presupuestario y para mejorar la eficiencia institucional"/>
    <x v="2"/>
    <x v="34"/>
    <x v="286"/>
    <x v="519"/>
    <n v="2"/>
    <s v="Desarrollo Social"/>
    <n v="1"/>
    <s v="Salud"/>
    <n v="1"/>
    <x v="56"/>
    <x v="3"/>
    <x v="12"/>
    <n v="1"/>
    <s v="Gasto corriente"/>
    <x v="0"/>
    <x v="1"/>
    <x v="0"/>
    <x v="0"/>
    <x v="0"/>
    <x v="0"/>
    <x v="0"/>
    <m/>
    <x v="0"/>
    <x v="0"/>
    <m/>
    <m/>
    <m/>
    <m/>
    <m/>
    <n v="443355"/>
    <m/>
    <x v="1"/>
    <n v="443355"/>
  </r>
  <r>
    <x v="1"/>
    <x v="14"/>
    <x v="14"/>
    <x v="2"/>
    <s v="Apoyo al proceso presupuestario y para mejorar la eficiencia institucional"/>
    <x v="2"/>
    <x v="34"/>
    <x v="286"/>
    <x v="519"/>
    <n v="2"/>
    <s v="Desarrollo Social"/>
    <n v="1"/>
    <s v="Salud"/>
    <n v="1"/>
    <x v="56"/>
    <x v="3"/>
    <x v="12"/>
    <n v="1"/>
    <s v="Gasto corriente"/>
    <x v="0"/>
    <x v="0"/>
    <x v="0"/>
    <x v="0"/>
    <x v="0"/>
    <x v="0"/>
    <x v="0"/>
    <m/>
    <x v="0"/>
    <x v="0"/>
    <m/>
    <m/>
    <m/>
    <m/>
    <m/>
    <n v="18062901"/>
    <m/>
    <x v="1"/>
    <n v="18062901"/>
  </r>
  <r>
    <x v="1"/>
    <x v="14"/>
    <x v="14"/>
    <x v="2"/>
    <s v="Apoyo al proceso presupuestario y para mejorar la eficiencia institucional"/>
    <x v="2"/>
    <x v="34"/>
    <x v="286"/>
    <x v="519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21233730"/>
    <n v="0"/>
    <n v="0"/>
    <n v="21233730"/>
    <m/>
    <m/>
    <x v="1"/>
    <n v="0"/>
  </r>
  <r>
    <x v="1"/>
    <x v="14"/>
    <x v="14"/>
    <x v="2"/>
    <s v="Apoyo al proceso presupuestario y para mejorar la eficiencia institucional"/>
    <x v="2"/>
    <x v="34"/>
    <x v="34"/>
    <x v="520"/>
    <n v="2"/>
    <s v="Desarrollo Social"/>
    <n v="1"/>
    <s v="Salud"/>
    <n v="2"/>
    <x v="30"/>
    <x v="3"/>
    <x v="12"/>
    <n v="1"/>
    <s v="Gasto corriente"/>
    <x v="0"/>
    <x v="1"/>
    <x v="0"/>
    <x v="0"/>
    <x v="0"/>
    <x v="0"/>
    <x v="0"/>
    <m/>
    <x v="0"/>
    <x v="0"/>
    <m/>
    <n v="419740"/>
    <n v="0"/>
    <n v="0"/>
    <n v="419740"/>
    <n v="377791"/>
    <m/>
    <x v="1"/>
    <n v="377791"/>
  </r>
  <r>
    <x v="1"/>
    <x v="14"/>
    <x v="14"/>
    <x v="2"/>
    <s v="Apoyo al proceso presupuestario y para mejorar la eficiencia institucional"/>
    <x v="2"/>
    <x v="34"/>
    <x v="34"/>
    <x v="520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16073400"/>
    <n v="0"/>
    <n v="0"/>
    <n v="16073400"/>
    <n v="13885804"/>
    <m/>
    <x v="1"/>
    <n v="13885804"/>
  </r>
  <r>
    <x v="1"/>
    <x v="14"/>
    <x v="14"/>
    <x v="2"/>
    <s v="Apoyo al proceso presupuestario y para mejorar la eficiencia institucional"/>
    <x v="2"/>
    <x v="34"/>
    <x v="34"/>
    <x v="520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225905"/>
    <n v="0"/>
    <n v="0"/>
    <n v="225905"/>
    <n v="310000"/>
    <m/>
    <x v="1"/>
    <n v="310000"/>
  </r>
  <r>
    <x v="1"/>
    <x v="14"/>
    <x v="14"/>
    <x v="2"/>
    <s v="Apoyo al proceso presupuestario y para mejorar la eficiencia institucional"/>
    <x v="2"/>
    <x v="34"/>
    <x v="287"/>
    <x v="521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332914"/>
    <n v="0"/>
    <n v="0"/>
    <n v="332914"/>
    <n v="307574"/>
    <m/>
    <x v="1"/>
    <n v="307574"/>
  </r>
  <r>
    <x v="1"/>
    <x v="14"/>
    <x v="14"/>
    <x v="2"/>
    <s v="Apoyo al proceso presupuestario y para mejorar la eficiencia institucional"/>
    <x v="2"/>
    <x v="34"/>
    <x v="287"/>
    <x v="521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0510780"/>
    <n v="0"/>
    <n v="0"/>
    <n v="10510780"/>
    <n v="7943547"/>
    <m/>
    <x v="1"/>
    <n v="7943547"/>
  </r>
  <r>
    <x v="1"/>
    <x v="14"/>
    <x v="14"/>
    <x v="2"/>
    <s v="Apoyo al proceso presupuestario y para mejorar la eficiencia institucional"/>
    <x v="2"/>
    <x v="34"/>
    <x v="288"/>
    <x v="522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3268769"/>
    <n v="0"/>
    <n v="0"/>
    <n v="3268769"/>
    <n v="2431900"/>
    <m/>
    <x v="1"/>
    <n v="2431900"/>
  </r>
  <r>
    <x v="1"/>
    <x v="14"/>
    <x v="14"/>
    <x v="2"/>
    <s v="Apoyo al proceso presupuestario y para mejorar la eficiencia institucional"/>
    <x v="2"/>
    <x v="34"/>
    <x v="288"/>
    <x v="522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1557456"/>
    <n v="0"/>
    <n v="0"/>
    <n v="1557456"/>
    <n v="952573"/>
    <m/>
    <x v="1"/>
    <n v="952573"/>
  </r>
  <r>
    <x v="1"/>
    <x v="14"/>
    <x v="14"/>
    <x v="2"/>
    <s v="Apoyo al proceso presupuestario y para mejorar la eficiencia institucional"/>
    <x v="2"/>
    <x v="34"/>
    <x v="288"/>
    <x v="522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9667963"/>
    <n v="0"/>
    <n v="0"/>
    <n v="19667963"/>
    <n v="14841103"/>
    <m/>
    <x v="1"/>
    <n v="14841103"/>
  </r>
  <r>
    <x v="1"/>
    <x v="14"/>
    <x v="14"/>
    <x v="2"/>
    <s v="Apoyo al proceso presupuestario y para mejorar la eficiencia institucional"/>
    <x v="2"/>
    <x v="34"/>
    <x v="289"/>
    <x v="523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1625965"/>
    <n v="0"/>
    <n v="0"/>
    <n v="1625965"/>
    <n v="1894122"/>
    <m/>
    <x v="1"/>
    <n v="1894122"/>
  </r>
  <r>
    <x v="1"/>
    <x v="14"/>
    <x v="14"/>
    <x v="2"/>
    <s v="Apoyo al proceso presupuestario y para mejorar la eficiencia institucional"/>
    <x v="2"/>
    <x v="34"/>
    <x v="289"/>
    <x v="523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578663"/>
    <n v="0"/>
    <n v="0"/>
    <n v="578663"/>
    <n v="491670"/>
    <m/>
    <x v="1"/>
    <n v="491670"/>
  </r>
  <r>
    <x v="1"/>
    <x v="14"/>
    <x v="14"/>
    <x v="2"/>
    <s v="Apoyo al proceso presupuestario y para mejorar la eficiencia institucional"/>
    <x v="2"/>
    <x v="34"/>
    <x v="289"/>
    <x v="523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27860435"/>
    <n v="0"/>
    <n v="0"/>
    <n v="27860435"/>
    <n v="23906246"/>
    <m/>
    <x v="1"/>
    <n v="23906246"/>
  </r>
  <r>
    <x v="1"/>
    <x v="14"/>
    <x v="14"/>
    <x v="2"/>
    <s v="Apoyo al proceso presupuestario y para mejorar la eficiencia institucional"/>
    <x v="2"/>
    <x v="34"/>
    <x v="290"/>
    <x v="524"/>
    <n v="2"/>
    <s v="Desarrollo Social"/>
    <n v="1"/>
    <s v="Salud"/>
    <n v="2"/>
    <x v="30"/>
    <x v="3"/>
    <x v="12"/>
    <n v="1"/>
    <s v="Gasto corriente"/>
    <x v="0"/>
    <x v="1"/>
    <x v="0"/>
    <x v="0"/>
    <x v="0"/>
    <x v="0"/>
    <x v="0"/>
    <m/>
    <x v="0"/>
    <x v="0"/>
    <m/>
    <n v="6823643"/>
    <n v="0"/>
    <n v="0"/>
    <n v="6823643"/>
    <n v="2496695"/>
    <m/>
    <x v="1"/>
    <n v="2496695"/>
  </r>
  <r>
    <x v="1"/>
    <x v="14"/>
    <x v="14"/>
    <x v="2"/>
    <s v="Apoyo al proceso presupuestario y para mejorar la eficiencia institucional"/>
    <x v="2"/>
    <x v="34"/>
    <x v="290"/>
    <x v="524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83771863"/>
    <n v="0"/>
    <n v="0"/>
    <n v="83771863"/>
    <n v="29965016"/>
    <m/>
    <x v="1"/>
    <n v="29965016"/>
  </r>
  <r>
    <x v="1"/>
    <x v="14"/>
    <x v="14"/>
    <x v="2"/>
    <s v="Apoyo al proceso presupuestario y para mejorar la eficiencia institucional"/>
    <x v="2"/>
    <x v="34"/>
    <x v="303"/>
    <x v="541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622455"/>
    <n v="0"/>
    <n v="0"/>
    <n v="3622455"/>
    <m/>
    <m/>
    <x v="1"/>
    <n v="0"/>
  </r>
  <r>
    <x v="1"/>
    <x v="14"/>
    <x v="14"/>
    <x v="2"/>
    <s v="Apoyo al proceso presupuestario y para mejorar la eficiencia institucional"/>
    <x v="2"/>
    <x v="34"/>
    <x v="304"/>
    <x v="542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628500"/>
    <n v="0"/>
    <n v="0"/>
    <n v="628500"/>
    <n v="100000"/>
    <m/>
    <x v="1"/>
    <n v="100000"/>
  </r>
  <r>
    <x v="1"/>
    <x v="14"/>
    <x v="14"/>
    <x v="2"/>
    <s v="Apoyo al proceso presupuestario y para mejorar la eficiencia institucional"/>
    <x v="2"/>
    <x v="34"/>
    <x v="304"/>
    <x v="542"/>
    <n v="2"/>
    <s v="Desarrollo Social"/>
    <n v="1"/>
    <s v="Salud"/>
    <n v="3"/>
    <x v="53"/>
    <x v="3"/>
    <x v="12"/>
    <n v="1"/>
    <s v="Gasto corriente"/>
    <x v="0"/>
    <x v="0"/>
    <x v="0"/>
    <x v="0"/>
    <x v="0"/>
    <x v="0"/>
    <x v="0"/>
    <m/>
    <x v="0"/>
    <x v="0"/>
    <m/>
    <n v="380000"/>
    <n v="0"/>
    <n v="0"/>
    <n v="380000"/>
    <n v="900333"/>
    <m/>
    <x v="1"/>
    <n v="900333"/>
  </r>
  <r>
    <x v="1"/>
    <x v="14"/>
    <x v="14"/>
    <x v="2"/>
    <s v="Apoyo al proceso presupuestario y para mejorar la eficiencia institucional"/>
    <x v="2"/>
    <x v="34"/>
    <x v="304"/>
    <x v="542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470481"/>
    <n v="0"/>
    <n v="0"/>
    <n v="470481"/>
    <n v="100000"/>
    <m/>
    <x v="1"/>
    <n v="100000"/>
  </r>
  <r>
    <x v="1"/>
    <x v="14"/>
    <x v="14"/>
    <x v="2"/>
    <s v="Apoyo al proceso presupuestario y para mejorar la eficiencia institucional"/>
    <x v="2"/>
    <x v="34"/>
    <x v="305"/>
    <x v="543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1569617"/>
    <n v="0"/>
    <n v="0"/>
    <n v="1569617"/>
    <n v="1167764"/>
    <m/>
    <x v="1"/>
    <n v="1167764"/>
  </r>
  <r>
    <x v="1"/>
    <x v="14"/>
    <x v="14"/>
    <x v="2"/>
    <s v="Apoyo al proceso presupuestario y para mejorar la eficiencia institucional"/>
    <x v="2"/>
    <x v="34"/>
    <x v="309"/>
    <x v="549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m/>
    <m/>
    <m/>
    <m/>
    <n v="1135779"/>
    <m/>
    <x v="1"/>
    <n v="1135779"/>
  </r>
  <r>
    <x v="1"/>
    <x v="14"/>
    <x v="14"/>
    <x v="2"/>
    <s v="Apoyo al proceso presupuestario y para mejorar la eficiencia institucional"/>
    <x v="2"/>
    <x v="34"/>
    <x v="291"/>
    <x v="525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243675"/>
    <n v="0"/>
    <n v="0"/>
    <n v="243675"/>
    <n v="371495"/>
    <m/>
    <x v="1"/>
    <n v="371495"/>
  </r>
  <r>
    <x v="1"/>
    <x v="14"/>
    <x v="14"/>
    <x v="2"/>
    <s v="Apoyo al proceso presupuestario y para mejorar la eficiencia institucional"/>
    <x v="2"/>
    <x v="34"/>
    <x v="291"/>
    <x v="525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8949269"/>
    <n v="0"/>
    <n v="0"/>
    <n v="8949269"/>
    <n v="7604066"/>
    <m/>
    <x v="1"/>
    <n v="7604066"/>
  </r>
  <r>
    <x v="1"/>
    <x v="14"/>
    <x v="14"/>
    <x v="2"/>
    <s v="Apoyo al proceso presupuestario y para mejorar la eficiencia institucional"/>
    <x v="2"/>
    <x v="34"/>
    <x v="292"/>
    <x v="526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1114557"/>
    <n v="0"/>
    <n v="0"/>
    <n v="1114557"/>
    <n v="431407"/>
    <m/>
    <x v="1"/>
    <n v="431407"/>
  </r>
  <r>
    <x v="1"/>
    <x v="14"/>
    <x v="14"/>
    <x v="2"/>
    <s v="Apoyo al proceso presupuestario y para mejorar la eficiencia institucional"/>
    <x v="2"/>
    <x v="34"/>
    <x v="292"/>
    <x v="526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7666513"/>
    <n v="0"/>
    <n v="0"/>
    <n v="17666513"/>
    <n v="16043038"/>
    <m/>
    <x v="1"/>
    <n v="16043038"/>
  </r>
  <r>
    <x v="1"/>
    <x v="14"/>
    <x v="14"/>
    <x v="2"/>
    <s v="Apoyo al proceso presupuestario y para mejorar la eficiencia institucional"/>
    <x v="2"/>
    <x v="34"/>
    <x v="293"/>
    <x v="527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461435"/>
    <n v="0"/>
    <n v="0"/>
    <n v="461435"/>
    <n v="794762"/>
    <m/>
    <x v="1"/>
    <n v="794762"/>
  </r>
  <r>
    <x v="1"/>
    <x v="14"/>
    <x v="14"/>
    <x v="2"/>
    <s v="Apoyo al proceso presupuestario y para mejorar la eficiencia institucional"/>
    <x v="2"/>
    <x v="34"/>
    <x v="293"/>
    <x v="527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2763421"/>
    <n v="0"/>
    <n v="0"/>
    <n v="12763421"/>
    <n v="10408445"/>
    <m/>
    <x v="1"/>
    <n v="10408445"/>
  </r>
  <r>
    <x v="1"/>
    <x v="14"/>
    <x v="14"/>
    <x v="2"/>
    <s v="Apoyo al proceso presupuestario y para mejorar la eficiencia institucional"/>
    <x v="2"/>
    <x v="34"/>
    <x v="294"/>
    <x v="528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702839"/>
    <n v="0"/>
    <n v="0"/>
    <n v="702839"/>
    <n v="570750"/>
    <m/>
    <x v="1"/>
    <n v="570750"/>
  </r>
  <r>
    <x v="1"/>
    <x v="14"/>
    <x v="14"/>
    <x v="2"/>
    <s v="Apoyo al proceso presupuestario y para mejorar la eficiencia institucional"/>
    <x v="2"/>
    <x v="34"/>
    <x v="294"/>
    <x v="528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0838694"/>
    <n v="0"/>
    <n v="0"/>
    <n v="10838694"/>
    <n v="9412932"/>
    <m/>
    <x v="1"/>
    <n v="9412932"/>
  </r>
  <r>
    <x v="1"/>
    <x v="14"/>
    <x v="14"/>
    <x v="2"/>
    <s v="Apoyo al proceso presupuestario y para mejorar la eficiencia institucional"/>
    <x v="2"/>
    <x v="34"/>
    <x v="295"/>
    <x v="529"/>
    <n v="2"/>
    <s v="Desarrollo Social"/>
    <n v="1"/>
    <s v="Salud"/>
    <n v="3"/>
    <x v="53"/>
    <x v="3"/>
    <x v="12"/>
    <n v="1"/>
    <s v="Gasto corriente"/>
    <x v="0"/>
    <x v="1"/>
    <x v="0"/>
    <x v="0"/>
    <x v="0"/>
    <x v="0"/>
    <x v="0"/>
    <m/>
    <x v="0"/>
    <x v="0"/>
    <m/>
    <n v="142549"/>
    <n v="0"/>
    <n v="0"/>
    <n v="142549"/>
    <n v="129639"/>
    <m/>
    <x v="1"/>
    <n v="129639"/>
  </r>
  <r>
    <x v="1"/>
    <x v="14"/>
    <x v="14"/>
    <x v="2"/>
    <s v="Apoyo al proceso presupuestario y para mejorar la eficiencia institucional"/>
    <x v="2"/>
    <x v="34"/>
    <x v="295"/>
    <x v="529"/>
    <n v="2"/>
    <s v="Desarrollo Social"/>
    <n v="1"/>
    <s v="Salud"/>
    <n v="3"/>
    <x v="53"/>
    <x v="3"/>
    <x v="12"/>
    <n v="1"/>
    <s v="Gasto corriente"/>
    <x v="0"/>
    <x v="0"/>
    <x v="0"/>
    <x v="0"/>
    <x v="0"/>
    <x v="0"/>
    <x v="0"/>
    <m/>
    <x v="0"/>
    <x v="0"/>
    <m/>
    <n v="5781356"/>
    <n v="0"/>
    <n v="0"/>
    <n v="5781356"/>
    <n v="4918658"/>
    <m/>
    <x v="1"/>
    <n v="4918658"/>
  </r>
  <r>
    <x v="1"/>
    <x v="14"/>
    <x v="14"/>
    <x v="2"/>
    <s v="Apoyo al proceso presupuestario y para mejorar la eficiencia institucional"/>
    <x v="2"/>
    <x v="34"/>
    <x v="296"/>
    <x v="530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294643"/>
    <n v="0"/>
    <n v="0"/>
    <n v="294643"/>
    <n v="218205"/>
    <m/>
    <x v="1"/>
    <n v="218205"/>
  </r>
  <r>
    <x v="1"/>
    <x v="14"/>
    <x v="14"/>
    <x v="2"/>
    <s v="Apoyo al proceso presupuestario y para mejorar la eficiencia institucional"/>
    <x v="2"/>
    <x v="34"/>
    <x v="296"/>
    <x v="530"/>
    <n v="2"/>
    <s v="Desarrollo Social"/>
    <n v="1"/>
    <s v="Salud"/>
    <n v="3"/>
    <x v="53"/>
    <x v="3"/>
    <x v="12"/>
    <n v="1"/>
    <s v="Gasto corriente"/>
    <x v="0"/>
    <x v="0"/>
    <x v="0"/>
    <x v="0"/>
    <x v="0"/>
    <x v="0"/>
    <x v="0"/>
    <m/>
    <x v="0"/>
    <x v="0"/>
    <m/>
    <n v="294643"/>
    <n v="0"/>
    <n v="0"/>
    <n v="294643"/>
    <n v="147438"/>
    <m/>
    <x v="1"/>
    <n v="147438"/>
  </r>
  <r>
    <x v="1"/>
    <x v="14"/>
    <x v="14"/>
    <x v="2"/>
    <s v="Apoyo al proceso presupuestario y para mejorar la eficiencia institucional"/>
    <x v="2"/>
    <x v="34"/>
    <x v="296"/>
    <x v="530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290006"/>
    <n v="0"/>
    <n v="0"/>
    <n v="290006"/>
    <n v="246562"/>
    <m/>
    <x v="1"/>
    <n v="246562"/>
  </r>
  <r>
    <x v="1"/>
    <x v="14"/>
    <x v="14"/>
    <x v="2"/>
    <s v="Apoyo al proceso presupuestario y para mejorar la eficiencia institucional"/>
    <x v="2"/>
    <x v="34"/>
    <x v="296"/>
    <x v="530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7854796"/>
    <n v="0"/>
    <n v="0"/>
    <n v="7854796"/>
    <n v="7036377"/>
    <m/>
    <x v="1"/>
    <n v="7036377"/>
  </r>
  <r>
    <x v="1"/>
    <x v="14"/>
    <x v="14"/>
    <x v="2"/>
    <s v="Apoyo al proceso presupuestario y para mejorar la eficiencia institucional"/>
    <x v="2"/>
    <x v="34"/>
    <x v="297"/>
    <x v="531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0"/>
    <x v="0"/>
    <m/>
    <n v="2420382"/>
    <n v="0"/>
    <n v="0"/>
    <n v="2420382"/>
    <m/>
    <m/>
    <x v="1"/>
    <n v="0"/>
  </r>
  <r>
    <x v="1"/>
    <x v="14"/>
    <x v="14"/>
    <x v="2"/>
    <s v="Apoyo al proceso presupuestario y para mejorar la eficiencia institucional"/>
    <x v="2"/>
    <x v="34"/>
    <x v="297"/>
    <x v="531"/>
    <n v="2"/>
    <s v="Desarrollo Social"/>
    <n v="1"/>
    <s v="Salud"/>
    <n v="3"/>
    <x v="53"/>
    <x v="3"/>
    <x v="12"/>
    <n v="1"/>
    <s v="Gasto corriente"/>
    <x v="0"/>
    <x v="0"/>
    <x v="0"/>
    <x v="0"/>
    <x v="0"/>
    <x v="0"/>
    <x v="0"/>
    <m/>
    <x v="0"/>
    <x v="0"/>
    <m/>
    <n v="203801"/>
    <n v="0"/>
    <n v="0"/>
    <n v="203801"/>
    <m/>
    <m/>
    <x v="1"/>
    <n v="0"/>
  </r>
  <r>
    <x v="1"/>
    <x v="14"/>
    <x v="14"/>
    <x v="2"/>
    <s v="Apoyo al proceso presupuestario y para mejorar la eficiencia institucional"/>
    <x v="2"/>
    <x v="34"/>
    <x v="297"/>
    <x v="531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2852809"/>
    <n v="0"/>
    <n v="0"/>
    <n v="2852809"/>
    <n v="2974126"/>
    <m/>
    <x v="1"/>
    <n v="2974126"/>
  </r>
  <r>
    <x v="1"/>
    <x v="14"/>
    <x v="14"/>
    <x v="2"/>
    <s v="Apoyo al proceso presupuestario y para mejorar la eficiencia institucional"/>
    <x v="2"/>
    <x v="34"/>
    <x v="297"/>
    <x v="531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9585620"/>
    <n v="0"/>
    <n v="0"/>
    <n v="39585620"/>
    <n v="37146955"/>
    <m/>
    <x v="1"/>
    <n v="37146955"/>
  </r>
  <r>
    <x v="1"/>
    <x v="14"/>
    <x v="14"/>
    <x v="2"/>
    <s v="Apoyo al proceso presupuestario y para mejorar la eficiencia institucional"/>
    <x v="2"/>
    <x v="34"/>
    <x v="297"/>
    <x v="531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606520"/>
    <n v="0"/>
    <n v="0"/>
    <n v="606520"/>
    <m/>
    <m/>
    <x v="1"/>
    <n v="0"/>
  </r>
  <r>
    <x v="1"/>
    <x v="14"/>
    <x v="14"/>
    <x v="2"/>
    <s v="Apoyo al proceso presupuestario y para mejorar la eficiencia institucional"/>
    <x v="2"/>
    <x v="34"/>
    <x v="298"/>
    <x v="532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253567"/>
    <n v="0"/>
    <n v="0"/>
    <n v="253567"/>
    <n v="247236"/>
    <m/>
    <x v="1"/>
    <n v="247236"/>
  </r>
  <r>
    <x v="1"/>
    <x v="14"/>
    <x v="14"/>
    <x v="2"/>
    <s v="Apoyo al proceso presupuestario y para mejorar la eficiencia institucional"/>
    <x v="2"/>
    <x v="34"/>
    <x v="298"/>
    <x v="532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8597923"/>
    <n v="0"/>
    <n v="0"/>
    <n v="8597923"/>
    <n v="7194793"/>
    <m/>
    <x v="1"/>
    <n v="7194793"/>
  </r>
  <r>
    <x v="1"/>
    <x v="14"/>
    <x v="14"/>
    <x v="2"/>
    <s v="Apoyo al proceso presupuestario y para mejorar la eficiencia institucional"/>
    <x v="2"/>
    <x v="34"/>
    <x v="299"/>
    <x v="533"/>
    <n v="2"/>
    <s v="Desarrollo Social"/>
    <n v="1"/>
    <s v="Salud"/>
    <n v="2"/>
    <x v="30"/>
    <x v="3"/>
    <x v="12"/>
    <n v="1"/>
    <s v="Gasto corriente"/>
    <x v="0"/>
    <x v="1"/>
    <x v="0"/>
    <x v="0"/>
    <x v="0"/>
    <x v="1"/>
    <x v="0"/>
    <m/>
    <x v="0"/>
    <x v="0"/>
    <m/>
    <n v="1842144"/>
    <n v="0"/>
    <n v="0"/>
    <n v="1842144"/>
    <n v="1296212"/>
    <m/>
    <x v="1"/>
    <n v="1296212"/>
  </r>
  <r>
    <x v="1"/>
    <x v="14"/>
    <x v="14"/>
    <x v="2"/>
    <s v="Apoyo al proceso presupuestario y para mejorar la eficiencia institucional"/>
    <x v="2"/>
    <x v="34"/>
    <x v="299"/>
    <x v="533"/>
    <n v="2"/>
    <s v="Desarrollo Social"/>
    <n v="1"/>
    <s v="Salud"/>
    <n v="2"/>
    <x v="30"/>
    <x v="3"/>
    <x v="12"/>
    <n v="1"/>
    <s v="Gasto corriente"/>
    <x v="0"/>
    <x v="0"/>
    <x v="0"/>
    <x v="0"/>
    <x v="0"/>
    <x v="1"/>
    <x v="0"/>
    <m/>
    <x v="0"/>
    <x v="0"/>
    <m/>
    <n v="29279125"/>
    <n v="0"/>
    <n v="0"/>
    <n v="29279125"/>
    <n v="25505832"/>
    <m/>
    <x v="1"/>
    <n v="25505832"/>
  </r>
  <r>
    <x v="1"/>
    <x v="14"/>
    <x v="14"/>
    <x v="2"/>
    <s v="Apoyo al proceso presupuestario y para mejorar la eficiencia institucional"/>
    <x v="2"/>
    <x v="34"/>
    <x v="300"/>
    <x v="534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69766"/>
    <n v="0"/>
    <n v="0"/>
    <n v="69766"/>
    <n v="53694"/>
    <m/>
    <x v="1"/>
    <n v="53694"/>
  </r>
  <r>
    <x v="1"/>
    <x v="14"/>
    <x v="14"/>
    <x v="2"/>
    <s v="Apoyo al proceso presupuestario y para mejorar la eficiencia institucional"/>
    <x v="2"/>
    <x v="34"/>
    <x v="300"/>
    <x v="534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682619"/>
    <n v="0"/>
    <n v="0"/>
    <n v="3682619"/>
    <n v="2710572"/>
    <m/>
    <x v="1"/>
    <n v="2710572"/>
  </r>
  <r>
    <x v="1"/>
    <x v="14"/>
    <x v="14"/>
    <x v="2"/>
    <s v="Apoyo al proceso presupuestario y para mejorar la eficiencia institucional"/>
    <x v="2"/>
    <x v="34"/>
    <x v="301"/>
    <x v="535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1854475"/>
    <n v="0"/>
    <n v="0"/>
    <n v="1854475"/>
    <n v="1981503"/>
    <m/>
    <x v="1"/>
    <n v="1981503"/>
  </r>
  <r>
    <x v="1"/>
    <x v="14"/>
    <x v="14"/>
    <x v="2"/>
    <s v="Apoyo al proceso presupuestario y para mejorar la eficiencia institucional"/>
    <x v="2"/>
    <x v="34"/>
    <x v="301"/>
    <x v="535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71199690"/>
    <n v="0"/>
    <n v="0"/>
    <n v="71199690"/>
    <n v="43880472"/>
    <m/>
    <x v="1"/>
    <n v="43880472"/>
  </r>
  <r>
    <x v="1"/>
    <x v="14"/>
    <x v="14"/>
    <x v="2"/>
    <s v="Apoyo al proceso presupuestario y para mejorar la eficiencia institucional"/>
    <x v="2"/>
    <x v="34"/>
    <x v="306"/>
    <x v="544"/>
    <n v="2"/>
    <s v="Desarrollo Social"/>
    <n v="1"/>
    <s v="Salud"/>
    <n v="1"/>
    <x v="56"/>
    <x v="3"/>
    <x v="12"/>
    <n v="1"/>
    <s v="Gasto corriente"/>
    <x v="0"/>
    <x v="0"/>
    <x v="0"/>
    <x v="0"/>
    <x v="0"/>
    <x v="0"/>
    <x v="0"/>
    <m/>
    <x v="0"/>
    <x v="0"/>
    <m/>
    <n v="3678577"/>
    <n v="0"/>
    <n v="0"/>
    <n v="3678577"/>
    <n v="2736789"/>
    <m/>
    <x v="1"/>
    <n v="2736789"/>
  </r>
  <r>
    <x v="1"/>
    <x v="14"/>
    <x v="14"/>
    <x v="2"/>
    <s v="Apoyo al proceso presupuestario y para mejorar la eficiencia institucional"/>
    <x v="2"/>
    <x v="34"/>
    <x v="33"/>
    <x v="545"/>
    <n v="2"/>
    <s v="Desarrollo Social"/>
    <n v="1"/>
    <s v="Salud"/>
    <n v="3"/>
    <x v="53"/>
    <x v="3"/>
    <x v="12"/>
    <n v="1"/>
    <s v="Gasto corriente"/>
    <x v="0"/>
    <x v="1"/>
    <x v="0"/>
    <x v="0"/>
    <x v="0"/>
    <x v="0"/>
    <x v="0"/>
    <m/>
    <x v="0"/>
    <x v="0"/>
    <m/>
    <n v="503913"/>
    <n v="0"/>
    <n v="0"/>
    <n v="503913"/>
    <n v="359777"/>
    <m/>
    <x v="1"/>
    <n v="359777"/>
  </r>
  <r>
    <x v="1"/>
    <x v="14"/>
    <x v="14"/>
    <x v="2"/>
    <s v="Apoyo al proceso presupuestario y para mejorar la eficiencia institucional"/>
    <x v="2"/>
    <x v="34"/>
    <x v="33"/>
    <x v="545"/>
    <n v="2"/>
    <s v="Desarrollo Social"/>
    <n v="1"/>
    <s v="Salud"/>
    <n v="3"/>
    <x v="53"/>
    <x v="3"/>
    <x v="12"/>
    <n v="1"/>
    <s v="Gasto corriente"/>
    <x v="0"/>
    <x v="0"/>
    <x v="0"/>
    <x v="0"/>
    <x v="0"/>
    <x v="0"/>
    <x v="0"/>
    <m/>
    <x v="0"/>
    <x v="0"/>
    <m/>
    <n v="9974349"/>
    <n v="0"/>
    <n v="0"/>
    <n v="9974349"/>
    <n v="8825131"/>
    <m/>
    <x v="1"/>
    <n v="8825131"/>
  </r>
  <r>
    <x v="1"/>
    <x v="14"/>
    <x v="14"/>
    <x v="2"/>
    <s v="Apoyo al proceso presupuestario y para mejorar la eficiencia institucional"/>
    <x v="2"/>
    <x v="34"/>
    <x v="307"/>
    <x v="546"/>
    <n v="2"/>
    <s v="Desarrollo Social"/>
    <n v="1"/>
    <s v="Salud"/>
    <n v="2"/>
    <x v="30"/>
    <x v="3"/>
    <x v="12"/>
    <n v="1"/>
    <s v="Gasto corriente"/>
    <x v="0"/>
    <x v="1"/>
    <x v="0"/>
    <x v="0"/>
    <x v="0"/>
    <x v="0"/>
    <x v="0"/>
    <m/>
    <x v="1"/>
    <x v="0"/>
    <m/>
    <n v="305596"/>
    <n v="0"/>
    <n v="0"/>
    <n v="305596"/>
    <n v="278978"/>
    <m/>
    <x v="1"/>
    <n v="278978"/>
  </r>
  <r>
    <x v="1"/>
    <x v="14"/>
    <x v="14"/>
    <x v="2"/>
    <s v="Apoyo al proceso presupuestario y para mejorar la eficiencia institucional"/>
    <x v="2"/>
    <x v="34"/>
    <x v="307"/>
    <x v="546"/>
    <n v="2"/>
    <s v="Desarrollo Social"/>
    <n v="1"/>
    <s v="Salud"/>
    <n v="2"/>
    <x v="30"/>
    <x v="3"/>
    <x v="12"/>
    <n v="1"/>
    <s v="Gasto corriente"/>
    <x v="0"/>
    <x v="0"/>
    <x v="0"/>
    <x v="0"/>
    <x v="0"/>
    <x v="0"/>
    <x v="0"/>
    <m/>
    <x v="1"/>
    <x v="0"/>
    <m/>
    <n v="11694450"/>
    <n v="0"/>
    <n v="0"/>
    <n v="11694450"/>
    <n v="10096634"/>
    <m/>
    <x v="1"/>
    <n v="10096634"/>
  </r>
  <r>
    <x v="1"/>
    <x v="14"/>
    <x v="14"/>
    <x v="2"/>
    <s v="Apoyo al proceso presupuestario y para mejorar la eficiencia institucional"/>
    <x v="2"/>
    <x v="34"/>
    <x v="308"/>
    <x v="547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2828504"/>
    <n v="0"/>
    <n v="0"/>
    <n v="2828504"/>
    <n v="1904421"/>
    <m/>
    <x v="1"/>
    <n v="1904421"/>
  </r>
  <r>
    <x v="1"/>
    <x v="14"/>
    <x v="14"/>
    <x v="2"/>
    <s v="Apoyo al proceso presupuestario y para mejorar la eficiencia institucional"/>
    <x v="2"/>
    <x v="34"/>
    <x v="308"/>
    <x v="547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39489920"/>
    <n v="0"/>
    <n v="0"/>
    <n v="39489920"/>
    <n v="35119683"/>
    <m/>
    <x v="1"/>
    <n v="35119683"/>
  </r>
  <r>
    <x v="1"/>
    <x v="14"/>
    <x v="14"/>
    <x v="2"/>
    <s v="Apoyo al proceso presupuestario y para mejorar la eficiencia institucional"/>
    <x v="2"/>
    <x v="34"/>
    <x v="314"/>
    <x v="567"/>
    <n v="2"/>
    <s v="Desarrollo Social"/>
    <n v="1"/>
    <s v="Salud"/>
    <n v="4"/>
    <x v="57"/>
    <x v="3"/>
    <x v="12"/>
    <n v="1"/>
    <s v="Gasto corriente"/>
    <x v="0"/>
    <x v="1"/>
    <x v="0"/>
    <x v="0"/>
    <x v="0"/>
    <x v="0"/>
    <x v="0"/>
    <m/>
    <x v="0"/>
    <x v="0"/>
    <m/>
    <n v="470400"/>
    <n v="0"/>
    <n v="0"/>
    <n v="470400"/>
    <n v="360222"/>
    <m/>
    <x v="1"/>
    <n v="360222"/>
  </r>
  <r>
    <x v="1"/>
    <x v="14"/>
    <x v="14"/>
    <x v="2"/>
    <s v="Apoyo al proceso presupuestario y para mejorar la eficiencia institucional"/>
    <x v="2"/>
    <x v="34"/>
    <x v="314"/>
    <x v="567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12314789"/>
    <n v="0"/>
    <n v="0"/>
    <n v="12314789"/>
    <n v="10666371"/>
    <m/>
    <x v="1"/>
    <n v="10666371"/>
  </r>
  <r>
    <x v="1"/>
    <x v="14"/>
    <x v="14"/>
    <x v="2"/>
    <s v="Apoyo al proceso presupuestario y para mejorar la eficiencia institucional"/>
    <x v="2"/>
    <x v="34"/>
    <x v="70"/>
    <x v="548"/>
    <n v="2"/>
    <s v="Desarrollo Social"/>
    <n v="1"/>
    <s v="Salud"/>
    <n v="5"/>
    <x v="55"/>
    <x v="3"/>
    <x v="12"/>
    <n v="1"/>
    <s v="Gasto corriente"/>
    <x v="0"/>
    <x v="1"/>
    <x v="0"/>
    <x v="0"/>
    <x v="0"/>
    <x v="0"/>
    <x v="0"/>
    <m/>
    <x v="0"/>
    <x v="0"/>
    <m/>
    <n v="4635138"/>
    <n v="0"/>
    <n v="0"/>
    <n v="4635138"/>
    <n v="3577464"/>
    <m/>
    <x v="1"/>
    <n v="3577464"/>
  </r>
  <r>
    <x v="1"/>
    <x v="14"/>
    <x v="14"/>
    <x v="2"/>
    <s v="Apoyo al proceso presupuestario y para mejorar la eficiencia institucional"/>
    <x v="2"/>
    <x v="34"/>
    <x v="70"/>
    <x v="548"/>
    <n v="2"/>
    <s v="Desarrollo Social"/>
    <n v="1"/>
    <s v="Salud"/>
    <n v="5"/>
    <x v="55"/>
    <x v="3"/>
    <x v="12"/>
    <n v="1"/>
    <s v="Gasto corriente"/>
    <x v="0"/>
    <x v="0"/>
    <x v="0"/>
    <x v="0"/>
    <x v="0"/>
    <x v="0"/>
    <x v="0"/>
    <m/>
    <x v="0"/>
    <x v="0"/>
    <m/>
    <n v="401141778"/>
    <n v="0"/>
    <n v="0"/>
    <n v="401141778"/>
    <n v="397573975"/>
    <m/>
    <x v="1"/>
    <n v="397573975"/>
  </r>
  <r>
    <x v="1"/>
    <x v="14"/>
    <x v="14"/>
    <x v="2"/>
    <s v="Apoyo al proceso presupuestario y para mejorar la eficiencia institucional"/>
    <x v="2"/>
    <x v="34"/>
    <x v="43"/>
    <x v="568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90465"/>
    <n v="0"/>
    <n v="0"/>
    <n v="90465"/>
    <n v="67304"/>
    <m/>
    <x v="1"/>
    <n v="67304"/>
  </r>
  <r>
    <x v="1"/>
    <x v="14"/>
    <x v="14"/>
    <x v="2"/>
    <s v="Apoyo al proceso presupuestario y para mejorar la eficiencia institucional"/>
    <x v="2"/>
    <x v="34"/>
    <x v="41"/>
    <x v="536"/>
    <n v="2"/>
    <s v="Desarrollo Social"/>
    <n v="1"/>
    <s v="Salud"/>
    <n v="3"/>
    <x v="53"/>
    <x v="3"/>
    <x v="12"/>
    <n v="1"/>
    <s v="Gasto corriente"/>
    <x v="0"/>
    <x v="0"/>
    <x v="0"/>
    <x v="0"/>
    <x v="0"/>
    <x v="0"/>
    <x v="0"/>
    <m/>
    <x v="0"/>
    <x v="0"/>
    <m/>
    <n v="75047"/>
    <n v="0"/>
    <n v="0"/>
    <n v="75047"/>
    <n v="50236"/>
    <m/>
    <x v="1"/>
    <n v="50236"/>
  </r>
  <r>
    <x v="1"/>
    <x v="14"/>
    <x v="14"/>
    <x v="2"/>
    <s v="Apoyo al proceso presupuestario y para mejorar la eficiencia institucional"/>
    <x v="2"/>
    <x v="34"/>
    <x v="41"/>
    <x v="536"/>
    <n v="2"/>
    <s v="Desarrollo Social"/>
    <n v="1"/>
    <s v="Salud"/>
    <n v="4"/>
    <x v="57"/>
    <x v="3"/>
    <x v="12"/>
    <n v="1"/>
    <s v="Gasto corriente"/>
    <x v="0"/>
    <x v="0"/>
    <x v="0"/>
    <x v="0"/>
    <x v="0"/>
    <x v="0"/>
    <x v="0"/>
    <m/>
    <x v="0"/>
    <x v="0"/>
    <m/>
    <n v="71401"/>
    <n v="0"/>
    <n v="0"/>
    <n v="71401"/>
    <n v="58718"/>
    <m/>
    <x v="1"/>
    <n v="58718"/>
  </r>
  <r>
    <x v="1"/>
    <x v="14"/>
    <x v="14"/>
    <x v="3"/>
    <s v="Apoyo a la función pública y al mejoramiento de la gestión"/>
    <x v="2"/>
    <x v="42"/>
    <x v="19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843499"/>
    <n v="0"/>
    <n v="0"/>
    <n v="2843499"/>
    <n v="2993844"/>
    <m/>
    <x v="1"/>
    <n v="2993844"/>
  </r>
  <r>
    <x v="1"/>
    <x v="14"/>
    <x v="14"/>
    <x v="3"/>
    <s v="Apoyo a la función pública y al mejoramiento de la gestión"/>
    <x v="2"/>
    <x v="42"/>
    <x v="19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73556542"/>
    <n v="0"/>
    <n v="-6539745"/>
    <n v="67016797"/>
    <n v="48827317"/>
    <m/>
    <x v="1"/>
    <n v="48827317"/>
  </r>
  <r>
    <x v="1"/>
    <x v="14"/>
    <x v="14"/>
    <x v="3"/>
    <s v="Apoyo a la función pública y al mejoramiento de la gestión"/>
    <x v="2"/>
    <x v="42"/>
    <x v="284"/>
    <x v="517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7005"/>
    <n v="0"/>
    <n v="0"/>
    <n v="17005"/>
    <n v="86117"/>
    <m/>
    <x v="1"/>
    <n v="86117"/>
  </r>
  <r>
    <x v="1"/>
    <x v="14"/>
    <x v="14"/>
    <x v="3"/>
    <s v="Apoyo a la función pública y al mejoramiento de la gestión"/>
    <x v="2"/>
    <x v="42"/>
    <x v="284"/>
    <x v="51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448439"/>
    <n v="0"/>
    <n v="-10772"/>
    <n v="1437667"/>
    <n v="3158578"/>
    <m/>
    <x v="1"/>
    <n v="3158578"/>
  </r>
  <r>
    <x v="1"/>
    <x v="14"/>
    <x v="14"/>
    <x v="3"/>
    <s v="Apoyo a la función pública y al mejoramiento de la gestión"/>
    <x v="2"/>
    <x v="42"/>
    <x v="285"/>
    <x v="51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88428"/>
    <n v="0"/>
    <n v="0"/>
    <n v="88428"/>
    <n v="77208"/>
    <m/>
    <x v="1"/>
    <n v="77208"/>
  </r>
  <r>
    <x v="1"/>
    <x v="14"/>
    <x v="14"/>
    <x v="3"/>
    <s v="Apoyo a la función pública y al mejoramiento de la gestión"/>
    <x v="2"/>
    <x v="42"/>
    <x v="285"/>
    <x v="51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820303"/>
    <n v="0"/>
    <n v="0"/>
    <n v="1820303"/>
    <n v="1882188"/>
    <m/>
    <x v="1"/>
    <n v="1882188"/>
  </r>
  <r>
    <x v="1"/>
    <x v="14"/>
    <x v="14"/>
    <x v="3"/>
    <s v="Apoyo a la función pública y al mejoramiento de la gestión"/>
    <x v="2"/>
    <x v="42"/>
    <x v="286"/>
    <x v="519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m/>
    <m/>
    <m/>
    <m/>
    <n v="96049"/>
    <m/>
    <x v="1"/>
    <n v="96049"/>
  </r>
  <r>
    <x v="1"/>
    <x v="14"/>
    <x v="14"/>
    <x v="3"/>
    <s v="Apoyo a la función pública y al mejoramiento de la gestión"/>
    <x v="2"/>
    <x v="42"/>
    <x v="286"/>
    <x v="51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837164"/>
    <n v="0"/>
    <n v="0"/>
    <n v="3837164"/>
    <n v="4018652"/>
    <m/>
    <x v="1"/>
    <n v="4018652"/>
  </r>
  <r>
    <x v="1"/>
    <x v="14"/>
    <x v="14"/>
    <x v="3"/>
    <s v="Apoyo a la función pública y al mejoramiento de la gestión"/>
    <x v="2"/>
    <x v="42"/>
    <x v="288"/>
    <x v="52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53318"/>
    <n v="0"/>
    <n v="0"/>
    <n v="253318"/>
    <n v="266540"/>
    <m/>
    <x v="1"/>
    <n v="266540"/>
  </r>
  <r>
    <x v="1"/>
    <x v="14"/>
    <x v="14"/>
    <x v="3"/>
    <s v="Apoyo a la función pública y al mejoramiento de la gestión"/>
    <x v="2"/>
    <x v="42"/>
    <x v="288"/>
    <x v="52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963443"/>
    <n v="0"/>
    <n v="0"/>
    <n v="3963443"/>
    <n v="4067122"/>
    <m/>
    <x v="1"/>
    <n v="4067122"/>
  </r>
  <r>
    <x v="1"/>
    <x v="14"/>
    <x v="14"/>
    <x v="3"/>
    <s v="Apoyo a la función pública y al mejoramiento de la gestión"/>
    <x v="2"/>
    <x v="42"/>
    <x v="289"/>
    <x v="523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447809"/>
    <n v="0"/>
    <n v="0"/>
    <n v="447809"/>
    <n v="621518"/>
    <m/>
    <x v="1"/>
    <n v="621518"/>
  </r>
  <r>
    <x v="1"/>
    <x v="14"/>
    <x v="14"/>
    <x v="3"/>
    <s v="Apoyo a la función pública y al mejoramiento de la gestión"/>
    <x v="2"/>
    <x v="42"/>
    <x v="289"/>
    <x v="52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8893653"/>
    <n v="0"/>
    <n v="0"/>
    <n v="8893653"/>
    <n v="12628360"/>
    <m/>
    <x v="1"/>
    <n v="12628360"/>
  </r>
  <r>
    <x v="1"/>
    <x v="14"/>
    <x v="14"/>
    <x v="3"/>
    <s v="Apoyo a la función pública y al mejoramiento de la gestión"/>
    <x v="2"/>
    <x v="42"/>
    <x v="290"/>
    <x v="524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m/>
    <m/>
    <m/>
    <m/>
    <n v="120270"/>
    <m/>
    <x v="1"/>
    <n v="120270"/>
  </r>
  <r>
    <x v="1"/>
    <x v="14"/>
    <x v="14"/>
    <x v="3"/>
    <s v="Apoyo a la función pública y al mejoramiento de la gestión"/>
    <x v="2"/>
    <x v="42"/>
    <x v="290"/>
    <x v="52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09652"/>
    <n v="0"/>
    <n v="0"/>
    <n v="109652"/>
    <n v="5629248"/>
    <m/>
    <x v="1"/>
    <n v="5629248"/>
  </r>
  <r>
    <x v="1"/>
    <x v="14"/>
    <x v="14"/>
    <x v="3"/>
    <s v="Apoyo a la función pública y al mejoramiento de la gestión"/>
    <x v="2"/>
    <x v="42"/>
    <x v="303"/>
    <x v="541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73936"/>
    <n v="0"/>
    <n v="0"/>
    <n v="173936"/>
    <n v="180310"/>
    <m/>
    <x v="1"/>
    <n v="180310"/>
  </r>
  <r>
    <x v="1"/>
    <x v="14"/>
    <x v="14"/>
    <x v="3"/>
    <s v="Apoyo a la función pública y al mejoramiento de la gestión"/>
    <x v="2"/>
    <x v="42"/>
    <x v="303"/>
    <x v="54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115837"/>
    <n v="0"/>
    <n v="-173728"/>
    <n v="2942109"/>
    <n v="2644611"/>
    <m/>
    <x v="1"/>
    <n v="2644611"/>
  </r>
  <r>
    <x v="1"/>
    <x v="14"/>
    <x v="14"/>
    <x v="3"/>
    <s v="Apoyo a la función pública y al mejoramiento de la gestión"/>
    <x v="2"/>
    <x v="42"/>
    <x v="304"/>
    <x v="54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73936"/>
    <n v="0"/>
    <n v="0"/>
    <n v="173936"/>
    <n v="149994"/>
    <m/>
    <x v="1"/>
    <n v="149994"/>
  </r>
  <r>
    <x v="1"/>
    <x v="14"/>
    <x v="14"/>
    <x v="3"/>
    <s v="Apoyo a la función pública y al mejoramiento de la gestión"/>
    <x v="2"/>
    <x v="42"/>
    <x v="304"/>
    <x v="54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211829"/>
    <n v="0"/>
    <n v="-190674"/>
    <n v="3021155"/>
    <n v="2357985"/>
    <m/>
    <x v="1"/>
    <n v="2357985"/>
  </r>
  <r>
    <x v="1"/>
    <x v="14"/>
    <x v="14"/>
    <x v="3"/>
    <s v="Apoyo a la función pública y al mejoramiento de la gestión"/>
    <x v="2"/>
    <x v="42"/>
    <x v="291"/>
    <x v="525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43113"/>
    <n v="0"/>
    <n v="0"/>
    <n v="143113"/>
    <n v="230230"/>
    <m/>
    <x v="1"/>
    <n v="230230"/>
  </r>
  <r>
    <x v="1"/>
    <x v="14"/>
    <x v="14"/>
    <x v="3"/>
    <s v="Apoyo a la función pública y al mejoramiento de la gestión"/>
    <x v="2"/>
    <x v="42"/>
    <x v="291"/>
    <x v="52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721560"/>
    <n v="0"/>
    <n v="0"/>
    <n v="3721560"/>
    <n v="4736352"/>
    <m/>
    <x v="1"/>
    <n v="4736352"/>
  </r>
  <r>
    <x v="1"/>
    <x v="14"/>
    <x v="14"/>
    <x v="3"/>
    <s v="Apoyo a la función pública y al mejoramiento de la gestión"/>
    <x v="2"/>
    <x v="42"/>
    <x v="292"/>
    <x v="526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60971"/>
    <n v="0"/>
    <n v="0"/>
    <n v="160971"/>
    <n v="473021"/>
    <m/>
    <x v="1"/>
    <n v="473021"/>
  </r>
  <r>
    <x v="1"/>
    <x v="14"/>
    <x v="14"/>
    <x v="3"/>
    <s v="Apoyo a la función pública y al mejoramiento de la gestión"/>
    <x v="2"/>
    <x v="42"/>
    <x v="292"/>
    <x v="52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019631"/>
    <n v="0"/>
    <n v="0"/>
    <n v="3019631"/>
    <n v="6755217"/>
    <m/>
    <x v="1"/>
    <n v="6755217"/>
  </r>
  <r>
    <x v="1"/>
    <x v="14"/>
    <x v="14"/>
    <x v="3"/>
    <s v="Apoyo a la función pública y al mejoramiento de la gestión"/>
    <x v="2"/>
    <x v="42"/>
    <x v="293"/>
    <x v="527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03496"/>
    <n v="0"/>
    <n v="0"/>
    <n v="203496"/>
    <n v="242202"/>
    <m/>
    <x v="1"/>
    <n v="242202"/>
  </r>
  <r>
    <x v="1"/>
    <x v="14"/>
    <x v="14"/>
    <x v="3"/>
    <s v="Apoyo a la función pública y al mejoramiento de la gestión"/>
    <x v="2"/>
    <x v="42"/>
    <x v="293"/>
    <x v="52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077962"/>
    <n v="0"/>
    <n v="0"/>
    <n v="4077962"/>
    <n v="3951673"/>
    <m/>
    <x v="1"/>
    <n v="3951673"/>
  </r>
  <r>
    <x v="1"/>
    <x v="14"/>
    <x v="14"/>
    <x v="3"/>
    <s v="Apoyo a la función pública y al mejoramiento de la gestión"/>
    <x v="2"/>
    <x v="42"/>
    <x v="294"/>
    <x v="52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85499"/>
    <n v="0"/>
    <n v="0"/>
    <n v="185499"/>
    <n v="220308"/>
    <m/>
    <x v="1"/>
    <n v="220308"/>
  </r>
  <r>
    <x v="1"/>
    <x v="14"/>
    <x v="14"/>
    <x v="3"/>
    <s v="Apoyo a la función pública y al mejoramiento de la gestión"/>
    <x v="2"/>
    <x v="42"/>
    <x v="294"/>
    <x v="52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554708"/>
    <n v="0"/>
    <n v="0"/>
    <n v="3554708"/>
    <n v="3727786"/>
    <m/>
    <x v="1"/>
    <n v="3727786"/>
  </r>
  <r>
    <x v="1"/>
    <x v="14"/>
    <x v="14"/>
    <x v="3"/>
    <s v="Apoyo a la función pública y al mejoramiento de la gestión"/>
    <x v="2"/>
    <x v="42"/>
    <x v="295"/>
    <x v="529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22728"/>
    <n v="0"/>
    <n v="0"/>
    <n v="122728"/>
    <n v="127850"/>
    <m/>
    <x v="1"/>
    <n v="127850"/>
  </r>
  <r>
    <x v="1"/>
    <x v="14"/>
    <x v="14"/>
    <x v="3"/>
    <s v="Apoyo a la función pública y al mejoramiento de la gestión"/>
    <x v="2"/>
    <x v="42"/>
    <x v="295"/>
    <x v="52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830956"/>
    <n v="0"/>
    <n v="0"/>
    <n v="2830956"/>
    <n v="2887688"/>
    <m/>
    <x v="1"/>
    <n v="2887688"/>
  </r>
  <r>
    <x v="1"/>
    <x v="14"/>
    <x v="14"/>
    <x v="3"/>
    <s v="Apoyo a la función pública y al mejoramiento de la gestión"/>
    <x v="2"/>
    <x v="42"/>
    <x v="296"/>
    <x v="53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28384"/>
    <n v="0"/>
    <n v="0"/>
    <n v="228384"/>
    <n v="212751"/>
    <m/>
    <x v="1"/>
    <n v="212751"/>
  </r>
  <r>
    <x v="1"/>
    <x v="14"/>
    <x v="14"/>
    <x v="3"/>
    <s v="Apoyo a la función pública y al mejoramiento de la gestión"/>
    <x v="2"/>
    <x v="42"/>
    <x v="296"/>
    <x v="53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892094"/>
    <n v="0"/>
    <n v="0"/>
    <n v="3892094"/>
    <n v="3928687"/>
    <m/>
    <x v="1"/>
    <n v="3928687"/>
  </r>
  <r>
    <x v="1"/>
    <x v="14"/>
    <x v="14"/>
    <x v="3"/>
    <s v="Apoyo a la función pública y al mejoramiento de la gestión"/>
    <x v="2"/>
    <x v="42"/>
    <x v="297"/>
    <x v="531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99849"/>
    <n v="0"/>
    <n v="0"/>
    <n v="199849"/>
    <n v="237107"/>
    <m/>
    <x v="1"/>
    <n v="237107"/>
  </r>
  <r>
    <x v="1"/>
    <x v="14"/>
    <x v="14"/>
    <x v="3"/>
    <s v="Apoyo a la función pública y al mejoramiento de la gestión"/>
    <x v="2"/>
    <x v="42"/>
    <x v="297"/>
    <x v="53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326832"/>
    <n v="0"/>
    <n v="0"/>
    <n v="3326832"/>
    <n v="3577979"/>
    <m/>
    <x v="1"/>
    <n v="3577979"/>
  </r>
  <r>
    <x v="1"/>
    <x v="14"/>
    <x v="14"/>
    <x v="3"/>
    <s v="Apoyo a la función pública y al mejoramiento de la gestión"/>
    <x v="2"/>
    <x v="42"/>
    <x v="298"/>
    <x v="53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99762"/>
    <n v="0"/>
    <n v="0"/>
    <n v="199762"/>
    <n v="210138"/>
    <m/>
    <x v="1"/>
    <n v="210138"/>
  </r>
  <r>
    <x v="1"/>
    <x v="14"/>
    <x v="14"/>
    <x v="3"/>
    <s v="Apoyo a la función pública y al mejoramiento de la gestión"/>
    <x v="2"/>
    <x v="42"/>
    <x v="298"/>
    <x v="53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732867"/>
    <n v="0"/>
    <n v="0"/>
    <n v="3732867"/>
    <n v="3716094"/>
    <m/>
    <x v="1"/>
    <n v="3716094"/>
  </r>
  <r>
    <x v="1"/>
    <x v="14"/>
    <x v="14"/>
    <x v="3"/>
    <s v="Apoyo a la función pública y al mejoramiento de la gestión"/>
    <x v="2"/>
    <x v="42"/>
    <x v="299"/>
    <x v="533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1"/>
    <x v="0"/>
    <m/>
    <x v="0"/>
    <x v="0"/>
    <m/>
    <n v="138162"/>
    <n v="0"/>
    <n v="0"/>
    <n v="138162"/>
    <n v="102253"/>
    <m/>
    <x v="1"/>
    <n v="102253"/>
  </r>
  <r>
    <x v="1"/>
    <x v="14"/>
    <x v="14"/>
    <x v="3"/>
    <s v="Apoyo a la función pública y al mejoramiento de la gestión"/>
    <x v="2"/>
    <x v="42"/>
    <x v="299"/>
    <x v="53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1"/>
    <x v="0"/>
    <m/>
    <x v="0"/>
    <x v="0"/>
    <m/>
    <n v="3283906"/>
    <n v="0"/>
    <n v="0"/>
    <n v="3283906"/>
    <n v="3051029"/>
    <m/>
    <x v="1"/>
    <n v="3051029"/>
  </r>
  <r>
    <x v="1"/>
    <x v="14"/>
    <x v="14"/>
    <x v="3"/>
    <s v="Apoyo a la función pública y al mejoramiento de la gestión"/>
    <x v="2"/>
    <x v="42"/>
    <x v="300"/>
    <x v="534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73577"/>
    <n v="0"/>
    <n v="0"/>
    <n v="273577"/>
    <n v="229665"/>
    <m/>
    <x v="1"/>
    <n v="229665"/>
  </r>
  <r>
    <x v="1"/>
    <x v="14"/>
    <x v="14"/>
    <x v="3"/>
    <s v="Apoyo a la función pública y al mejoramiento de la gestión"/>
    <x v="2"/>
    <x v="42"/>
    <x v="300"/>
    <x v="53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787234"/>
    <n v="0"/>
    <n v="0"/>
    <n v="4787234"/>
    <n v="4145094"/>
    <m/>
    <x v="1"/>
    <n v="4145094"/>
  </r>
  <r>
    <x v="1"/>
    <x v="14"/>
    <x v="14"/>
    <x v="3"/>
    <s v="Apoyo a la función pública y al mejoramiento de la gestión"/>
    <x v="2"/>
    <x v="42"/>
    <x v="301"/>
    <x v="535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618826"/>
    <n v="0"/>
    <n v="0"/>
    <n v="618826"/>
    <n v="618828"/>
    <m/>
    <x v="1"/>
    <n v="618828"/>
  </r>
  <r>
    <x v="1"/>
    <x v="14"/>
    <x v="14"/>
    <x v="3"/>
    <s v="Apoyo a la función pública y al mejoramiento de la gestión"/>
    <x v="2"/>
    <x v="42"/>
    <x v="301"/>
    <x v="53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9989502"/>
    <n v="0"/>
    <n v="0"/>
    <n v="19989502"/>
    <n v="17579152"/>
    <m/>
    <x v="1"/>
    <n v="17579152"/>
  </r>
  <r>
    <x v="1"/>
    <x v="14"/>
    <x v="14"/>
    <x v="3"/>
    <s v="Apoyo a la función pública y al mejoramiento de la gestión"/>
    <x v="32"/>
    <x v="121"/>
    <x v="105"/>
    <x v="6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1656985"/>
    <n v="0"/>
    <n v="0"/>
    <n v="11656985"/>
    <m/>
    <m/>
    <x v="1"/>
    <n v="0"/>
  </r>
  <r>
    <x v="1"/>
    <x v="14"/>
    <x v="14"/>
    <x v="5"/>
    <s v="Planeación, seguimiento y evaluación de políticas públicas"/>
    <x v="13"/>
    <x v="445"/>
    <x v="1"/>
    <x v="78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759890"/>
    <n v="0"/>
    <n v="0"/>
    <n v="759890"/>
    <n v="1271234"/>
    <m/>
    <x v="1"/>
    <n v="1271234"/>
  </r>
  <r>
    <x v="1"/>
    <x v="14"/>
    <x v="14"/>
    <x v="5"/>
    <s v="Planeación, seguimiento y evaluación de políticas públicas"/>
    <x v="13"/>
    <x v="445"/>
    <x v="1"/>
    <x v="78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50357428"/>
    <n v="0"/>
    <n v="0"/>
    <n v="50357428"/>
    <n v="70532139"/>
    <m/>
    <x v="1"/>
    <n v="70532139"/>
  </r>
  <r>
    <x v="1"/>
    <x v="14"/>
    <x v="14"/>
    <x v="5"/>
    <s v="Planeación, seguimiento y evaluación de políticas públicas"/>
    <x v="13"/>
    <x v="445"/>
    <x v="22"/>
    <x v="43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1617163"/>
    <n v="0"/>
    <n v="0"/>
    <n v="1617163"/>
    <n v="1691227"/>
    <m/>
    <x v="1"/>
    <n v="1691227"/>
  </r>
  <r>
    <x v="1"/>
    <x v="14"/>
    <x v="14"/>
    <x v="5"/>
    <s v="Planeación, seguimiento y evaluación de políticas públicas"/>
    <x v="13"/>
    <x v="445"/>
    <x v="22"/>
    <x v="43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36208228"/>
    <n v="0"/>
    <n v="0"/>
    <n v="36208228"/>
    <n v="38128933"/>
    <m/>
    <x v="1"/>
    <n v="38128933"/>
  </r>
  <r>
    <x v="1"/>
    <x v="14"/>
    <x v="14"/>
    <x v="5"/>
    <s v="Planeación, seguimiento y evaluación de políticas públicas"/>
    <x v="13"/>
    <x v="445"/>
    <x v="23"/>
    <x v="93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274982"/>
    <n v="0"/>
    <n v="0"/>
    <n v="274982"/>
    <n v="1508608"/>
    <m/>
    <x v="1"/>
    <n v="1508608"/>
  </r>
  <r>
    <x v="1"/>
    <x v="14"/>
    <x v="14"/>
    <x v="5"/>
    <s v="Planeación, seguimiento y evaluación de políticas públicas"/>
    <x v="13"/>
    <x v="445"/>
    <x v="23"/>
    <x v="93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32696963"/>
    <n v="0"/>
    <n v="0"/>
    <n v="32696963"/>
    <n v="67429006"/>
    <m/>
    <x v="1"/>
    <n v="67429006"/>
  </r>
  <r>
    <x v="1"/>
    <x v="14"/>
    <x v="14"/>
    <x v="5"/>
    <s v="Planeación, seguimiento y evaluación de políticas públicas"/>
    <x v="13"/>
    <x v="445"/>
    <x v="21"/>
    <x v="552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282999"/>
    <n v="0"/>
    <n v="0"/>
    <n v="282999"/>
    <n v="325278"/>
    <m/>
    <x v="1"/>
    <n v="325278"/>
  </r>
  <r>
    <x v="1"/>
    <x v="14"/>
    <x v="14"/>
    <x v="5"/>
    <s v="Planeación, seguimiento y evaluación de políticas públicas"/>
    <x v="13"/>
    <x v="445"/>
    <x v="21"/>
    <x v="552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15610715"/>
    <n v="0"/>
    <n v="0"/>
    <n v="15610715"/>
    <n v="15473437"/>
    <m/>
    <x v="1"/>
    <n v="15473437"/>
  </r>
  <r>
    <x v="1"/>
    <x v="14"/>
    <x v="14"/>
    <x v="5"/>
    <s v="Planeación, seguimiento y evaluación de políticas públicas"/>
    <x v="13"/>
    <x v="445"/>
    <x v="283"/>
    <x v="515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2896150"/>
    <n v="0"/>
    <n v="-25000"/>
    <n v="2871150"/>
    <n v="2871150"/>
    <m/>
    <x v="1"/>
    <n v="2871150"/>
  </r>
  <r>
    <x v="1"/>
    <x v="14"/>
    <x v="14"/>
    <x v="5"/>
    <s v="Planeación, seguimiento y evaluación de políticas públicas"/>
    <x v="13"/>
    <x v="445"/>
    <x v="58"/>
    <x v="560"/>
    <n v="2"/>
    <s v="Desarrollo Social"/>
    <n v="1"/>
    <s v="Salud"/>
    <n v="4"/>
    <x v="57"/>
    <x v="14"/>
    <x v="110"/>
    <n v="2"/>
    <s v="Gasto de capital"/>
    <x v="0"/>
    <x v="0"/>
    <x v="0"/>
    <x v="0"/>
    <x v="0"/>
    <x v="0"/>
    <x v="0"/>
    <m/>
    <x v="0"/>
    <x v="0"/>
    <m/>
    <n v="600000000"/>
    <n v="0"/>
    <n v="0"/>
    <n v="600000000"/>
    <m/>
    <m/>
    <x v="1"/>
    <n v="0"/>
  </r>
  <r>
    <x v="1"/>
    <x v="14"/>
    <x v="14"/>
    <x v="5"/>
    <s v="Planeación, seguimiento y evaluación de políticas públicas"/>
    <x v="13"/>
    <x v="445"/>
    <x v="85"/>
    <x v="72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1430591"/>
    <n v="0"/>
    <n v="0"/>
    <n v="1430591"/>
    <n v="1472894"/>
    <m/>
    <x v="1"/>
    <n v="1472894"/>
  </r>
  <r>
    <x v="1"/>
    <x v="14"/>
    <x v="14"/>
    <x v="5"/>
    <s v="Planeación, seguimiento y evaluación de políticas públicas"/>
    <x v="13"/>
    <x v="445"/>
    <x v="85"/>
    <x v="72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110873903"/>
    <n v="0"/>
    <n v="0"/>
    <n v="110873903"/>
    <n v="87366555"/>
    <m/>
    <x v="1"/>
    <n v="87366555"/>
  </r>
  <r>
    <x v="1"/>
    <x v="14"/>
    <x v="14"/>
    <x v="5"/>
    <s v="Planeación, seguimiento y evaluación de políticas públicas"/>
    <x v="13"/>
    <x v="445"/>
    <x v="74"/>
    <x v="561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5335812"/>
    <n v="0"/>
    <n v="0"/>
    <n v="5335812"/>
    <n v="6412983"/>
    <m/>
    <x v="1"/>
    <n v="6412983"/>
  </r>
  <r>
    <x v="1"/>
    <x v="14"/>
    <x v="14"/>
    <x v="5"/>
    <s v="Planeación, seguimiento y evaluación de políticas públicas"/>
    <x v="13"/>
    <x v="445"/>
    <x v="74"/>
    <x v="561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106082385"/>
    <n v="0"/>
    <n v="0"/>
    <n v="106082385"/>
    <n v="106987616"/>
    <m/>
    <x v="1"/>
    <n v="106987616"/>
  </r>
  <r>
    <x v="1"/>
    <x v="14"/>
    <x v="14"/>
    <x v="5"/>
    <s v="Planeación, seguimiento y evaluación de políticas públicas"/>
    <x v="13"/>
    <x v="445"/>
    <x v="75"/>
    <x v="516"/>
    <n v="2"/>
    <s v="Desarrollo Social"/>
    <n v="1"/>
    <s v="Salud"/>
    <n v="4"/>
    <x v="57"/>
    <x v="25"/>
    <x v="111"/>
    <n v="1"/>
    <s v="Gasto corriente"/>
    <x v="0"/>
    <x v="0"/>
    <x v="0"/>
    <x v="0"/>
    <x v="0"/>
    <x v="0"/>
    <x v="0"/>
    <m/>
    <x v="0"/>
    <x v="0"/>
    <m/>
    <n v="330824459"/>
    <n v="0"/>
    <n v="0"/>
    <n v="330824459"/>
    <n v="331678954"/>
    <m/>
    <x v="1"/>
    <n v="331678954"/>
  </r>
  <r>
    <x v="1"/>
    <x v="14"/>
    <x v="14"/>
    <x v="5"/>
    <s v="Planeación, seguimiento y evaluación de políticas públicas"/>
    <x v="13"/>
    <x v="445"/>
    <x v="72"/>
    <x v="562"/>
    <n v="2"/>
    <s v="Desarrollo Social"/>
    <n v="1"/>
    <s v="Salud"/>
    <n v="4"/>
    <x v="57"/>
    <x v="25"/>
    <x v="111"/>
    <n v="1"/>
    <s v="Gasto corriente"/>
    <x v="0"/>
    <x v="1"/>
    <x v="0"/>
    <x v="0"/>
    <x v="0"/>
    <x v="0"/>
    <x v="0"/>
    <m/>
    <x v="0"/>
    <x v="0"/>
    <m/>
    <n v="2502845"/>
    <n v="0"/>
    <n v="0"/>
    <n v="2502845"/>
    <n v="2321846"/>
    <m/>
    <x v="1"/>
    <n v="2321846"/>
  </r>
  <r>
    <x v="1"/>
    <x v="14"/>
    <x v="14"/>
    <x v="5"/>
    <s v="Planeación, seguimiento y evaluación de políticas públicas"/>
    <x v="13"/>
    <x v="445"/>
    <x v="72"/>
    <x v="562"/>
    <n v="2"/>
    <s v="Desarrollo Social"/>
    <n v="1"/>
    <s v="Salud"/>
    <n v="4"/>
    <x v="57"/>
    <x v="25"/>
    <x v="111"/>
    <n v="1"/>
    <s v="Gasto corriente"/>
    <x v="0"/>
    <x v="0"/>
    <x v="0"/>
    <x v="0"/>
    <x v="0"/>
    <x v="0"/>
    <x v="0"/>
    <m/>
    <x v="0"/>
    <x v="0"/>
    <m/>
    <n v="58715780"/>
    <n v="0"/>
    <n v="0"/>
    <n v="58715780"/>
    <n v="63983026"/>
    <m/>
    <x v="1"/>
    <n v="63983026"/>
  </r>
  <r>
    <x v="1"/>
    <x v="14"/>
    <x v="14"/>
    <x v="5"/>
    <s v="Planeación, seguimiento y evaluación de políticas públicas"/>
    <x v="13"/>
    <x v="445"/>
    <x v="77"/>
    <x v="563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354857"/>
    <n v="0"/>
    <n v="0"/>
    <n v="354857"/>
    <n v="859453"/>
    <m/>
    <x v="1"/>
    <n v="859453"/>
  </r>
  <r>
    <x v="1"/>
    <x v="14"/>
    <x v="14"/>
    <x v="5"/>
    <s v="Planeación, seguimiento y evaluación de políticas públicas"/>
    <x v="13"/>
    <x v="445"/>
    <x v="77"/>
    <x v="563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26809024"/>
    <n v="0"/>
    <n v="0"/>
    <n v="26809024"/>
    <n v="37821849"/>
    <m/>
    <x v="1"/>
    <n v="37821849"/>
  </r>
  <r>
    <x v="1"/>
    <x v="14"/>
    <x v="14"/>
    <x v="5"/>
    <s v="Planeación, seguimiento y evaluación de políticas públicas"/>
    <x v="13"/>
    <x v="445"/>
    <x v="77"/>
    <x v="563"/>
    <n v="2"/>
    <s v="Desarrollo Social"/>
    <n v="1"/>
    <s v="Salud"/>
    <n v="4"/>
    <x v="57"/>
    <x v="18"/>
    <x v="112"/>
    <n v="1"/>
    <s v="Gasto corriente"/>
    <x v="0"/>
    <x v="0"/>
    <x v="0"/>
    <x v="0"/>
    <x v="0"/>
    <x v="0"/>
    <x v="0"/>
    <m/>
    <x v="0"/>
    <x v="0"/>
    <m/>
    <n v="37343238"/>
    <n v="0"/>
    <n v="-1867000"/>
    <n v="35476238"/>
    <n v="44483069"/>
    <m/>
    <x v="1"/>
    <n v="44483069"/>
  </r>
  <r>
    <x v="1"/>
    <x v="14"/>
    <x v="14"/>
    <x v="5"/>
    <s v="Planeación, seguimiento y evaluación de políticas públicas"/>
    <x v="13"/>
    <x v="445"/>
    <x v="78"/>
    <x v="564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199279"/>
    <n v="0"/>
    <n v="0"/>
    <n v="199279"/>
    <n v="268456"/>
    <m/>
    <x v="1"/>
    <n v="268456"/>
  </r>
  <r>
    <x v="1"/>
    <x v="14"/>
    <x v="14"/>
    <x v="5"/>
    <s v="Planeación, seguimiento y evaluación de políticas públicas"/>
    <x v="13"/>
    <x v="445"/>
    <x v="78"/>
    <x v="564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9371122"/>
    <n v="0"/>
    <n v="0"/>
    <n v="9371122"/>
    <n v="12090776"/>
    <m/>
    <x v="1"/>
    <n v="12090776"/>
  </r>
  <r>
    <x v="1"/>
    <x v="14"/>
    <x v="14"/>
    <x v="5"/>
    <s v="Planeación, seguimiento y evaluación de políticas públicas"/>
    <x v="13"/>
    <x v="445"/>
    <x v="78"/>
    <x v="564"/>
    <n v="2"/>
    <s v="Desarrollo Social"/>
    <n v="1"/>
    <s v="Salud"/>
    <n v="4"/>
    <x v="57"/>
    <x v="18"/>
    <x v="112"/>
    <n v="1"/>
    <s v="Gasto corriente"/>
    <x v="0"/>
    <x v="0"/>
    <x v="0"/>
    <x v="0"/>
    <x v="0"/>
    <x v="0"/>
    <x v="0"/>
    <m/>
    <x v="0"/>
    <x v="0"/>
    <m/>
    <n v="44365543"/>
    <n v="0"/>
    <n v="-2218000"/>
    <n v="42147543"/>
    <n v="37138007"/>
    <m/>
    <x v="1"/>
    <n v="37138007"/>
  </r>
  <r>
    <x v="1"/>
    <x v="14"/>
    <x v="14"/>
    <x v="5"/>
    <s v="Planeación, seguimiento y evaluación de políticas públicas"/>
    <x v="13"/>
    <x v="445"/>
    <x v="298"/>
    <x v="532"/>
    <n v="2"/>
    <s v="Desarrollo Social"/>
    <n v="1"/>
    <s v="Salud"/>
    <n v="4"/>
    <x v="57"/>
    <x v="25"/>
    <x v="111"/>
    <n v="1"/>
    <s v="Gasto corriente"/>
    <x v="0"/>
    <x v="1"/>
    <x v="0"/>
    <x v="0"/>
    <x v="0"/>
    <x v="0"/>
    <x v="1"/>
    <m/>
    <x v="0"/>
    <x v="0"/>
    <m/>
    <n v="695627"/>
    <n v="0"/>
    <n v="0"/>
    <n v="695627"/>
    <n v="948951"/>
    <m/>
    <x v="1"/>
    <n v="948951"/>
  </r>
  <r>
    <x v="1"/>
    <x v="14"/>
    <x v="14"/>
    <x v="5"/>
    <s v="Planeación, seguimiento y evaluación de políticas públicas"/>
    <x v="13"/>
    <x v="445"/>
    <x v="298"/>
    <x v="532"/>
    <n v="2"/>
    <s v="Desarrollo Social"/>
    <n v="1"/>
    <s v="Salud"/>
    <n v="4"/>
    <x v="57"/>
    <x v="25"/>
    <x v="111"/>
    <n v="1"/>
    <s v="Gasto corriente"/>
    <x v="0"/>
    <x v="0"/>
    <x v="0"/>
    <x v="0"/>
    <x v="0"/>
    <x v="0"/>
    <x v="1"/>
    <m/>
    <x v="0"/>
    <x v="0"/>
    <m/>
    <n v="10842175"/>
    <n v="0"/>
    <n v="0"/>
    <n v="10842175"/>
    <n v="13459691"/>
    <m/>
    <x v="1"/>
    <n v="13459691"/>
  </r>
  <r>
    <x v="1"/>
    <x v="14"/>
    <x v="14"/>
    <x v="5"/>
    <s v="Planeación, seguimiento y evaluación de políticas públicas"/>
    <x v="13"/>
    <x v="445"/>
    <x v="33"/>
    <x v="545"/>
    <n v="2"/>
    <s v="Desarrollo Social"/>
    <n v="1"/>
    <s v="Salud"/>
    <n v="4"/>
    <x v="57"/>
    <x v="25"/>
    <x v="111"/>
    <n v="1"/>
    <s v="Gasto corriente"/>
    <x v="0"/>
    <x v="0"/>
    <x v="0"/>
    <x v="0"/>
    <x v="0"/>
    <x v="0"/>
    <x v="0"/>
    <m/>
    <x v="0"/>
    <x v="0"/>
    <m/>
    <n v="3960811"/>
    <n v="0"/>
    <n v="0"/>
    <n v="3960811"/>
    <n v="3960811"/>
    <m/>
    <x v="1"/>
    <n v="3960811"/>
  </r>
  <r>
    <x v="1"/>
    <x v="14"/>
    <x v="14"/>
    <x v="5"/>
    <s v="Planeación, seguimiento y evaluación de políticas públicas"/>
    <x v="13"/>
    <x v="445"/>
    <x v="314"/>
    <x v="567"/>
    <n v="2"/>
    <s v="Desarrollo Social"/>
    <n v="1"/>
    <s v="Salud"/>
    <n v="4"/>
    <x v="57"/>
    <x v="25"/>
    <x v="111"/>
    <n v="1"/>
    <s v="Gasto corriente"/>
    <x v="0"/>
    <x v="1"/>
    <x v="0"/>
    <x v="0"/>
    <x v="0"/>
    <x v="0"/>
    <x v="0"/>
    <m/>
    <x v="0"/>
    <x v="0"/>
    <m/>
    <m/>
    <m/>
    <m/>
    <m/>
    <n v="196350"/>
    <m/>
    <x v="1"/>
    <n v="196350"/>
  </r>
  <r>
    <x v="1"/>
    <x v="14"/>
    <x v="14"/>
    <x v="5"/>
    <s v="Planeación, seguimiento y evaluación de políticas públicas"/>
    <x v="13"/>
    <x v="445"/>
    <x v="314"/>
    <x v="567"/>
    <n v="2"/>
    <s v="Desarrollo Social"/>
    <n v="1"/>
    <s v="Salud"/>
    <n v="4"/>
    <x v="57"/>
    <x v="25"/>
    <x v="111"/>
    <n v="1"/>
    <s v="Gasto corriente"/>
    <x v="0"/>
    <x v="0"/>
    <x v="0"/>
    <x v="0"/>
    <x v="0"/>
    <x v="0"/>
    <x v="0"/>
    <m/>
    <x v="0"/>
    <x v="0"/>
    <m/>
    <n v="3873004"/>
    <n v="0"/>
    <n v="0"/>
    <n v="3873004"/>
    <n v="13792961"/>
    <m/>
    <x v="1"/>
    <n v="13792961"/>
  </r>
  <r>
    <x v="1"/>
    <x v="14"/>
    <x v="14"/>
    <x v="5"/>
    <s v="Planeación, seguimiento y evaluación de políticas públicas"/>
    <x v="13"/>
    <x v="445"/>
    <x v="314"/>
    <x v="567"/>
    <n v="2"/>
    <s v="Desarrollo Social"/>
    <n v="1"/>
    <s v="Salud"/>
    <n v="4"/>
    <x v="57"/>
    <x v="25"/>
    <x v="111"/>
    <n v="2"/>
    <s v="Gasto de capital"/>
    <x v="0"/>
    <x v="0"/>
    <x v="0"/>
    <x v="0"/>
    <x v="0"/>
    <x v="0"/>
    <x v="0"/>
    <m/>
    <x v="0"/>
    <x v="0"/>
    <m/>
    <n v="114526"/>
    <n v="0"/>
    <n v="0"/>
    <n v="114526"/>
    <m/>
    <m/>
    <x v="1"/>
    <n v="0"/>
  </r>
  <r>
    <x v="1"/>
    <x v="14"/>
    <x v="14"/>
    <x v="5"/>
    <s v="Planeación, seguimiento y evaluación de políticas públicas"/>
    <x v="14"/>
    <x v="446"/>
    <x v="311"/>
    <x v="553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391245"/>
    <n v="0"/>
    <n v="0"/>
    <n v="391245"/>
    <n v="473605"/>
    <m/>
    <x v="1"/>
    <n v="473605"/>
  </r>
  <r>
    <x v="1"/>
    <x v="14"/>
    <x v="14"/>
    <x v="5"/>
    <s v="Planeación, seguimiento y evaluación de políticas públicas"/>
    <x v="14"/>
    <x v="446"/>
    <x v="311"/>
    <x v="553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37787531"/>
    <n v="0"/>
    <n v="0"/>
    <n v="37787531"/>
    <n v="36218391"/>
    <m/>
    <x v="1"/>
    <n v="36218391"/>
  </r>
  <r>
    <x v="1"/>
    <x v="14"/>
    <x v="14"/>
    <x v="5"/>
    <s v="Planeación, seguimiento y evaluación de políticas públicas"/>
    <x v="14"/>
    <x v="446"/>
    <x v="312"/>
    <x v="554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615883"/>
    <n v="0"/>
    <n v="0"/>
    <n v="615883"/>
    <n v="779657"/>
    <m/>
    <x v="1"/>
    <n v="779657"/>
  </r>
  <r>
    <x v="1"/>
    <x v="14"/>
    <x v="14"/>
    <x v="5"/>
    <s v="Planeación, seguimiento y evaluación de políticas públicas"/>
    <x v="14"/>
    <x v="446"/>
    <x v="312"/>
    <x v="554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16650014"/>
    <n v="0"/>
    <n v="0"/>
    <n v="16650014"/>
    <n v="17724091"/>
    <m/>
    <x v="1"/>
    <n v="17724091"/>
  </r>
  <r>
    <x v="1"/>
    <x v="14"/>
    <x v="14"/>
    <x v="5"/>
    <s v="Planeación, seguimiento y evaluación de políticas públicas"/>
    <x v="14"/>
    <x v="446"/>
    <x v="92"/>
    <x v="565"/>
    <n v="2"/>
    <s v="Desarrollo Social"/>
    <n v="5"/>
    <s v="Asistencia Social"/>
    <n v="3"/>
    <x v="54"/>
    <x v="16"/>
    <x v="101"/>
    <n v="1"/>
    <s v="Gasto corriente"/>
    <x v="0"/>
    <x v="1"/>
    <x v="0"/>
    <x v="0"/>
    <x v="0"/>
    <x v="0"/>
    <x v="0"/>
    <m/>
    <x v="0"/>
    <x v="0"/>
    <m/>
    <n v="1507666"/>
    <n v="0"/>
    <n v="0"/>
    <n v="1507666"/>
    <n v="2109511"/>
    <m/>
    <x v="1"/>
    <n v="2109511"/>
  </r>
  <r>
    <x v="1"/>
    <x v="14"/>
    <x v="14"/>
    <x v="5"/>
    <s v="Planeación, seguimiento y evaluación de políticas públicas"/>
    <x v="14"/>
    <x v="446"/>
    <x v="92"/>
    <x v="565"/>
    <n v="2"/>
    <s v="Desarrollo Social"/>
    <n v="5"/>
    <s v="Asistencia Social"/>
    <n v="3"/>
    <x v="54"/>
    <x v="16"/>
    <x v="101"/>
    <n v="1"/>
    <s v="Gasto corriente"/>
    <x v="0"/>
    <x v="0"/>
    <x v="0"/>
    <x v="0"/>
    <x v="0"/>
    <x v="0"/>
    <x v="0"/>
    <m/>
    <x v="0"/>
    <x v="0"/>
    <m/>
    <n v="58275617"/>
    <n v="0"/>
    <n v="0"/>
    <n v="58275617"/>
    <n v="63513000"/>
    <m/>
    <x v="1"/>
    <n v="63513000"/>
  </r>
  <r>
    <x v="1"/>
    <x v="14"/>
    <x v="14"/>
    <x v="5"/>
    <s v="Planeación, seguimiento y evaluación de políticas públicas"/>
    <x v="14"/>
    <x v="446"/>
    <x v="30"/>
    <x v="538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2630549"/>
    <n v="0"/>
    <n v="0"/>
    <n v="2630549"/>
    <n v="2700391"/>
    <m/>
    <x v="1"/>
    <n v="2700391"/>
  </r>
  <r>
    <x v="1"/>
    <x v="14"/>
    <x v="14"/>
    <x v="5"/>
    <s v="Planeación, seguimiento y evaluación de políticas públicas"/>
    <x v="14"/>
    <x v="446"/>
    <x v="30"/>
    <x v="538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57710093"/>
    <n v="0"/>
    <n v="0"/>
    <n v="57710093"/>
    <n v="57864136"/>
    <m/>
    <x v="1"/>
    <n v="57864136"/>
  </r>
  <r>
    <x v="1"/>
    <x v="14"/>
    <x v="14"/>
    <x v="5"/>
    <s v="Planeación, seguimiento y evaluación de políticas públicas"/>
    <x v="14"/>
    <x v="446"/>
    <x v="65"/>
    <x v="540"/>
    <n v="2"/>
    <s v="Desarrollo Social"/>
    <n v="1"/>
    <s v="Salud"/>
    <n v="4"/>
    <x v="57"/>
    <x v="25"/>
    <x v="111"/>
    <n v="1"/>
    <s v="Gasto corriente"/>
    <x v="0"/>
    <x v="1"/>
    <x v="0"/>
    <x v="0"/>
    <x v="0"/>
    <x v="0"/>
    <x v="0"/>
    <m/>
    <x v="0"/>
    <x v="0"/>
    <m/>
    <n v="1886744"/>
    <n v="0"/>
    <n v="0"/>
    <n v="1886744"/>
    <n v="1944939"/>
    <m/>
    <x v="1"/>
    <n v="1944939"/>
  </r>
  <r>
    <x v="1"/>
    <x v="14"/>
    <x v="14"/>
    <x v="5"/>
    <s v="Planeación, seguimiento y evaluación de políticas públicas"/>
    <x v="14"/>
    <x v="446"/>
    <x v="65"/>
    <x v="540"/>
    <n v="2"/>
    <s v="Desarrollo Social"/>
    <n v="1"/>
    <s v="Salud"/>
    <n v="4"/>
    <x v="57"/>
    <x v="25"/>
    <x v="111"/>
    <n v="1"/>
    <s v="Gasto corriente"/>
    <x v="0"/>
    <x v="0"/>
    <x v="0"/>
    <x v="0"/>
    <x v="0"/>
    <x v="0"/>
    <x v="0"/>
    <m/>
    <x v="0"/>
    <x v="0"/>
    <m/>
    <n v="90445024"/>
    <n v="0"/>
    <n v="0"/>
    <n v="90445024"/>
    <n v="92642057"/>
    <m/>
    <x v="1"/>
    <n v="92642057"/>
  </r>
  <r>
    <x v="1"/>
    <x v="14"/>
    <x v="14"/>
    <x v="5"/>
    <s v="Planeación, seguimiento y evaluación de políticas públicas"/>
    <x v="14"/>
    <x v="446"/>
    <x v="301"/>
    <x v="535"/>
    <n v="2"/>
    <s v="Desarrollo Social"/>
    <n v="5"/>
    <s v="Asistencia Social"/>
    <n v="3"/>
    <x v="54"/>
    <x v="16"/>
    <x v="101"/>
    <n v="1"/>
    <s v="Gasto corriente"/>
    <x v="0"/>
    <x v="1"/>
    <x v="0"/>
    <x v="0"/>
    <x v="0"/>
    <x v="1"/>
    <x v="0"/>
    <m/>
    <x v="0"/>
    <x v="0"/>
    <m/>
    <n v="24222988"/>
    <n v="0"/>
    <n v="-13291400"/>
    <n v="10931588"/>
    <n v="28292387"/>
    <m/>
    <x v="1"/>
    <n v="28292387"/>
  </r>
  <r>
    <x v="1"/>
    <x v="14"/>
    <x v="14"/>
    <x v="5"/>
    <s v="Planeación, seguimiento y evaluación de políticas públicas"/>
    <x v="14"/>
    <x v="446"/>
    <x v="301"/>
    <x v="535"/>
    <n v="2"/>
    <s v="Desarrollo Social"/>
    <n v="5"/>
    <s v="Asistencia Social"/>
    <n v="3"/>
    <x v="54"/>
    <x v="16"/>
    <x v="101"/>
    <n v="1"/>
    <s v="Gasto corriente"/>
    <x v="0"/>
    <x v="0"/>
    <x v="0"/>
    <x v="0"/>
    <x v="0"/>
    <x v="1"/>
    <x v="0"/>
    <m/>
    <x v="0"/>
    <x v="0"/>
    <m/>
    <n v="397458321"/>
    <n v="0"/>
    <n v="-223908600"/>
    <n v="173549721"/>
    <n v="360616611"/>
    <m/>
    <x v="107"/>
    <n v="398616611"/>
  </r>
  <r>
    <x v="1"/>
    <x v="14"/>
    <x v="14"/>
    <x v="5"/>
    <s v="Planeación, seguimiento y evaluación de políticas públicas"/>
    <x v="14"/>
    <x v="446"/>
    <x v="43"/>
    <x v="568"/>
    <n v="2"/>
    <s v="Desarrollo Social"/>
    <n v="1"/>
    <s v="Salud"/>
    <n v="4"/>
    <x v="57"/>
    <x v="25"/>
    <x v="111"/>
    <n v="1"/>
    <s v="Gasto corriente"/>
    <x v="0"/>
    <x v="1"/>
    <x v="0"/>
    <x v="0"/>
    <x v="0"/>
    <x v="0"/>
    <x v="0"/>
    <m/>
    <x v="0"/>
    <x v="0"/>
    <m/>
    <n v="1038898"/>
    <n v="0"/>
    <n v="0"/>
    <n v="1038898"/>
    <n v="993128"/>
    <m/>
    <x v="1"/>
    <n v="993128"/>
  </r>
  <r>
    <x v="1"/>
    <x v="14"/>
    <x v="14"/>
    <x v="5"/>
    <s v="Planeación, seguimiento y evaluación de políticas públicas"/>
    <x v="14"/>
    <x v="446"/>
    <x v="43"/>
    <x v="568"/>
    <n v="2"/>
    <s v="Desarrollo Social"/>
    <n v="1"/>
    <s v="Salud"/>
    <n v="4"/>
    <x v="57"/>
    <x v="25"/>
    <x v="111"/>
    <n v="1"/>
    <s v="Gasto corriente"/>
    <x v="0"/>
    <x v="0"/>
    <x v="0"/>
    <x v="0"/>
    <x v="0"/>
    <x v="0"/>
    <x v="0"/>
    <m/>
    <x v="0"/>
    <x v="0"/>
    <m/>
    <n v="51093871"/>
    <n v="0"/>
    <n v="-17000000"/>
    <n v="34093871"/>
    <n v="32416811"/>
    <m/>
    <x v="1"/>
    <n v="32416811"/>
  </r>
  <r>
    <x v="1"/>
    <x v="14"/>
    <x v="14"/>
    <x v="5"/>
    <s v="Planeación, seguimiento y evaluación de políticas públicas"/>
    <x v="15"/>
    <x v="447"/>
    <x v="7"/>
    <x v="555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3111587"/>
    <n v="0"/>
    <n v="0"/>
    <n v="3111587"/>
    <n v="1917609"/>
    <m/>
    <x v="1"/>
    <n v="1917609"/>
  </r>
  <r>
    <x v="1"/>
    <x v="14"/>
    <x v="14"/>
    <x v="5"/>
    <s v="Planeación, seguimiento y evaluación de políticas públicas"/>
    <x v="15"/>
    <x v="447"/>
    <x v="7"/>
    <x v="555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63275482"/>
    <n v="5000000"/>
    <n v="0"/>
    <n v="68275482"/>
    <n v="41430521"/>
    <m/>
    <x v="1"/>
    <n v="41430521"/>
  </r>
  <r>
    <x v="1"/>
    <x v="14"/>
    <x v="14"/>
    <x v="5"/>
    <s v="Planeación, seguimiento y evaluación de políticas públicas"/>
    <x v="15"/>
    <x v="447"/>
    <x v="53"/>
    <x v="556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27936079"/>
    <n v="0"/>
    <n v="0"/>
    <n v="27936079"/>
    <n v="116636079"/>
    <m/>
    <x v="1"/>
    <n v="116636079"/>
  </r>
  <r>
    <x v="1"/>
    <x v="14"/>
    <x v="14"/>
    <x v="5"/>
    <s v="Planeación, seguimiento y evaluación de políticas públicas"/>
    <x v="15"/>
    <x v="447"/>
    <x v="53"/>
    <x v="556"/>
    <n v="2"/>
    <s v="Desarrollo Social"/>
    <n v="1"/>
    <s v="Salud"/>
    <n v="4"/>
    <x v="57"/>
    <x v="24"/>
    <x v="107"/>
    <n v="1"/>
    <s v="Gasto corriente"/>
    <x v="0"/>
    <x v="0"/>
    <x v="0"/>
    <x v="0"/>
    <x v="0"/>
    <x v="0"/>
    <x v="0"/>
    <m/>
    <x v="0"/>
    <x v="0"/>
    <m/>
    <n v="0"/>
    <n v="47664007"/>
    <n v="0"/>
    <n v="47664007"/>
    <m/>
    <m/>
    <x v="1"/>
    <n v="0"/>
  </r>
  <r>
    <x v="1"/>
    <x v="14"/>
    <x v="14"/>
    <x v="5"/>
    <s v="Planeación, seguimiento y evaluación de políticas públicas"/>
    <x v="15"/>
    <x v="447"/>
    <x v="53"/>
    <x v="556"/>
    <n v="2"/>
    <s v="Desarrollo Social"/>
    <n v="1"/>
    <s v="Salud"/>
    <n v="5"/>
    <x v="55"/>
    <x v="24"/>
    <x v="107"/>
    <n v="1"/>
    <s v="Gasto corriente"/>
    <x v="0"/>
    <x v="0"/>
    <x v="0"/>
    <x v="0"/>
    <x v="0"/>
    <x v="0"/>
    <x v="0"/>
    <m/>
    <x v="0"/>
    <x v="0"/>
    <m/>
    <m/>
    <m/>
    <m/>
    <m/>
    <n v="91912677"/>
    <m/>
    <x v="1"/>
    <n v="91912677"/>
  </r>
  <r>
    <x v="1"/>
    <x v="14"/>
    <x v="14"/>
    <x v="5"/>
    <s v="Planeación, seguimiento y evaluación de políticas públicas"/>
    <x v="15"/>
    <x v="447"/>
    <x v="55"/>
    <x v="550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2083212"/>
    <n v="0"/>
    <n v="0"/>
    <n v="2083212"/>
    <n v="2083212"/>
    <m/>
    <x v="1"/>
    <n v="2083212"/>
  </r>
  <r>
    <x v="1"/>
    <x v="14"/>
    <x v="14"/>
    <x v="5"/>
    <s v="Planeación, seguimiento y evaluación de políticas públicas"/>
    <x v="15"/>
    <x v="447"/>
    <x v="161"/>
    <x v="557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2448725"/>
    <n v="0"/>
    <n v="0"/>
    <n v="2448725"/>
    <n v="2560803"/>
    <m/>
    <x v="1"/>
    <n v="2560803"/>
  </r>
  <r>
    <x v="1"/>
    <x v="14"/>
    <x v="14"/>
    <x v="5"/>
    <s v="Planeación, seguimiento y evaluación de políticas públicas"/>
    <x v="15"/>
    <x v="447"/>
    <x v="161"/>
    <x v="557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51284177"/>
    <n v="0"/>
    <n v="0"/>
    <n v="51284177"/>
    <n v="50675660"/>
    <m/>
    <x v="1"/>
    <n v="50675660"/>
  </r>
  <r>
    <x v="1"/>
    <x v="14"/>
    <x v="14"/>
    <x v="5"/>
    <s v="Planeación, seguimiento y evaluación de políticas públicas"/>
    <x v="15"/>
    <x v="447"/>
    <x v="161"/>
    <x v="557"/>
    <n v="2"/>
    <s v="Desarrollo Social"/>
    <n v="1"/>
    <s v="Salud"/>
    <n v="4"/>
    <x v="57"/>
    <x v="24"/>
    <x v="107"/>
    <n v="1"/>
    <s v="Gasto corriente"/>
    <x v="0"/>
    <x v="0"/>
    <x v="0"/>
    <x v="0"/>
    <x v="0"/>
    <x v="0"/>
    <x v="0"/>
    <m/>
    <x v="0"/>
    <x v="0"/>
    <m/>
    <n v="0"/>
    <n v="14413813"/>
    <n v="0"/>
    <n v="14413813"/>
    <m/>
    <m/>
    <x v="1"/>
    <n v="0"/>
  </r>
  <r>
    <x v="1"/>
    <x v="14"/>
    <x v="14"/>
    <x v="5"/>
    <s v="Planeación, seguimiento y evaluación de políticas públicas"/>
    <x v="15"/>
    <x v="447"/>
    <x v="161"/>
    <x v="557"/>
    <n v="2"/>
    <s v="Desarrollo Social"/>
    <n v="1"/>
    <s v="Salud"/>
    <n v="5"/>
    <x v="55"/>
    <x v="24"/>
    <x v="107"/>
    <n v="1"/>
    <s v="Gasto corriente"/>
    <x v="0"/>
    <x v="0"/>
    <x v="0"/>
    <x v="0"/>
    <x v="0"/>
    <x v="0"/>
    <x v="0"/>
    <m/>
    <x v="0"/>
    <x v="0"/>
    <m/>
    <m/>
    <m/>
    <m/>
    <m/>
    <n v="267377"/>
    <m/>
    <x v="1"/>
    <n v="267377"/>
  </r>
  <r>
    <x v="1"/>
    <x v="14"/>
    <x v="14"/>
    <x v="5"/>
    <s v="Planeación, seguimiento y evaluación de políticas públicas"/>
    <x v="15"/>
    <x v="447"/>
    <x v="278"/>
    <x v="558"/>
    <n v="2"/>
    <s v="Desarrollo Social"/>
    <n v="1"/>
    <s v="Salud"/>
    <n v="4"/>
    <x v="57"/>
    <x v="14"/>
    <x v="110"/>
    <n v="1"/>
    <s v="Gasto corriente"/>
    <x v="0"/>
    <x v="1"/>
    <x v="0"/>
    <x v="0"/>
    <x v="0"/>
    <x v="1"/>
    <x v="0"/>
    <m/>
    <x v="0"/>
    <x v="0"/>
    <m/>
    <n v="221815"/>
    <n v="0"/>
    <n v="0"/>
    <n v="221815"/>
    <n v="275328"/>
    <m/>
    <x v="1"/>
    <n v="275328"/>
  </r>
  <r>
    <x v="1"/>
    <x v="14"/>
    <x v="14"/>
    <x v="5"/>
    <s v="Planeación, seguimiento y evaluación de políticas públicas"/>
    <x v="15"/>
    <x v="447"/>
    <x v="278"/>
    <x v="558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0"/>
    <m/>
    <x v="0"/>
    <x v="0"/>
    <m/>
    <n v="8781084"/>
    <n v="250000000"/>
    <n v="0"/>
    <n v="258781084"/>
    <n v="9128470"/>
    <m/>
    <x v="108"/>
    <n v="32128470"/>
  </r>
  <r>
    <x v="1"/>
    <x v="14"/>
    <x v="14"/>
    <x v="5"/>
    <s v="Planeación, seguimiento y evaluación de políticas públicas"/>
    <x v="15"/>
    <x v="447"/>
    <x v="247"/>
    <x v="559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0"/>
    <m/>
    <x v="0"/>
    <x v="0"/>
    <m/>
    <n v="76841"/>
    <n v="0"/>
    <n v="0"/>
    <n v="76841"/>
    <n v="104477"/>
    <m/>
    <x v="1"/>
    <n v="104477"/>
  </r>
  <r>
    <x v="1"/>
    <x v="14"/>
    <x v="14"/>
    <x v="5"/>
    <s v="Planeación, seguimiento y evaluación de políticas públicas"/>
    <x v="15"/>
    <x v="447"/>
    <x v="247"/>
    <x v="559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17664149"/>
    <n v="0"/>
    <n v="0"/>
    <n v="17664149"/>
    <n v="17817256"/>
    <m/>
    <x v="1"/>
    <n v="17817256"/>
  </r>
  <r>
    <x v="1"/>
    <x v="14"/>
    <x v="14"/>
    <x v="5"/>
    <s v="Planeación, seguimiento y evaluación de políticas públicas"/>
    <x v="15"/>
    <x v="447"/>
    <x v="247"/>
    <x v="559"/>
    <n v="2"/>
    <s v="Desarrollo Social"/>
    <n v="1"/>
    <s v="Salud"/>
    <n v="4"/>
    <x v="57"/>
    <x v="24"/>
    <x v="107"/>
    <n v="1"/>
    <s v="Gasto corriente"/>
    <x v="0"/>
    <x v="0"/>
    <x v="0"/>
    <x v="0"/>
    <x v="0"/>
    <x v="0"/>
    <x v="0"/>
    <m/>
    <x v="0"/>
    <x v="0"/>
    <m/>
    <n v="0"/>
    <n v="24200000"/>
    <n v="0"/>
    <n v="24200000"/>
    <m/>
    <m/>
    <x v="1"/>
    <n v="0"/>
  </r>
  <r>
    <x v="1"/>
    <x v="14"/>
    <x v="14"/>
    <x v="5"/>
    <s v="Planeación, seguimiento y evaluación de políticas públicas"/>
    <x v="15"/>
    <x v="447"/>
    <x v="306"/>
    <x v="544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0"/>
    <m/>
    <x v="0"/>
    <x v="0"/>
    <m/>
    <n v="27068466"/>
    <n v="0"/>
    <n v="0"/>
    <n v="27068466"/>
    <n v="27068466"/>
    <m/>
    <x v="1"/>
    <n v="27068466"/>
  </r>
  <r>
    <x v="1"/>
    <x v="14"/>
    <x v="14"/>
    <x v="5"/>
    <s v="Planeación, seguimiento y evaluación de políticas públicas"/>
    <x v="15"/>
    <x v="447"/>
    <x v="307"/>
    <x v="546"/>
    <n v="2"/>
    <s v="Desarrollo Social"/>
    <n v="1"/>
    <s v="Salud"/>
    <n v="4"/>
    <x v="57"/>
    <x v="14"/>
    <x v="110"/>
    <n v="1"/>
    <s v="Gasto corriente"/>
    <x v="0"/>
    <x v="1"/>
    <x v="0"/>
    <x v="0"/>
    <x v="0"/>
    <x v="0"/>
    <x v="1"/>
    <m/>
    <x v="1"/>
    <x v="0"/>
    <m/>
    <n v="1602494"/>
    <n v="0"/>
    <n v="0"/>
    <n v="1602494"/>
    <n v="1724084"/>
    <m/>
    <x v="1"/>
    <n v="1724084"/>
  </r>
  <r>
    <x v="1"/>
    <x v="14"/>
    <x v="14"/>
    <x v="5"/>
    <s v="Planeación, seguimiento y evaluación de políticas públicas"/>
    <x v="15"/>
    <x v="447"/>
    <x v="307"/>
    <x v="546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1"/>
    <m/>
    <x v="1"/>
    <x v="0"/>
    <m/>
    <n v="38780411"/>
    <n v="4000000"/>
    <n v="0"/>
    <n v="42780411"/>
    <n v="39499671"/>
    <m/>
    <x v="83"/>
    <n v="45499671"/>
  </r>
  <r>
    <x v="1"/>
    <x v="14"/>
    <x v="14"/>
    <x v="5"/>
    <s v="Planeación, seguimiento y evaluación de políticas públicas"/>
    <x v="15"/>
    <x v="447"/>
    <x v="307"/>
    <x v="546"/>
    <n v="2"/>
    <s v="Desarrollo Social"/>
    <n v="1"/>
    <s v="Salud"/>
    <n v="4"/>
    <x v="57"/>
    <x v="14"/>
    <x v="110"/>
    <n v="2"/>
    <s v="Gasto de capital"/>
    <x v="0"/>
    <x v="0"/>
    <x v="0"/>
    <x v="0"/>
    <x v="0"/>
    <x v="0"/>
    <x v="1"/>
    <m/>
    <x v="1"/>
    <x v="0"/>
    <m/>
    <n v="377406"/>
    <n v="0"/>
    <n v="0"/>
    <n v="377406"/>
    <m/>
    <m/>
    <x v="1"/>
    <n v="0"/>
  </r>
  <r>
    <x v="1"/>
    <x v="14"/>
    <x v="14"/>
    <x v="5"/>
    <s v="Planeación, seguimiento y evaluación de políticas públicas"/>
    <x v="15"/>
    <x v="447"/>
    <x v="307"/>
    <x v="546"/>
    <n v="2"/>
    <s v="Desarrollo Social"/>
    <n v="1"/>
    <s v="Salud"/>
    <n v="4"/>
    <x v="57"/>
    <x v="24"/>
    <x v="107"/>
    <n v="1"/>
    <s v="Gasto corriente"/>
    <x v="0"/>
    <x v="0"/>
    <x v="0"/>
    <x v="0"/>
    <x v="0"/>
    <x v="0"/>
    <x v="1"/>
    <m/>
    <x v="1"/>
    <x v="0"/>
    <m/>
    <n v="0"/>
    <n v="6794585"/>
    <n v="0"/>
    <n v="6794585"/>
    <m/>
    <m/>
    <x v="1"/>
    <n v="0"/>
  </r>
  <r>
    <x v="1"/>
    <x v="14"/>
    <x v="14"/>
    <x v="5"/>
    <s v="Planeación, seguimiento y evaluación de políticas públicas"/>
    <x v="17"/>
    <x v="448"/>
    <x v="35"/>
    <x v="539"/>
    <n v="2"/>
    <s v="Desarrollo Social"/>
    <n v="1"/>
    <s v="Salud"/>
    <n v="4"/>
    <x v="57"/>
    <x v="25"/>
    <x v="111"/>
    <n v="1"/>
    <s v="Gasto corriente"/>
    <x v="0"/>
    <x v="1"/>
    <x v="0"/>
    <x v="0"/>
    <x v="0"/>
    <x v="1"/>
    <x v="1"/>
    <m/>
    <x v="0"/>
    <x v="0"/>
    <m/>
    <n v="1767730"/>
    <n v="0"/>
    <n v="0"/>
    <n v="1767730"/>
    <n v="1743812"/>
    <m/>
    <x v="1"/>
    <n v="1743812"/>
  </r>
  <r>
    <x v="1"/>
    <x v="14"/>
    <x v="14"/>
    <x v="5"/>
    <s v="Planeación, seguimiento y evaluación de políticas públicas"/>
    <x v="17"/>
    <x v="448"/>
    <x v="35"/>
    <x v="539"/>
    <n v="2"/>
    <s v="Desarrollo Social"/>
    <n v="1"/>
    <s v="Salud"/>
    <n v="4"/>
    <x v="57"/>
    <x v="25"/>
    <x v="111"/>
    <n v="1"/>
    <s v="Gasto corriente"/>
    <x v="0"/>
    <x v="0"/>
    <x v="0"/>
    <x v="0"/>
    <x v="0"/>
    <x v="1"/>
    <x v="1"/>
    <m/>
    <x v="0"/>
    <x v="0"/>
    <m/>
    <n v="102589115"/>
    <n v="0"/>
    <n v="0"/>
    <n v="102589115"/>
    <n v="128105649"/>
    <m/>
    <x v="6"/>
    <n v="148105649"/>
  </r>
  <r>
    <x v="1"/>
    <x v="14"/>
    <x v="14"/>
    <x v="5"/>
    <s v="Planeación, seguimiento y evaluación de políticas públicas"/>
    <x v="17"/>
    <x v="448"/>
    <x v="288"/>
    <x v="522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0"/>
    <m/>
    <x v="0"/>
    <x v="0"/>
    <m/>
    <n v="11495344"/>
    <n v="0"/>
    <n v="0"/>
    <n v="11495344"/>
    <n v="11495344"/>
    <m/>
    <x v="1"/>
    <n v="11495344"/>
  </r>
  <r>
    <x v="1"/>
    <x v="14"/>
    <x v="14"/>
    <x v="5"/>
    <s v="Planeación, seguimiento y evaluación de políticas públicas"/>
    <x v="17"/>
    <x v="448"/>
    <x v="289"/>
    <x v="523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0"/>
    <m/>
    <x v="0"/>
    <x v="0"/>
    <m/>
    <n v="4594341"/>
    <n v="0"/>
    <n v="0"/>
    <n v="4594341"/>
    <n v="4594341"/>
    <m/>
    <x v="1"/>
    <n v="4594341"/>
  </r>
  <r>
    <x v="1"/>
    <x v="14"/>
    <x v="14"/>
    <x v="5"/>
    <s v="Planeación, seguimiento y evaluación de políticas públicas"/>
    <x v="17"/>
    <x v="448"/>
    <x v="290"/>
    <x v="524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0"/>
    <m/>
    <x v="0"/>
    <x v="0"/>
    <m/>
    <n v="1046490"/>
    <n v="0"/>
    <n v="0"/>
    <n v="1046490"/>
    <n v="1046490"/>
    <m/>
    <x v="1"/>
    <n v="1046490"/>
  </r>
  <r>
    <x v="1"/>
    <x v="14"/>
    <x v="14"/>
    <x v="5"/>
    <s v="Planeación, seguimiento y evaluación de políticas públicas"/>
    <x v="17"/>
    <x v="448"/>
    <x v="291"/>
    <x v="525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0"/>
    <m/>
    <x v="0"/>
    <x v="0"/>
    <m/>
    <n v="2523576"/>
    <n v="0"/>
    <n v="0"/>
    <n v="2523576"/>
    <n v="2523576"/>
    <m/>
    <x v="1"/>
    <n v="2523576"/>
  </r>
  <r>
    <x v="1"/>
    <x v="14"/>
    <x v="14"/>
    <x v="5"/>
    <s v="Planeación, seguimiento y evaluación de políticas públicas"/>
    <x v="17"/>
    <x v="448"/>
    <x v="293"/>
    <x v="527"/>
    <n v="2"/>
    <s v="Desarrollo Social"/>
    <n v="1"/>
    <s v="Salud"/>
    <n v="2"/>
    <x v="30"/>
    <x v="12"/>
    <x v="105"/>
    <n v="1"/>
    <s v="Gasto corriente"/>
    <x v="0"/>
    <x v="0"/>
    <x v="0"/>
    <x v="0"/>
    <x v="0"/>
    <x v="1"/>
    <x v="1"/>
    <m/>
    <x v="0"/>
    <x v="0"/>
    <m/>
    <n v="0"/>
    <n v="10000000"/>
    <n v="0"/>
    <n v="10000000"/>
    <m/>
    <m/>
    <x v="1"/>
    <n v="0"/>
  </r>
  <r>
    <x v="1"/>
    <x v="14"/>
    <x v="14"/>
    <x v="5"/>
    <s v="Planeación, seguimiento y evaluación de políticas públicas"/>
    <x v="17"/>
    <x v="448"/>
    <x v="293"/>
    <x v="527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1"/>
    <m/>
    <x v="0"/>
    <x v="0"/>
    <m/>
    <n v="7723182"/>
    <n v="0"/>
    <n v="0"/>
    <n v="7723182"/>
    <n v="5000000"/>
    <m/>
    <x v="109"/>
    <n v="53000000"/>
  </r>
  <r>
    <x v="1"/>
    <x v="14"/>
    <x v="14"/>
    <x v="5"/>
    <s v="Planeación, seguimiento y evaluación de políticas públicas"/>
    <x v="17"/>
    <x v="448"/>
    <x v="293"/>
    <x v="527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1"/>
    <m/>
    <x v="0"/>
    <x v="0"/>
    <m/>
    <m/>
    <n v="0"/>
    <n v="0"/>
    <m/>
    <n v="2723182"/>
    <m/>
    <x v="1"/>
    <n v="2723182"/>
  </r>
  <r>
    <x v="1"/>
    <x v="14"/>
    <x v="14"/>
    <x v="5"/>
    <s v="Planeación, seguimiento y evaluación de políticas públicas"/>
    <x v="17"/>
    <x v="448"/>
    <x v="294"/>
    <x v="528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1"/>
    <m/>
    <x v="0"/>
    <x v="0"/>
    <m/>
    <n v="2000000"/>
    <n v="0"/>
    <n v="0"/>
    <n v="2000000"/>
    <n v="2000000"/>
    <m/>
    <x v="1"/>
    <n v="2000000"/>
  </r>
  <r>
    <x v="1"/>
    <x v="14"/>
    <x v="14"/>
    <x v="5"/>
    <s v="Planeación, seguimiento y evaluación de políticas públicas"/>
    <x v="17"/>
    <x v="448"/>
    <x v="298"/>
    <x v="532"/>
    <n v="2"/>
    <s v="Desarrollo Social"/>
    <n v="1"/>
    <s v="Salud"/>
    <n v="4"/>
    <x v="57"/>
    <x v="14"/>
    <x v="110"/>
    <n v="1"/>
    <s v="Gasto corriente"/>
    <x v="0"/>
    <x v="0"/>
    <x v="0"/>
    <x v="0"/>
    <x v="0"/>
    <x v="1"/>
    <x v="1"/>
    <m/>
    <x v="0"/>
    <x v="0"/>
    <m/>
    <n v="6000675"/>
    <n v="0"/>
    <n v="0"/>
    <n v="6000675"/>
    <n v="5965710"/>
    <m/>
    <x v="3"/>
    <n v="15965710"/>
  </r>
  <r>
    <x v="1"/>
    <x v="14"/>
    <x v="14"/>
    <x v="5"/>
    <s v="Planeación, seguimiento y evaluación de políticas públicas"/>
    <x v="17"/>
    <x v="448"/>
    <x v="298"/>
    <x v="532"/>
    <n v="2"/>
    <s v="Desarrollo Social"/>
    <n v="1"/>
    <s v="Salud"/>
    <n v="4"/>
    <x v="57"/>
    <x v="14"/>
    <x v="110"/>
    <n v="2"/>
    <s v="Gasto de capital"/>
    <x v="0"/>
    <x v="0"/>
    <x v="0"/>
    <x v="0"/>
    <x v="0"/>
    <x v="1"/>
    <x v="1"/>
    <m/>
    <x v="0"/>
    <x v="0"/>
    <m/>
    <n v="615996"/>
    <n v="0"/>
    <n v="0"/>
    <n v="615996"/>
    <n v="650961"/>
    <m/>
    <x v="1"/>
    <n v="650961"/>
  </r>
  <r>
    <x v="1"/>
    <x v="14"/>
    <x v="14"/>
    <x v="5"/>
    <s v="Planeación, seguimiento y evaluación de políticas públicas"/>
    <x v="18"/>
    <x v="449"/>
    <x v="283"/>
    <x v="515"/>
    <n v="2"/>
    <s v="Desarrollo Social"/>
    <n v="1"/>
    <s v="Salud"/>
    <n v="2"/>
    <x v="30"/>
    <x v="12"/>
    <x v="105"/>
    <n v="1"/>
    <s v="Gasto corriente"/>
    <x v="0"/>
    <x v="0"/>
    <x v="1"/>
    <x v="0"/>
    <x v="0"/>
    <x v="0"/>
    <x v="0"/>
    <m/>
    <x v="0"/>
    <x v="0"/>
    <m/>
    <n v="0"/>
    <n v="11000000"/>
    <n v="0"/>
    <n v="11000000"/>
    <m/>
    <m/>
    <x v="1"/>
    <n v="0"/>
  </r>
  <r>
    <x v="1"/>
    <x v="14"/>
    <x v="14"/>
    <x v="5"/>
    <s v="Planeación, seguimiento y evaluación de políticas públicas"/>
    <x v="18"/>
    <x v="449"/>
    <x v="313"/>
    <x v="566"/>
    <n v="2"/>
    <s v="Desarrollo Social"/>
    <n v="1"/>
    <s v="Salud"/>
    <n v="4"/>
    <x v="57"/>
    <x v="14"/>
    <x v="110"/>
    <n v="1"/>
    <s v="Gasto corriente"/>
    <x v="0"/>
    <x v="1"/>
    <x v="1"/>
    <x v="0"/>
    <x v="1"/>
    <x v="0"/>
    <x v="1"/>
    <m/>
    <x v="0"/>
    <x v="0"/>
    <m/>
    <n v="3945097"/>
    <n v="0"/>
    <n v="0"/>
    <n v="3945097"/>
    <n v="4137229"/>
    <m/>
    <x v="1"/>
    <n v="4137229"/>
  </r>
  <r>
    <x v="1"/>
    <x v="14"/>
    <x v="14"/>
    <x v="5"/>
    <s v="Planeación, seguimiento y evaluación de políticas públicas"/>
    <x v="18"/>
    <x v="449"/>
    <x v="313"/>
    <x v="566"/>
    <n v="2"/>
    <s v="Desarrollo Social"/>
    <n v="1"/>
    <s v="Salud"/>
    <n v="4"/>
    <x v="57"/>
    <x v="14"/>
    <x v="110"/>
    <n v="1"/>
    <s v="Gasto corriente"/>
    <x v="0"/>
    <x v="0"/>
    <x v="1"/>
    <x v="0"/>
    <x v="1"/>
    <x v="0"/>
    <x v="1"/>
    <m/>
    <x v="0"/>
    <x v="0"/>
    <m/>
    <n v="190551488"/>
    <n v="789200000"/>
    <n v="-69895729"/>
    <n v="909855759"/>
    <n v="462572737"/>
    <m/>
    <x v="110"/>
    <n v="1321572737"/>
  </r>
  <r>
    <x v="1"/>
    <x v="14"/>
    <x v="14"/>
    <x v="5"/>
    <s v="Planeación, seguimiento y evaluación de políticas públicas"/>
    <x v="18"/>
    <x v="449"/>
    <x v="313"/>
    <x v="566"/>
    <n v="2"/>
    <s v="Desarrollo Social"/>
    <n v="1"/>
    <s v="Salud"/>
    <n v="4"/>
    <x v="57"/>
    <x v="24"/>
    <x v="107"/>
    <n v="1"/>
    <s v="Gasto corriente"/>
    <x v="0"/>
    <x v="0"/>
    <x v="1"/>
    <x v="0"/>
    <x v="1"/>
    <x v="0"/>
    <x v="1"/>
    <m/>
    <x v="0"/>
    <x v="0"/>
    <m/>
    <n v="0"/>
    <n v="38386902"/>
    <n v="0"/>
    <n v="38386902"/>
    <m/>
    <m/>
    <x v="1"/>
    <n v="0"/>
  </r>
  <r>
    <x v="1"/>
    <x v="14"/>
    <x v="14"/>
    <x v="5"/>
    <s v="Planeación, seguimiento y evaluación de políticas públicas"/>
    <x v="18"/>
    <x v="449"/>
    <x v="285"/>
    <x v="518"/>
    <n v="2"/>
    <s v="Desarrollo Social"/>
    <n v="1"/>
    <s v="Salud"/>
    <n v="2"/>
    <x v="30"/>
    <x v="12"/>
    <x v="105"/>
    <n v="1"/>
    <s v="Gasto corriente"/>
    <x v="0"/>
    <x v="0"/>
    <x v="1"/>
    <x v="0"/>
    <x v="0"/>
    <x v="0"/>
    <x v="1"/>
    <m/>
    <x v="0"/>
    <x v="0"/>
    <m/>
    <n v="0"/>
    <n v="9490000"/>
    <n v="0"/>
    <n v="9490000"/>
    <m/>
    <m/>
    <x v="1"/>
    <n v="0"/>
  </r>
  <r>
    <x v="1"/>
    <x v="14"/>
    <x v="14"/>
    <x v="5"/>
    <s v="Planeación, seguimiento y evaluación de políticas públicas"/>
    <x v="18"/>
    <x v="449"/>
    <x v="285"/>
    <x v="518"/>
    <n v="2"/>
    <s v="Desarrollo Social"/>
    <n v="1"/>
    <s v="Salud"/>
    <n v="2"/>
    <x v="30"/>
    <x v="12"/>
    <x v="105"/>
    <n v="2"/>
    <s v="Gasto de capital"/>
    <x v="0"/>
    <x v="0"/>
    <x v="1"/>
    <x v="0"/>
    <x v="0"/>
    <x v="0"/>
    <x v="1"/>
    <m/>
    <x v="0"/>
    <x v="0"/>
    <m/>
    <n v="0"/>
    <n v="510000"/>
    <n v="0"/>
    <n v="510000"/>
    <m/>
    <m/>
    <x v="1"/>
    <n v="0"/>
  </r>
  <r>
    <x v="1"/>
    <x v="14"/>
    <x v="14"/>
    <x v="5"/>
    <s v="Planeación, seguimiento y evaluación de políticas públicas"/>
    <x v="18"/>
    <x v="449"/>
    <x v="285"/>
    <x v="518"/>
    <n v="2"/>
    <s v="Desarrollo Social"/>
    <n v="1"/>
    <s v="Salud"/>
    <n v="4"/>
    <x v="57"/>
    <x v="14"/>
    <x v="110"/>
    <n v="1"/>
    <s v="Gasto corriente"/>
    <x v="0"/>
    <x v="0"/>
    <x v="1"/>
    <x v="0"/>
    <x v="0"/>
    <x v="0"/>
    <x v="1"/>
    <m/>
    <x v="0"/>
    <x v="0"/>
    <m/>
    <n v="17776"/>
    <n v="0"/>
    <n v="0"/>
    <n v="17776"/>
    <n v="17776"/>
    <m/>
    <x v="7"/>
    <n v="2017776"/>
  </r>
  <r>
    <x v="1"/>
    <x v="14"/>
    <x v="14"/>
    <x v="5"/>
    <s v="Planeación, seguimiento y evaluación de políticas públicas"/>
    <x v="18"/>
    <x v="449"/>
    <x v="291"/>
    <x v="525"/>
    <n v="2"/>
    <s v="Desarrollo Social"/>
    <n v="1"/>
    <s v="Salud"/>
    <n v="4"/>
    <x v="57"/>
    <x v="14"/>
    <x v="110"/>
    <n v="1"/>
    <s v="Gasto corriente"/>
    <x v="0"/>
    <x v="0"/>
    <x v="1"/>
    <x v="0"/>
    <x v="0"/>
    <x v="0"/>
    <x v="1"/>
    <m/>
    <x v="0"/>
    <x v="0"/>
    <m/>
    <n v="7094882"/>
    <n v="0"/>
    <n v="0"/>
    <n v="7094882"/>
    <n v="7094882"/>
    <m/>
    <x v="38"/>
    <n v="12094882"/>
  </r>
  <r>
    <x v="1"/>
    <x v="14"/>
    <x v="14"/>
    <x v="5"/>
    <s v="Planeación, seguimiento y evaluación de políticas públicas"/>
    <x v="18"/>
    <x v="449"/>
    <x v="292"/>
    <x v="526"/>
    <n v="2"/>
    <s v="Desarrollo Social"/>
    <n v="1"/>
    <s v="Salud"/>
    <n v="4"/>
    <x v="57"/>
    <x v="14"/>
    <x v="110"/>
    <n v="1"/>
    <s v="Gasto corriente"/>
    <x v="0"/>
    <x v="0"/>
    <x v="1"/>
    <x v="0"/>
    <x v="0"/>
    <x v="0"/>
    <x v="0"/>
    <m/>
    <x v="0"/>
    <x v="0"/>
    <m/>
    <n v="40281602"/>
    <n v="0"/>
    <n v="0"/>
    <n v="40281602"/>
    <m/>
    <m/>
    <x v="1"/>
    <n v="0"/>
  </r>
  <r>
    <x v="1"/>
    <x v="14"/>
    <x v="14"/>
    <x v="5"/>
    <s v="Planeación, seguimiento y evaluación de políticas públicas"/>
    <x v="18"/>
    <x v="449"/>
    <x v="294"/>
    <x v="528"/>
    <n v="2"/>
    <s v="Desarrollo Social"/>
    <n v="1"/>
    <s v="Salud"/>
    <n v="2"/>
    <x v="30"/>
    <x v="12"/>
    <x v="105"/>
    <n v="1"/>
    <s v="Gasto corriente"/>
    <x v="0"/>
    <x v="0"/>
    <x v="1"/>
    <x v="0"/>
    <x v="0"/>
    <x v="0"/>
    <x v="0"/>
    <m/>
    <x v="0"/>
    <x v="0"/>
    <m/>
    <n v="0"/>
    <n v="5000000"/>
    <n v="0"/>
    <n v="5000000"/>
    <m/>
    <m/>
    <x v="1"/>
    <n v="0"/>
  </r>
  <r>
    <x v="1"/>
    <x v="14"/>
    <x v="14"/>
    <x v="5"/>
    <s v="Planeación, seguimiento y evaluación de políticas públicas"/>
    <x v="18"/>
    <x v="449"/>
    <x v="298"/>
    <x v="532"/>
    <n v="2"/>
    <s v="Desarrollo Social"/>
    <n v="1"/>
    <s v="Salud"/>
    <n v="2"/>
    <x v="30"/>
    <x v="12"/>
    <x v="105"/>
    <n v="1"/>
    <s v="Gasto corriente"/>
    <x v="0"/>
    <x v="0"/>
    <x v="1"/>
    <x v="0"/>
    <x v="0"/>
    <x v="0"/>
    <x v="0"/>
    <m/>
    <x v="0"/>
    <x v="0"/>
    <m/>
    <n v="0"/>
    <n v="10200000"/>
    <n v="0"/>
    <n v="10200000"/>
    <m/>
    <m/>
    <x v="1"/>
    <n v="0"/>
  </r>
  <r>
    <x v="1"/>
    <x v="14"/>
    <x v="14"/>
    <x v="5"/>
    <s v="Planeación, seguimiento y evaluación de políticas públicas"/>
    <x v="18"/>
    <x v="449"/>
    <x v="298"/>
    <x v="532"/>
    <n v="2"/>
    <s v="Desarrollo Social"/>
    <n v="1"/>
    <s v="Salud"/>
    <n v="4"/>
    <x v="57"/>
    <x v="14"/>
    <x v="110"/>
    <n v="1"/>
    <s v="Gasto corriente"/>
    <x v="0"/>
    <x v="0"/>
    <x v="1"/>
    <x v="0"/>
    <x v="0"/>
    <x v="0"/>
    <x v="1"/>
    <m/>
    <x v="0"/>
    <x v="0"/>
    <m/>
    <n v="14088343"/>
    <n v="0"/>
    <n v="0"/>
    <n v="14088343"/>
    <n v="14088343"/>
    <m/>
    <x v="1"/>
    <n v="14088343"/>
  </r>
  <r>
    <x v="1"/>
    <x v="14"/>
    <x v="14"/>
    <x v="5"/>
    <s v="Planeación, seguimiento y evaluación de políticas públicas"/>
    <x v="19"/>
    <x v="450"/>
    <x v="313"/>
    <x v="566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1"/>
    <m/>
    <x v="0"/>
    <x v="0"/>
    <m/>
    <n v="259493301"/>
    <n v="0"/>
    <n v="0"/>
    <n v="259493301"/>
    <n v="298494664"/>
    <m/>
    <x v="1"/>
    <n v="298494664"/>
  </r>
  <r>
    <x v="1"/>
    <x v="14"/>
    <x v="14"/>
    <x v="5"/>
    <s v="Planeación, seguimiento y evaluación de políticas públicas"/>
    <x v="22"/>
    <x v="451"/>
    <x v="285"/>
    <x v="518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1"/>
    <m/>
    <x v="0"/>
    <x v="0"/>
    <m/>
    <n v="192339"/>
    <n v="0"/>
    <n v="0"/>
    <n v="192339"/>
    <n v="300789"/>
    <m/>
    <x v="1"/>
    <n v="300789"/>
  </r>
  <r>
    <x v="1"/>
    <x v="14"/>
    <x v="14"/>
    <x v="5"/>
    <s v="Planeación, seguimiento y evaluación de políticas públicas"/>
    <x v="22"/>
    <x v="451"/>
    <x v="285"/>
    <x v="518"/>
    <n v="2"/>
    <s v="Desarrollo Social"/>
    <n v="1"/>
    <s v="Salud"/>
    <n v="4"/>
    <x v="57"/>
    <x v="14"/>
    <x v="110"/>
    <n v="2"/>
    <s v="Gasto de capital"/>
    <x v="0"/>
    <x v="0"/>
    <x v="0"/>
    <x v="0"/>
    <x v="0"/>
    <x v="0"/>
    <x v="1"/>
    <m/>
    <x v="0"/>
    <x v="0"/>
    <m/>
    <n v="108450"/>
    <n v="0"/>
    <n v="0"/>
    <n v="108450"/>
    <m/>
    <m/>
    <x v="1"/>
    <n v="0"/>
  </r>
  <r>
    <x v="1"/>
    <x v="14"/>
    <x v="14"/>
    <x v="5"/>
    <s v="Planeación, seguimiento y evaluación de políticas públicas"/>
    <x v="22"/>
    <x v="451"/>
    <x v="306"/>
    <x v="544"/>
    <n v="2"/>
    <s v="Desarrollo Social"/>
    <n v="1"/>
    <s v="Salud"/>
    <n v="4"/>
    <x v="57"/>
    <x v="14"/>
    <x v="110"/>
    <n v="1"/>
    <s v="Gasto corriente"/>
    <x v="0"/>
    <x v="0"/>
    <x v="0"/>
    <x v="0"/>
    <x v="0"/>
    <x v="0"/>
    <x v="1"/>
    <m/>
    <x v="0"/>
    <x v="0"/>
    <m/>
    <n v="249843000"/>
    <n v="0"/>
    <n v="0"/>
    <n v="249843000"/>
    <n v="259843000"/>
    <m/>
    <x v="1"/>
    <n v="259843000"/>
  </r>
  <r>
    <x v="1"/>
    <x v="14"/>
    <x v="14"/>
    <x v="1"/>
    <s v="Específicos"/>
    <x v="2"/>
    <x v="452"/>
    <x v="302"/>
    <x v="474"/>
    <n v="2"/>
    <s v="Desarrollo Social"/>
    <n v="1"/>
    <s v="Salud"/>
    <n v="4"/>
    <x v="57"/>
    <x v="14"/>
    <x v="110"/>
    <n v="1"/>
    <s v="Gasto corriente"/>
    <x v="0"/>
    <x v="1"/>
    <x v="1"/>
    <x v="0"/>
    <x v="1"/>
    <x v="0"/>
    <x v="0"/>
    <m/>
    <x v="0"/>
    <x v="0"/>
    <m/>
    <n v="311151"/>
    <n v="0"/>
    <n v="0"/>
    <n v="311151"/>
    <n v="383840"/>
    <m/>
    <x v="1"/>
    <n v="383840"/>
  </r>
  <r>
    <x v="1"/>
    <x v="14"/>
    <x v="14"/>
    <x v="1"/>
    <s v="Específicos"/>
    <x v="2"/>
    <x v="452"/>
    <x v="302"/>
    <x v="474"/>
    <n v="2"/>
    <s v="Desarrollo Social"/>
    <n v="1"/>
    <s v="Salud"/>
    <n v="4"/>
    <x v="57"/>
    <x v="14"/>
    <x v="110"/>
    <n v="1"/>
    <s v="Gasto corriente"/>
    <x v="0"/>
    <x v="0"/>
    <x v="1"/>
    <x v="0"/>
    <x v="1"/>
    <x v="0"/>
    <x v="0"/>
    <m/>
    <x v="0"/>
    <x v="0"/>
    <m/>
    <n v="256531588"/>
    <n v="0"/>
    <n v="-23000000"/>
    <n v="233531588"/>
    <n v="228732313"/>
    <m/>
    <x v="1"/>
    <n v="228732313"/>
  </r>
  <r>
    <x v="1"/>
    <x v="14"/>
    <x v="14"/>
    <x v="11"/>
    <s v="Sujetos a Reglas de Operación"/>
    <x v="56"/>
    <x v="453"/>
    <x v="53"/>
    <x v="556"/>
    <n v="2"/>
    <s v="Desarrollo Social"/>
    <n v="1"/>
    <s v="Salud"/>
    <n v="1"/>
    <x v="56"/>
    <x v="13"/>
    <x v="106"/>
    <n v="1"/>
    <s v="Gasto corriente"/>
    <x v="0"/>
    <x v="1"/>
    <x v="1"/>
    <x v="0"/>
    <x v="1"/>
    <x v="0"/>
    <x v="0"/>
    <m/>
    <x v="0"/>
    <x v="0"/>
    <m/>
    <n v="2906291"/>
    <n v="0"/>
    <n v="0"/>
    <n v="2906291"/>
    <n v="3079941"/>
    <m/>
    <x v="1"/>
    <n v="3079941"/>
  </r>
  <r>
    <x v="1"/>
    <x v="14"/>
    <x v="14"/>
    <x v="11"/>
    <s v="Sujetos a Reglas de Operación"/>
    <x v="56"/>
    <x v="453"/>
    <x v="53"/>
    <x v="556"/>
    <n v="2"/>
    <s v="Desarrollo Social"/>
    <n v="1"/>
    <s v="Salud"/>
    <n v="1"/>
    <x v="56"/>
    <x v="13"/>
    <x v="106"/>
    <n v="1"/>
    <s v="Gasto corriente"/>
    <x v="0"/>
    <x v="0"/>
    <x v="1"/>
    <x v="0"/>
    <x v="1"/>
    <x v="0"/>
    <x v="0"/>
    <m/>
    <x v="0"/>
    <x v="0"/>
    <m/>
    <n v="112400843"/>
    <n v="0"/>
    <n v="-14400000"/>
    <n v="98000843"/>
    <n v="102288998"/>
    <m/>
    <x v="1"/>
    <n v="102288998"/>
  </r>
  <r>
    <x v="1"/>
    <x v="14"/>
    <x v="14"/>
    <x v="11"/>
    <s v="Sujetos a Reglas de Operación"/>
    <x v="58"/>
    <x v="454"/>
    <x v="301"/>
    <x v="535"/>
    <n v="2"/>
    <s v="Desarrollo Social"/>
    <n v="5"/>
    <s v="Asistencia Social"/>
    <n v="3"/>
    <x v="54"/>
    <x v="16"/>
    <x v="101"/>
    <n v="1"/>
    <s v="Gasto corriente"/>
    <x v="0"/>
    <x v="1"/>
    <x v="0"/>
    <x v="0"/>
    <x v="0"/>
    <x v="1"/>
    <x v="0"/>
    <m/>
    <x v="0"/>
    <x v="0"/>
    <m/>
    <n v="502432"/>
    <n v="0"/>
    <n v="13291400"/>
    <n v="13793832"/>
    <n v="15620860"/>
    <m/>
    <x v="1"/>
    <n v="15620860"/>
  </r>
  <r>
    <x v="1"/>
    <x v="14"/>
    <x v="14"/>
    <x v="11"/>
    <s v="Sujetos a Reglas de Operación"/>
    <x v="58"/>
    <x v="454"/>
    <x v="301"/>
    <x v="535"/>
    <n v="2"/>
    <s v="Desarrollo Social"/>
    <n v="5"/>
    <s v="Asistencia Social"/>
    <n v="3"/>
    <x v="54"/>
    <x v="16"/>
    <x v="101"/>
    <n v="1"/>
    <s v="Gasto corriente"/>
    <x v="0"/>
    <x v="0"/>
    <x v="0"/>
    <x v="0"/>
    <x v="0"/>
    <x v="1"/>
    <x v="0"/>
    <m/>
    <x v="0"/>
    <x v="0"/>
    <m/>
    <n v="33913013"/>
    <n v="0"/>
    <n v="186708600"/>
    <n v="220621613"/>
    <n v="228904293"/>
    <m/>
    <x v="1"/>
    <n v="228904293"/>
  </r>
  <r>
    <x v="1"/>
    <x v="14"/>
    <x v="14"/>
    <x v="11"/>
    <s v="Sujetos a Reglas de Operación"/>
    <x v="80"/>
    <x v="373"/>
    <x v="70"/>
    <x v="548"/>
    <n v="2"/>
    <s v="Desarrollo Social"/>
    <n v="1"/>
    <s v="Salud"/>
    <n v="1"/>
    <x v="56"/>
    <x v="13"/>
    <x v="106"/>
    <n v="1"/>
    <s v="Gasto corriente"/>
    <x v="0"/>
    <x v="0"/>
    <x v="1"/>
    <x v="0"/>
    <x v="1"/>
    <x v="0"/>
    <x v="0"/>
    <m/>
    <x v="0"/>
    <x v="0"/>
    <m/>
    <n v="1415231068"/>
    <n v="0"/>
    <n v="0"/>
    <n v="1415231068"/>
    <n v="1495877739"/>
    <m/>
    <x v="1"/>
    <n v="1495877739"/>
  </r>
  <r>
    <x v="1"/>
    <x v="14"/>
    <x v="14"/>
    <x v="11"/>
    <s v="Sujetos a Reglas de Operación"/>
    <x v="80"/>
    <x v="373"/>
    <x v="70"/>
    <x v="548"/>
    <n v="2"/>
    <s v="Desarrollo Social"/>
    <n v="1"/>
    <s v="Salud"/>
    <n v="2"/>
    <x v="30"/>
    <x v="12"/>
    <x v="105"/>
    <n v="1"/>
    <s v="Gasto corriente"/>
    <x v="0"/>
    <x v="0"/>
    <x v="1"/>
    <x v="0"/>
    <x v="1"/>
    <x v="0"/>
    <x v="0"/>
    <m/>
    <x v="0"/>
    <x v="0"/>
    <m/>
    <n v="3543165036"/>
    <m/>
    <n v="-31900000"/>
    <n v="3511265036"/>
    <n v="3627722261"/>
    <m/>
    <x v="1"/>
    <n v="3627722261"/>
  </r>
  <r>
    <x v="1"/>
    <x v="14"/>
    <x v="14"/>
    <x v="11"/>
    <s v="Sujetos a Reglas de Operación"/>
    <x v="110"/>
    <x v="455"/>
    <x v="301"/>
    <x v="535"/>
    <n v="2"/>
    <s v="Desarrollo Social"/>
    <n v="5"/>
    <s v="Asistencia Social"/>
    <n v="3"/>
    <x v="54"/>
    <x v="16"/>
    <x v="101"/>
    <n v="1"/>
    <s v="Gasto corriente"/>
    <x v="0"/>
    <x v="1"/>
    <x v="0"/>
    <x v="0"/>
    <x v="0"/>
    <x v="1"/>
    <x v="0"/>
    <m/>
    <x v="0"/>
    <x v="0"/>
    <m/>
    <n v="1432047"/>
    <n v="0"/>
    <n v="0"/>
    <n v="1432047"/>
    <n v="1503209"/>
    <m/>
    <x v="1"/>
    <n v="1503209"/>
  </r>
  <r>
    <x v="1"/>
    <x v="14"/>
    <x v="14"/>
    <x v="11"/>
    <s v="Sujetos a Reglas de Operación"/>
    <x v="110"/>
    <x v="455"/>
    <x v="301"/>
    <x v="535"/>
    <n v="2"/>
    <s v="Desarrollo Social"/>
    <n v="5"/>
    <s v="Asistencia Social"/>
    <n v="3"/>
    <x v="54"/>
    <x v="16"/>
    <x v="101"/>
    <n v="1"/>
    <s v="Gasto corriente"/>
    <x v="0"/>
    <x v="0"/>
    <x v="0"/>
    <x v="0"/>
    <x v="0"/>
    <x v="1"/>
    <x v="0"/>
    <m/>
    <x v="0"/>
    <x v="0"/>
    <m/>
    <n v="131746948"/>
    <n v="0"/>
    <n v="0"/>
    <n v="131746948"/>
    <n v="142101016"/>
    <m/>
    <x v="1"/>
    <n v="142101016"/>
  </r>
  <r>
    <x v="1"/>
    <x v="14"/>
    <x v="14"/>
    <x v="11"/>
    <s v="Sujetos a Reglas de Operación"/>
    <x v="111"/>
    <x v="456"/>
    <x v="301"/>
    <x v="535"/>
    <n v="2"/>
    <s v="Desarrollo Social"/>
    <n v="5"/>
    <s v="Asistencia Social"/>
    <n v="3"/>
    <x v="54"/>
    <x v="16"/>
    <x v="101"/>
    <n v="1"/>
    <s v="Gasto corriente"/>
    <x v="0"/>
    <x v="1"/>
    <x v="0"/>
    <x v="0"/>
    <x v="0"/>
    <x v="1"/>
    <x v="1"/>
    <m/>
    <x v="0"/>
    <x v="0"/>
    <m/>
    <n v="3247469"/>
    <n v="0"/>
    <n v="0"/>
    <n v="3247469"/>
    <n v="3418255"/>
    <m/>
    <x v="1"/>
    <n v="3418255"/>
  </r>
  <r>
    <x v="1"/>
    <x v="14"/>
    <x v="14"/>
    <x v="11"/>
    <s v="Sujetos a Reglas de Operación"/>
    <x v="111"/>
    <x v="456"/>
    <x v="301"/>
    <x v="535"/>
    <n v="2"/>
    <s v="Desarrollo Social"/>
    <n v="5"/>
    <s v="Asistencia Social"/>
    <n v="3"/>
    <x v="54"/>
    <x v="16"/>
    <x v="101"/>
    <n v="1"/>
    <s v="Gasto corriente"/>
    <x v="0"/>
    <x v="0"/>
    <x v="0"/>
    <x v="0"/>
    <x v="0"/>
    <x v="1"/>
    <x v="1"/>
    <m/>
    <x v="0"/>
    <x v="0"/>
    <m/>
    <n v="378712599"/>
    <n v="0"/>
    <n v="0"/>
    <n v="378712599"/>
    <n v="394272346"/>
    <m/>
    <x v="1"/>
    <n v="394272346"/>
  </r>
  <r>
    <x v="1"/>
    <x v="14"/>
    <x v="14"/>
    <x v="11"/>
    <s v="Sujetos a Reglas de Operación"/>
    <x v="112"/>
    <x v="457"/>
    <x v="301"/>
    <x v="535"/>
    <n v="2"/>
    <s v="Desarrollo Social"/>
    <n v="5"/>
    <s v="Asistencia Social"/>
    <n v="3"/>
    <x v="54"/>
    <x v="16"/>
    <x v="101"/>
    <n v="1"/>
    <s v="Gasto corriente"/>
    <x v="0"/>
    <x v="0"/>
    <x v="0"/>
    <x v="0"/>
    <x v="0"/>
    <x v="1"/>
    <x v="1"/>
    <m/>
    <x v="0"/>
    <x v="0"/>
    <m/>
    <n v="124273664"/>
    <n v="0"/>
    <n v="0"/>
    <n v="124273664"/>
    <n v="202400000"/>
    <m/>
    <x v="1"/>
    <n v="202400000"/>
  </r>
  <r>
    <x v="1"/>
    <x v="14"/>
    <x v="14"/>
    <x v="11"/>
    <s v="Sujetos a Reglas de Operación"/>
    <x v="113"/>
    <x v="458"/>
    <x v="72"/>
    <x v="562"/>
    <n v="2"/>
    <s v="Desarrollo Social"/>
    <n v="1"/>
    <s v="Salud"/>
    <n v="1"/>
    <x v="56"/>
    <x v="13"/>
    <x v="106"/>
    <n v="1"/>
    <s v="Gasto corriente"/>
    <x v="0"/>
    <x v="1"/>
    <x v="1"/>
    <x v="0"/>
    <x v="1"/>
    <x v="0"/>
    <x v="0"/>
    <m/>
    <x v="0"/>
    <x v="0"/>
    <m/>
    <n v="15677216"/>
    <n v="0"/>
    <n v="0"/>
    <n v="15677216"/>
    <n v="16585021"/>
    <m/>
    <x v="1"/>
    <n v="16585021"/>
  </r>
  <r>
    <x v="1"/>
    <x v="14"/>
    <x v="14"/>
    <x v="11"/>
    <s v="Sujetos a Reglas de Operación"/>
    <x v="113"/>
    <x v="458"/>
    <x v="72"/>
    <x v="562"/>
    <n v="2"/>
    <s v="Desarrollo Social"/>
    <n v="1"/>
    <s v="Salud"/>
    <n v="1"/>
    <x v="56"/>
    <x v="13"/>
    <x v="106"/>
    <n v="1"/>
    <s v="Gasto corriente"/>
    <x v="0"/>
    <x v="0"/>
    <x v="1"/>
    <x v="0"/>
    <x v="1"/>
    <x v="0"/>
    <x v="0"/>
    <m/>
    <x v="0"/>
    <x v="0"/>
    <m/>
    <n v="745068518"/>
    <n v="0"/>
    <n v="-26433500"/>
    <n v="718635018"/>
    <n v="710354123"/>
    <m/>
    <x v="1"/>
    <n v="710354123"/>
  </r>
  <r>
    <x v="1"/>
    <x v="14"/>
    <x v="14"/>
    <x v="11"/>
    <s v="Sujetos a Reglas de Operación"/>
    <x v="114"/>
    <x v="459"/>
    <x v="70"/>
    <x v="548"/>
    <n v="2"/>
    <s v="Desarrollo Social"/>
    <n v="1"/>
    <s v="Salud"/>
    <n v="5"/>
    <x v="55"/>
    <x v="22"/>
    <x v="103"/>
    <n v="1"/>
    <s v="Gasto corriente"/>
    <x v="0"/>
    <x v="1"/>
    <x v="0"/>
    <x v="0"/>
    <x v="0"/>
    <x v="0"/>
    <x v="0"/>
    <m/>
    <x v="0"/>
    <x v="0"/>
    <m/>
    <m/>
    <n v="0"/>
    <n v="0"/>
    <m/>
    <n v="1079504"/>
    <m/>
    <x v="1"/>
    <n v="1079504"/>
  </r>
  <r>
    <x v="1"/>
    <x v="14"/>
    <x v="14"/>
    <x v="11"/>
    <s v="Sujetos a Reglas de Operación"/>
    <x v="114"/>
    <x v="459"/>
    <x v="70"/>
    <x v="548"/>
    <n v="2"/>
    <s v="Desarrollo Social"/>
    <n v="1"/>
    <s v="Salud"/>
    <n v="5"/>
    <x v="55"/>
    <x v="22"/>
    <x v="103"/>
    <n v="1"/>
    <s v="Gasto corriente"/>
    <x v="0"/>
    <x v="0"/>
    <x v="0"/>
    <x v="0"/>
    <x v="0"/>
    <x v="0"/>
    <x v="0"/>
    <m/>
    <x v="0"/>
    <x v="0"/>
    <m/>
    <n v="2450000000"/>
    <n v="0"/>
    <n v="0"/>
    <n v="2450000000"/>
    <n v="2562230562"/>
    <n v="434045678"/>
    <x v="1"/>
    <n v="2128184884"/>
  </r>
  <r>
    <x v="1"/>
    <x v="14"/>
    <x v="14"/>
    <x v="11"/>
    <s v="Sujetos a Reglas de Operación"/>
    <x v="115"/>
    <x v="460"/>
    <x v="75"/>
    <x v="516"/>
    <n v="2"/>
    <s v="Desarrollo Social"/>
    <n v="1"/>
    <s v="Salud"/>
    <n v="2"/>
    <x v="30"/>
    <x v="12"/>
    <x v="105"/>
    <n v="1"/>
    <s v="Gasto corriente"/>
    <x v="0"/>
    <x v="1"/>
    <x v="0"/>
    <x v="0"/>
    <x v="0"/>
    <x v="0"/>
    <x v="0"/>
    <m/>
    <x v="0"/>
    <x v="0"/>
    <m/>
    <n v="3366067"/>
    <n v="0"/>
    <n v="0"/>
    <n v="3366067"/>
    <n v="3652832"/>
    <m/>
    <x v="1"/>
    <n v="3652832"/>
  </r>
  <r>
    <x v="1"/>
    <x v="14"/>
    <x v="14"/>
    <x v="11"/>
    <s v="Sujetos a Reglas de Operación"/>
    <x v="115"/>
    <x v="460"/>
    <x v="75"/>
    <x v="516"/>
    <n v="2"/>
    <s v="Desarrollo Social"/>
    <n v="1"/>
    <s v="Salud"/>
    <n v="2"/>
    <x v="30"/>
    <x v="12"/>
    <x v="105"/>
    <n v="1"/>
    <s v="Gasto corriente"/>
    <x v="0"/>
    <x v="0"/>
    <x v="0"/>
    <x v="0"/>
    <x v="0"/>
    <x v="0"/>
    <x v="0"/>
    <m/>
    <x v="0"/>
    <x v="0"/>
    <m/>
    <n v="185438014"/>
    <n v="0"/>
    <n v="-24500000"/>
    <n v="160938014"/>
    <n v="158934795"/>
    <m/>
    <x v="111"/>
    <n v="162934795"/>
  </r>
  <r>
    <x v="1"/>
    <x v="14"/>
    <x v="14"/>
    <x v="7"/>
    <s v="Otros Subsidios"/>
    <x v="6"/>
    <x v="461"/>
    <x v="70"/>
    <x v="548"/>
    <n v="2"/>
    <s v="Desarrollo Social"/>
    <n v="1"/>
    <s v="Salud"/>
    <n v="5"/>
    <x v="55"/>
    <x v="22"/>
    <x v="103"/>
    <n v="1"/>
    <s v="Gasto corriente"/>
    <x v="0"/>
    <x v="0"/>
    <x v="1"/>
    <x v="0"/>
    <x v="1"/>
    <x v="0"/>
    <x v="0"/>
    <m/>
    <x v="0"/>
    <x v="0"/>
    <m/>
    <n v="43124362762"/>
    <n v="0"/>
    <n v="-3200000000"/>
    <n v="39924362762"/>
    <n v="46852739780"/>
    <m/>
    <x v="1"/>
    <n v="46852739780"/>
  </r>
  <r>
    <x v="1"/>
    <x v="14"/>
    <x v="14"/>
    <x v="7"/>
    <s v="Otros Subsidios"/>
    <x v="6"/>
    <x v="461"/>
    <x v="70"/>
    <x v="548"/>
    <n v="2"/>
    <s v="Desarrollo Social"/>
    <n v="1"/>
    <s v="Salud"/>
    <n v="5"/>
    <x v="55"/>
    <x v="22"/>
    <x v="103"/>
    <n v="1"/>
    <s v="Gasto corriente"/>
    <x v="0"/>
    <x v="0"/>
    <x v="0"/>
    <x v="0"/>
    <x v="0"/>
    <x v="0"/>
    <x v="0"/>
    <m/>
    <x v="0"/>
    <x v="0"/>
    <m/>
    <n v="9254564283"/>
    <n v="0"/>
    <n v="-336800000"/>
    <n v="8917764283"/>
    <n v="10415080780"/>
    <m/>
    <x v="1"/>
    <n v="10415080780"/>
  </r>
  <r>
    <x v="1"/>
    <x v="14"/>
    <x v="14"/>
    <x v="7"/>
    <s v="Otros Subsidios"/>
    <x v="7"/>
    <x v="462"/>
    <x v="82"/>
    <x v="537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n v="142170689"/>
    <n v="0"/>
    <n v="-43000000"/>
    <n v="99170689"/>
    <n v="132000000"/>
    <m/>
    <x v="112"/>
    <n v="2089768410"/>
  </r>
  <r>
    <x v="1"/>
    <x v="14"/>
    <x v="14"/>
    <x v="7"/>
    <s v="Otros Subsidios"/>
    <x v="7"/>
    <x v="462"/>
    <x v="82"/>
    <x v="537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0"/>
    <n v="1970324118"/>
    <n v="0"/>
    <n v="1970324118"/>
    <m/>
    <m/>
    <x v="1"/>
    <n v="0"/>
  </r>
  <r>
    <x v="1"/>
    <x v="14"/>
    <x v="14"/>
    <x v="7"/>
    <s v="Otros Subsidios"/>
    <x v="7"/>
    <x v="462"/>
    <x v="72"/>
    <x v="562"/>
    <n v="2"/>
    <s v="Desarrollo Social"/>
    <n v="1"/>
    <s v="Salud"/>
    <n v="3"/>
    <x v="53"/>
    <x v="19"/>
    <x v="102"/>
    <n v="1"/>
    <s v="Gasto corriente"/>
    <x v="0"/>
    <x v="0"/>
    <x v="0"/>
    <x v="0"/>
    <x v="0"/>
    <x v="0"/>
    <x v="0"/>
    <m/>
    <x v="0"/>
    <x v="0"/>
    <m/>
    <m/>
    <m/>
    <m/>
    <m/>
    <n v="200000000"/>
    <m/>
    <x v="113"/>
    <n v="2297231590"/>
  </r>
  <r>
    <x v="1"/>
    <x v="14"/>
    <x v="14"/>
    <x v="7"/>
    <s v="Otros Subsidios"/>
    <x v="7"/>
    <x v="462"/>
    <x v="72"/>
    <x v="562"/>
    <n v="2"/>
    <s v="Desarrollo Social"/>
    <n v="1"/>
    <s v="Salud"/>
    <n v="3"/>
    <x v="53"/>
    <x v="19"/>
    <x v="102"/>
    <n v="2"/>
    <s v="Gasto de capital"/>
    <x v="0"/>
    <x v="0"/>
    <x v="0"/>
    <x v="0"/>
    <x v="0"/>
    <x v="0"/>
    <x v="0"/>
    <m/>
    <x v="0"/>
    <x v="0"/>
    <m/>
    <n v="0"/>
    <n v="541675882"/>
    <n v="0"/>
    <n v="541675882"/>
    <m/>
    <m/>
    <x v="1"/>
    <n v="0"/>
  </r>
  <r>
    <x v="1"/>
    <x v="15"/>
    <x v="15"/>
    <x v="12"/>
    <s v="Funciones de las Fuerzas Armadas"/>
    <x v="2"/>
    <x v="463"/>
    <x v="20"/>
    <x v="569"/>
    <n v="1"/>
    <s v="Gobierno"/>
    <n v="1"/>
    <s v="Seguridad Nacional"/>
    <n v="2"/>
    <x v="58"/>
    <x v="1"/>
    <x v="113"/>
    <n v="1"/>
    <s v="Gasto corriente"/>
    <x v="0"/>
    <x v="0"/>
    <x v="0"/>
    <x v="0"/>
    <x v="0"/>
    <x v="0"/>
    <x v="0"/>
    <m/>
    <x v="0"/>
    <x v="0"/>
    <m/>
    <n v="9107127530"/>
    <n v="0"/>
    <n v="-145183070"/>
    <n v="8961944460"/>
    <n v="9170890776"/>
    <m/>
    <x v="1"/>
    <n v="9170890776"/>
  </r>
  <r>
    <x v="1"/>
    <x v="15"/>
    <x v="15"/>
    <x v="12"/>
    <s v="Funciones de las Fuerzas Armadas"/>
    <x v="2"/>
    <x v="463"/>
    <x v="263"/>
    <x v="570"/>
    <n v="1"/>
    <s v="Gobierno"/>
    <n v="1"/>
    <s v="Seguridad Nacional"/>
    <n v="2"/>
    <x v="58"/>
    <x v="1"/>
    <x v="113"/>
    <n v="1"/>
    <s v="Gasto corriente"/>
    <x v="0"/>
    <x v="0"/>
    <x v="0"/>
    <x v="0"/>
    <x v="0"/>
    <x v="0"/>
    <x v="0"/>
    <m/>
    <x v="0"/>
    <x v="0"/>
    <m/>
    <n v="75120000"/>
    <n v="0"/>
    <n v="0"/>
    <n v="75120000"/>
    <n v="125200000"/>
    <m/>
    <x v="1"/>
    <n v="125200000"/>
  </r>
  <r>
    <x v="1"/>
    <x v="15"/>
    <x v="15"/>
    <x v="12"/>
    <s v="Funciones de las Fuerzas Armadas"/>
    <x v="2"/>
    <x v="463"/>
    <x v="55"/>
    <x v="571"/>
    <n v="1"/>
    <s v="Gobierno"/>
    <n v="1"/>
    <s v="Seguridad Nacional"/>
    <n v="2"/>
    <x v="58"/>
    <x v="1"/>
    <x v="113"/>
    <n v="1"/>
    <s v="Gasto corriente"/>
    <x v="0"/>
    <x v="1"/>
    <x v="0"/>
    <x v="0"/>
    <x v="0"/>
    <x v="0"/>
    <x v="0"/>
    <m/>
    <x v="0"/>
    <x v="0"/>
    <m/>
    <m/>
    <n v="0"/>
    <n v="0"/>
    <m/>
    <n v="375600"/>
    <m/>
    <x v="1"/>
    <n v="375600"/>
  </r>
  <r>
    <x v="1"/>
    <x v="15"/>
    <x v="15"/>
    <x v="12"/>
    <s v="Funciones de las Fuerzas Armadas"/>
    <x v="2"/>
    <x v="463"/>
    <x v="55"/>
    <x v="571"/>
    <n v="1"/>
    <s v="Gobierno"/>
    <n v="1"/>
    <s v="Seguridad Nacional"/>
    <n v="2"/>
    <x v="58"/>
    <x v="1"/>
    <x v="113"/>
    <n v="1"/>
    <s v="Gasto corriente"/>
    <x v="0"/>
    <x v="0"/>
    <x v="0"/>
    <x v="0"/>
    <x v="0"/>
    <x v="0"/>
    <x v="0"/>
    <m/>
    <x v="0"/>
    <x v="0"/>
    <m/>
    <n v="762000000"/>
    <n v="0"/>
    <n v="0"/>
    <n v="762000000"/>
    <n v="1449296776"/>
    <m/>
    <x v="1"/>
    <n v="1449296776"/>
  </r>
  <r>
    <x v="1"/>
    <x v="15"/>
    <x v="15"/>
    <x v="12"/>
    <s v="Funciones de las Fuerzas Armadas"/>
    <x v="3"/>
    <x v="464"/>
    <x v="50"/>
    <x v="572"/>
    <n v="1"/>
    <s v="Gobierno"/>
    <n v="1"/>
    <s v="Seguridad Nacional"/>
    <n v="2"/>
    <x v="58"/>
    <x v="0"/>
    <x v="114"/>
    <n v="1"/>
    <s v="Gasto corriente"/>
    <x v="0"/>
    <x v="1"/>
    <x v="0"/>
    <x v="1"/>
    <x v="0"/>
    <x v="0"/>
    <x v="0"/>
    <m/>
    <x v="0"/>
    <x v="0"/>
    <m/>
    <n v="1359760"/>
    <n v="0"/>
    <n v="0"/>
    <n v="1359760"/>
    <n v="1396471"/>
    <m/>
    <x v="1"/>
    <n v="1396471"/>
  </r>
  <r>
    <x v="1"/>
    <x v="15"/>
    <x v="15"/>
    <x v="12"/>
    <s v="Funciones de las Fuerzas Armadas"/>
    <x v="3"/>
    <x v="464"/>
    <x v="50"/>
    <x v="572"/>
    <n v="1"/>
    <s v="Gobierno"/>
    <n v="1"/>
    <s v="Seguridad Nacional"/>
    <n v="2"/>
    <x v="58"/>
    <x v="0"/>
    <x v="114"/>
    <n v="1"/>
    <s v="Gasto corriente"/>
    <x v="0"/>
    <x v="0"/>
    <x v="0"/>
    <x v="1"/>
    <x v="0"/>
    <x v="0"/>
    <x v="0"/>
    <m/>
    <x v="0"/>
    <x v="0"/>
    <m/>
    <n v="5000000"/>
    <n v="0"/>
    <n v="0"/>
    <n v="5000000"/>
    <n v="5000000"/>
    <m/>
    <x v="1"/>
    <n v="5000000"/>
  </r>
  <r>
    <x v="1"/>
    <x v="15"/>
    <x v="15"/>
    <x v="12"/>
    <s v="Funciones de las Fuerzas Armadas"/>
    <x v="3"/>
    <x v="464"/>
    <x v="50"/>
    <x v="572"/>
    <n v="1"/>
    <s v="Gobierno"/>
    <n v="1"/>
    <s v="Seguridad Nacional"/>
    <n v="2"/>
    <x v="58"/>
    <x v="0"/>
    <x v="114"/>
    <n v="1"/>
    <s v="Gasto corriente"/>
    <x v="0"/>
    <x v="0"/>
    <x v="0"/>
    <x v="1"/>
    <x v="0"/>
    <x v="0"/>
    <x v="0"/>
    <m/>
    <x v="0"/>
    <x v="0"/>
    <m/>
    <n v="128375191"/>
    <n v="0"/>
    <n v="0"/>
    <n v="128375191"/>
    <n v="147717791"/>
    <m/>
    <x v="1"/>
    <n v="147717791"/>
  </r>
  <r>
    <x v="1"/>
    <x v="15"/>
    <x v="15"/>
    <x v="12"/>
    <s v="Funciones de las Fuerzas Armadas"/>
    <x v="3"/>
    <x v="464"/>
    <x v="263"/>
    <x v="570"/>
    <n v="1"/>
    <s v="Gobierno"/>
    <n v="1"/>
    <s v="Seguridad Nacional"/>
    <n v="2"/>
    <x v="58"/>
    <x v="0"/>
    <x v="114"/>
    <n v="1"/>
    <s v="Gasto corriente"/>
    <x v="0"/>
    <x v="0"/>
    <x v="0"/>
    <x v="0"/>
    <x v="0"/>
    <x v="0"/>
    <x v="0"/>
    <m/>
    <x v="0"/>
    <x v="0"/>
    <m/>
    <n v="21000000"/>
    <n v="0"/>
    <n v="0"/>
    <n v="21000000"/>
    <n v="35000000"/>
    <m/>
    <x v="1"/>
    <n v="35000000"/>
  </r>
  <r>
    <x v="1"/>
    <x v="15"/>
    <x v="15"/>
    <x v="12"/>
    <s v="Funciones de las Fuerzas Armadas"/>
    <x v="4"/>
    <x v="465"/>
    <x v="5"/>
    <x v="573"/>
    <n v="1"/>
    <s v="Gobierno"/>
    <n v="1"/>
    <s v="Seguridad Nacional"/>
    <n v="2"/>
    <x v="58"/>
    <x v="4"/>
    <x v="115"/>
    <n v="1"/>
    <s v="Gasto corriente"/>
    <x v="0"/>
    <x v="1"/>
    <x v="0"/>
    <x v="0"/>
    <x v="0"/>
    <x v="0"/>
    <x v="0"/>
    <m/>
    <x v="0"/>
    <x v="0"/>
    <m/>
    <n v="4802850"/>
    <n v="0"/>
    <n v="0"/>
    <n v="4802850"/>
    <n v="5032817"/>
    <m/>
    <x v="1"/>
    <n v="5032817"/>
  </r>
  <r>
    <x v="1"/>
    <x v="15"/>
    <x v="15"/>
    <x v="12"/>
    <s v="Funciones de las Fuerzas Armadas"/>
    <x v="4"/>
    <x v="465"/>
    <x v="5"/>
    <x v="573"/>
    <n v="1"/>
    <s v="Gobierno"/>
    <n v="1"/>
    <s v="Seguridad Nacional"/>
    <n v="2"/>
    <x v="58"/>
    <x v="4"/>
    <x v="115"/>
    <n v="1"/>
    <s v="Gasto corriente"/>
    <x v="0"/>
    <x v="0"/>
    <x v="0"/>
    <x v="0"/>
    <x v="0"/>
    <x v="0"/>
    <x v="0"/>
    <m/>
    <x v="0"/>
    <x v="0"/>
    <m/>
    <n v="56275339"/>
    <n v="0"/>
    <n v="0"/>
    <n v="56275339"/>
    <n v="58208493"/>
    <m/>
    <x v="1"/>
    <n v="58208493"/>
  </r>
  <r>
    <x v="1"/>
    <x v="15"/>
    <x v="15"/>
    <x v="12"/>
    <s v="Funciones de las Fuerzas Armadas"/>
    <x v="4"/>
    <x v="465"/>
    <x v="5"/>
    <x v="573"/>
    <n v="1"/>
    <s v="Gobierno"/>
    <n v="1"/>
    <s v="Seguridad Nacional"/>
    <n v="2"/>
    <x v="58"/>
    <x v="4"/>
    <x v="115"/>
    <n v="2"/>
    <s v="Gasto de capital"/>
    <x v="0"/>
    <x v="0"/>
    <x v="0"/>
    <x v="0"/>
    <x v="0"/>
    <x v="0"/>
    <x v="0"/>
    <m/>
    <x v="0"/>
    <x v="0"/>
    <m/>
    <n v="279895091"/>
    <n v="125000000"/>
    <n v="0"/>
    <n v="404895091"/>
    <n v="263000000"/>
    <m/>
    <x v="1"/>
    <n v="263000000"/>
  </r>
  <r>
    <x v="1"/>
    <x v="15"/>
    <x v="15"/>
    <x v="12"/>
    <s v="Funciones de las Fuerzas Armadas"/>
    <x v="5"/>
    <x v="466"/>
    <x v="5"/>
    <x v="573"/>
    <n v="1"/>
    <s v="Gobierno"/>
    <n v="1"/>
    <s v="Seguridad Nacional"/>
    <n v="2"/>
    <x v="58"/>
    <x v="4"/>
    <x v="115"/>
    <n v="1"/>
    <s v="Gasto corriente"/>
    <x v="0"/>
    <x v="0"/>
    <x v="0"/>
    <x v="0"/>
    <x v="0"/>
    <x v="0"/>
    <x v="0"/>
    <m/>
    <x v="0"/>
    <x v="0"/>
    <m/>
    <n v="247604833"/>
    <n v="0"/>
    <n v="0"/>
    <n v="247604833"/>
    <n v="258237428"/>
    <m/>
    <x v="1"/>
    <n v="258237428"/>
  </r>
  <r>
    <x v="1"/>
    <x v="15"/>
    <x v="15"/>
    <x v="12"/>
    <s v="Funciones de las Fuerzas Armadas"/>
    <x v="5"/>
    <x v="466"/>
    <x v="263"/>
    <x v="570"/>
    <n v="1"/>
    <s v="Gobierno"/>
    <n v="1"/>
    <s v="Seguridad Nacional"/>
    <n v="2"/>
    <x v="58"/>
    <x v="4"/>
    <x v="115"/>
    <n v="1"/>
    <s v="Gasto corriente"/>
    <x v="0"/>
    <x v="1"/>
    <x v="0"/>
    <x v="0"/>
    <x v="0"/>
    <x v="0"/>
    <x v="0"/>
    <m/>
    <x v="0"/>
    <x v="0"/>
    <m/>
    <n v="45107"/>
    <n v="0"/>
    <n v="0"/>
    <n v="45107"/>
    <n v="46316"/>
    <m/>
    <x v="1"/>
    <n v="46316"/>
  </r>
  <r>
    <x v="1"/>
    <x v="15"/>
    <x v="15"/>
    <x v="12"/>
    <s v="Funciones de las Fuerzas Armadas"/>
    <x v="5"/>
    <x v="466"/>
    <x v="263"/>
    <x v="570"/>
    <n v="1"/>
    <s v="Gobierno"/>
    <n v="1"/>
    <s v="Seguridad Nacional"/>
    <n v="2"/>
    <x v="58"/>
    <x v="4"/>
    <x v="115"/>
    <n v="1"/>
    <s v="Gasto corriente"/>
    <x v="0"/>
    <x v="0"/>
    <x v="0"/>
    <x v="0"/>
    <x v="0"/>
    <x v="0"/>
    <x v="0"/>
    <m/>
    <x v="0"/>
    <x v="0"/>
    <m/>
    <n v="715980094"/>
    <n v="0"/>
    <n v="0"/>
    <n v="715980094"/>
    <n v="674928457"/>
    <m/>
    <x v="1"/>
    <n v="674928457"/>
  </r>
  <r>
    <x v="1"/>
    <x v="15"/>
    <x v="15"/>
    <x v="12"/>
    <s v="Funciones de las Fuerzas Armadas"/>
    <x v="5"/>
    <x v="466"/>
    <x v="263"/>
    <x v="570"/>
    <n v="1"/>
    <s v="Gobierno"/>
    <n v="1"/>
    <s v="Seguridad Nacional"/>
    <n v="2"/>
    <x v="58"/>
    <x v="4"/>
    <x v="115"/>
    <n v="2"/>
    <s v="Gasto de capital"/>
    <x v="0"/>
    <x v="0"/>
    <x v="0"/>
    <x v="0"/>
    <x v="0"/>
    <x v="0"/>
    <x v="0"/>
    <m/>
    <x v="0"/>
    <x v="0"/>
    <m/>
    <m/>
    <n v="0"/>
    <n v="0"/>
    <m/>
    <n v="825000000"/>
    <m/>
    <x v="1"/>
    <n v="825000000"/>
  </r>
  <r>
    <x v="1"/>
    <x v="15"/>
    <x v="15"/>
    <x v="12"/>
    <s v="Funciones de las Fuerzas Armadas"/>
    <x v="5"/>
    <x v="466"/>
    <x v="55"/>
    <x v="571"/>
    <n v="1"/>
    <s v="Gobierno"/>
    <n v="1"/>
    <s v="Seguridad Nacional"/>
    <n v="2"/>
    <x v="58"/>
    <x v="4"/>
    <x v="115"/>
    <n v="1"/>
    <s v="Gasto corriente"/>
    <x v="0"/>
    <x v="0"/>
    <x v="0"/>
    <x v="0"/>
    <x v="0"/>
    <x v="0"/>
    <x v="0"/>
    <m/>
    <x v="0"/>
    <x v="0"/>
    <m/>
    <n v="50493900"/>
    <n v="0"/>
    <n v="0"/>
    <n v="50493900"/>
    <n v="61500000"/>
    <m/>
    <x v="1"/>
    <n v="61500000"/>
  </r>
  <r>
    <x v="1"/>
    <x v="15"/>
    <x v="15"/>
    <x v="12"/>
    <s v="Funciones de las Fuerzas Armadas"/>
    <x v="7"/>
    <x v="467"/>
    <x v="54"/>
    <x v="69"/>
    <n v="2"/>
    <s v="Desarrollo Social"/>
    <n v="0"/>
    <s v="Educación"/>
    <n v="8"/>
    <x v="51"/>
    <x v="15"/>
    <x v="116"/>
    <n v="1"/>
    <s v="Gasto corriente"/>
    <x v="0"/>
    <x v="0"/>
    <x v="0"/>
    <x v="0"/>
    <x v="0"/>
    <x v="0"/>
    <x v="0"/>
    <m/>
    <x v="0"/>
    <x v="0"/>
    <m/>
    <n v="927920888"/>
    <n v="0"/>
    <n v="0"/>
    <n v="927920888"/>
    <n v="1278409757"/>
    <m/>
    <x v="1"/>
    <n v="1278409757"/>
  </r>
  <r>
    <x v="1"/>
    <x v="15"/>
    <x v="15"/>
    <x v="12"/>
    <s v="Funciones de las Fuerzas Armadas"/>
    <x v="8"/>
    <x v="468"/>
    <x v="54"/>
    <x v="69"/>
    <n v="2"/>
    <s v="Desarrollo Social"/>
    <n v="1"/>
    <s v="Salud"/>
    <n v="2"/>
    <x v="30"/>
    <x v="9"/>
    <x v="117"/>
    <n v="1"/>
    <s v="Gasto corriente"/>
    <x v="0"/>
    <x v="0"/>
    <x v="0"/>
    <x v="0"/>
    <x v="0"/>
    <x v="0"/>
    <x v="0"/>
    <m/>
    <x v="0"/>
    <x v="0"/>
    <m/>
    <n v="1033485999"/>
    <n v="0"/>
    <n v="0"/>
    <n v="1033485999"/>
    <n v="1216505733"/>
    <m/>
    <x v="1"/>
    <n v="1216505733"/>
  </r>
  <r>
    <x v="1"/>
    <x v="15"/>
    <x v="15"/>
    <x v="12"/>
    <s v="Funciones de las Fuerzas Armadas"/>
    <x v="9"/>
    <x v="469"/>
    <x v="1"/>
    <x v="78"/>
    <n v="1"/>
    <s v="Gobierno"/>
    <n v="1"/>
    <s v="Seguridad Nacional"/>
    <n v="2"/>
    <x v="58"/>
    <x v="11"/>
    <x v="118"/>
    <n v="1"/>
    <s v="Gasto corriente"/>
    <x v="0"/>
    <x v="1"/>
    <x v="0"/>
    <x v="0"/>
    <x v="0"/>
    <x v="0"/>
    <x v="0"/>
    <m/>
    <x v="0"/>
    <x v="0"/>
    <m/>
    <n v="411241"/>
    <n v="0"/>
    <n v="0"/>
    <n v="411241"/>
    <n v="412795"/>
    <m/>
    <x v="1"/>
    <n v="412795"/>
  </r>
  <r>
    <x v="1"/>
    <x v="15"/>
    <x v="15"/>
    <x v="12"/>
    <s v="Funciones de las Fuerzas Armadas"/>
    <x v="9"/>
    <x v="469"/>
    <x v="1"/>
    <x v="78"/>
    <n v="1"/>
    <s v="Gobierno"/>
    <n v="1"/>
    <s v="Seguridad Nacional"/>
    <n v="2"/>
    <x v="58"/>
    <x v="11"/>
    <x v="118"/>
    <n v="1"/>
    <s v="Gasto corriente"/>
    <x v="0"/>
    <x v="0"/>
    <x v="0"/>
    <x v="0"/>
    <x v="0"/>
    <x v="0"/>
    <x v="0"/>
    <m/>
    <x v="0"/>
    <x v="0"/>
    <m/>
    <n v="101806864"/>
    <n v="0"/>
    <n v="0"/>
    <n v="101806864"/>
    <n v="110882962"/>
    <m/>
    <x v="1"/>
    <n v="110882962"/>
  </r>
  <r>
    <x v="1"/>
    <x v="15"/>
    <x v="15"/>
    <x v="12"/>
    <s v="Funciones de las Fuerzas Armadas"/>
    <x v="9"/>
    <x v="469"/>
    <x v="3"/>
    <x v="574"/>
    <n v="1"/>
    <s v="Gobierno"/>
    <n v="1"/>
    <s v="Seguridad Nacional"/>
    <n v="2"/>
    <x v="58"/>
    <x v="11"/>
    <x v="118"/>
    <n v="1"/>
    <s v="Gasto corriente"/>
    <x v="0"/>
    <x v="0"/>
    <x v="0"/>
    <x v="0"/>
    <x v="0"/>
    <x v="0"/>
    <x v="0"/>
    <m/>
    <x v="0"/>
    <x v="0"/>
    <m/>
    <n v="46407354"/>
    <n v="0"/>
    <n v="0"/>
    <n v="46407354"/>
    <n v="58479861"/>
    <m/>
    <x v="1"/>
    <n v="58479861"/>
  </r>
  <r>
    <x v="1"/>
    <x v="15"/>
    <x v="15"/>
    <x v="12"/>
    <s v="Funciones de las Fuerzas Armadas"/>
    <x v="9"/>
    <x v="469"/>
    <x v="22"/>
    <x v="575"/>
    <n v="1"/>
    <s v="Gobierno"/>
    <n v="1"/>
    <s v="Seguridad Nacional"/>
    <n v="2"/>
    <x v="58"/>
    <x v="11"/>
    <x v="118"/>
    <n v="1"/>
    <s v="Gasto corriente"/>
    <x v="0"/>
    <x v="0"/>
    <x v="0"/>
    <x v="0"/>
    <x v="0"/>
    <x v="0"/>
    <x v="0"/>
    <m/>
    <x v="0"/>
    <x v="0"/>
    <m/>
    <n v="14381403"/>
    <n v="0"/>
    <n v="0"/>
    <n v="14381403"/>
    <n v="15354055"/>
    <m/>
    <x v="1"/>
    <n v="15354055"/>
  </r>
  <r>
    <x v="1"/>
    <x v="15"/>
    <x v="15"/>
    <x v="12"/>
    <s v="Funciones de las Fuerzas Armadas"/>
    <x v="9"/>
    <x v="469"/>
    <x v="23"/>
    <x v="576"/>
    <n v="1"/>
    <s v="Gobierno"/>
    <n v="1"/>
    <s v="Seguridad Nacional"/>
    <n v="2"/>
    <x v="58"/>
    <x v="11"/>
    <x v="118"/>
    <n v="1"/>
    <s v="Gasto corriente"/>
    <x v="0"/>
    <x v="0"/>
    <x v="0"/>
    <x v="0"/>
    <x v="0"/>
    <x v="0"/>
    <x v="0"/>
    <m/>
    <x v="0"/>
    <x v="0"/>
    <m/>
    <n v="9196169"/>
    <n v="0"/>
    <n v="0"/>
    <n v="9196169"/>
    <n v="11563223"/>
    <m/>
    <x v="1"/>
    <n v="11563223"/>
  </r>
  <r>
    <x v="1"/>
    <x v="15"/>
    <x v="15"/>
    <x v="12"/>
    <s v="Funciones de las Fuerzas Armadas"/>
    <x v="9"/>
    <x v="469"/>
    <x v="19"/>
    <x v="577"/>
    <n v="1"/>
    <s v="Gobierno"/>
    <n v="1"/>
    <s v="Seguridad Nacional"/>
    <n v="2"/>
    <x v="58"/>
    <x v="11"/>
    <x v="118"/>
    <n v="1"/>
    <s v="Gasto corriente"/>
    <x v="0"/>
    <x v="1"/>
    <x v="0"/>
    <x v="0"/>
    <x v="0"/>
    <x v="0"/>
    <x v="0"/>
    <m/>
    <x v="0"/>
    <x v="0"/>
    <m/>
    <n v="34440"/>
    <n v="0"/>
    <n v="0"/>
    <n v="34440"/>
    <n v="34398"/>
    <m/>
    <x v="1"/>
    <n v="34398"/>
  </r>
  <r>
    <x v="1"/>
    <x v="15"/>
    <x v="15"/>
    <x v="12"/>
    <s v="Funciones de las Fuerzas Armadas"/>
    <x v="9"/>
    <x v="469"/>
    <x v="19"/>
    <x v="577"/>
    <n v="1"/>
    <s v="Gobierno"/>
    <n v="1"/>
    <s v="Seguridad Nacional"/>
    <n v="2"/>
    <x v="58"/>
    <x v="11"/>
    <x v="118"/>
    <n v="1"/>
    <s v="Gasto corriente"/>
    <x v="0"/>
    <x v="0"/>
    <x v="0"/>
    <x v="0"/>
    <x v="0"/>
    <x v="0"/>
    <x v="0"/>
    <m/>
    <x v="0"/>
    <x v="0"/>
    <m/>
    <n v="401246834"/>
    <n v="0"/>
    <n v="0"/>
    <n v="401246834"/>
    <n v="555211466"/>
    <m/>
    <x v="1"/>
    <n v="555211466"/>
  </r>
  <r>
    <x v="1"/>
    <x v="15"/>
    <x v="15"/>
    <x v="12"/>
    <s v="Funciones de las Fuerzas Armadas"/>
    <x v="9"/>
    <x v="469"/>
    <x v="19"/>
    <x v="577"/>
    <n v="1"/>
    <s v="Gobierno"/>
    <n v="1"/>
    <s v="Seguridad Nacional"/>
    <n v="2"/>
    <x v="58"/>
    <x v="11"/>
    <x v="118"/>
    <n v="2"/>
    <s v="Gasto de capital"/>
    <x v="0"/>
    <x v="0"/>
    <x v="0"/>
    <x v="0"/>
    <x v="0"/>
    <x v="0"/>
    <x v="0"/>
    <m/>
    <x v="0"/>
    <x v="0"/>
    <m/>
    <n v="47300000"/>
    <n v="125000000"/>
    <n v="0"/>
    <n v="172300000"/>
    <m/>
    <m/>
    <x v="1"/>
    <n v="0"/>
  </r>
  <r>
    <x v="1"/>
    <x v="15"/>
    <x v="15"/>
    <x v="12"/>
    <s v="Funciones de las Fuerzas Armadas"/>
    <x v="9"/>
    <x v="469"/>
    <x v="115"/>
    <x v="578"/>
    <n v="1"/>
    <s v="Gobierno"/>
    <n v="1"/>
    <s v="Seguridad Nacional"/>
    <n v="2"/>
    <x v="58"/>
    <x v="11"/>
    <x v="118"/>
    <n v="1"/>
    <s v="Gasto corriente"/>
    <x v="0"/>
    <x v="1"/>
    <x v="0"/>
    <x v="0"/>
    <x v="0"/>
    <x v="0"/>
    <x v="0"/>
    <m/>
    <x v="0"/>
    <x v="0"/>
    <m/>
    <n v="73115"/>
    <n v="0"/>
    <n v="0"/>
    <n v="73115"/>
    <n v="75725"/>
    <m/>
    <x v="1"/>
    <n v="75725"/>
  </r>
  <r>
    <x v="1"/>
    <x v="15"/>
    <x v="15"/>
    <x v="12"/>
    <s v="Funciones de las Fuerzas Armadas"/>
    <x v="9"/>
    <x v="469"/>
    <x v="115"/>
    <x v="578"/>
    <n v="1"/>
    <s v="Gobierno"/>
    <n v="1"/>
    <s v="Seguridad Nacional"/>
    <n v="2"/>
    <x v="58"/>
    <x v="11"/>
    <x v="118"/>
    <n v="1"/>
    <s v="Gasto corriente"/>
    <x v="0"/>
    <x v="0"/>
    <x v="0"/>
    <x v="0"/>
    <x v="0"/>
    <x v="0"/>
    <x v="0"/>
    <m/>
    <x v="0"/>
    <x v="0"/>
    <m/>
    <n v="20691045"/>
    <n v="0"/>
    <n v="0"/>
    <n v="20691045"/>
    <n v="22248802"/>
    <m/>
    <x v="1"/>
    <n v="22248802"/>
  </r>
  <r>
    <x v="1"/>
    <x v="15"/>
    <x v="15"/>
    <x v="12"/>
    <s v="Funciones de las Fuerzas Armadas"/>
    <x v="9"/>
    <x v="469"/>
    <x v="0"/>
    <x v="579"/>
    <n v="1"/>
    <s v="Gobierno"/>
    <n v="1"/>
    <s v="Seguridad Nacional"/>
    <n v="2"/>
    <x v="58"/>
    <x v="11"/>
    <x v="118"/>
    <n v="1"/>
    <s v="Gasto corriente"/>
    <x v="0"/>
    <x v="1"/>
    <x v="0"/>
    <x v="0"/>
    <x v="0"/>
    <x v="0"/>
    <x v="0"/>
    <m/>
    <x v="0"/>
    <x v="0"/>
    <m/>
    <n v="130265"/>
    <n v="0"/>
    <n v="0"/>
    <n v="130265"/>
    <n v="130499"/>
    <m/>
    <x v="1"/>
    <n v="130499"/>
  </r>
  <r>
    <x v="1"/>
    <x v="15"/>
    <x v="15"/>
    <x v="12"/>
    <s v="Funciones de las Fuerzas Armadas"/>
    <x v="9"/>
    <x v="469"/>
    <x v="0"/>
    <x v="579"/>
    <n v="1"/>
    <s v="Gobierno"/>
    <n v="1"/>
    <s v="Seguridad Nacional"/>
    <n v="2"/>
    <x v="58"/>
    <x v="11"/>
    <x v="118"/>
    <n v="1"/>
    <s v="Gasto corriente"/>
    <x v="0"/>
    <x v="0"/>
    <x v="0"/>
    <x v="0"/>
    <x v="0"/>
    <x v="0"/>
    <x v="0"/>
    <m/>
    <x v="0"/>
    <x v="0"/>
    <m/>
    <n v="22283443"/>
    <n v="0"/>
    <n v="0"/>
    <n v="22283443"/>
    <n v="25604010"/>
    <m/>
    <x v="1"/>
    <n v="25604010"/>
  </r>
  <r>
    <x v="1"/>
    <x v="15"/>
    <x v="15"/>
    <x v="12"/>
    <s v="Funciones de las Fuerzas Armadas"/>
    <x v="10"/>
    <x v="470"/>
    <x v="50"/>
    <x v="572"/>
    <n v="1"/>
    <s v="Gobierno"/>
    <n v="1"/>
    <s v="Seguridad Nacional"/>
    <n v="2"/>
    <x v="58"/>
    <x v="0"/>
    <x v="114"/>
    <n v="1"/>
    <s v="Gasto corriente"/>
    <x v="0"/>
    <x v="0"/>
    <x v="0"/>
    <x v="1"/>
    <x v="0"/>
    <x v="0"/>
    <x v="0"/>
    <m/>
    <x v="0"/>
    <x v="0"/>
    <m/>
    <n v="117455142"/>
    <n v="0"/>
    <n v="0"/>
    <n v="117455142"/>
    <n v="143303903"/>
    <m/>
    <x v="1"/>
    <n v="143303903"/>
  </r>
  <r>
    <x v="1"/>
    <x v="15"/>
    <x v="15"/>
    <x v="12"/>
    <s v="Funciones de las Fuerzas Armadas"/>
    <x v="10"/>
    <x v="470"/>
    <x v="50"/>
    <x v="572"/>
    <n v="1"/>
    <s v="Gobierno"/>
    <n v="1"/>
    <s v="Seguridad Nacional"/>
    <n v="2"/>
    <x v="58"/>
    <x v="0"/>
    <x v="114"/>
    <n v="2"/>
    <s v="Gasto de capital"/>
    <x v="0"/>
    <x v="0"/>
    <x v="0"/>
    <x v="1"/>
    <x v="0"/>
    <x v="0"/>
    <x v="0"/>
    <m/>
    <x v="0"/>
    <x v="0"/>
    <m/>
    <m/>
    <n v="0"/>
    <n v="0"/>
    <m/>
    <n v="85000000"/>
    <m/>
    <x v="1"/>
    <n v="85000000"/>
  </r>
  <r>
    <x v="1"/>
    <x v="15"/>
    <x v="15"/>
    <x v="0"/>
    <s v="Proyectos de Inversión"/>
    <x v="13"/>
    <x v="471"/>
    <x v="263"/>
    <x v="570"/>
    <n v="1"/>
    <s v="Gobierno"/>
    <n v="1"/>
    <s v="Seguridad Nacional"/>
    <n v="2"/>
    <x v="58"/>
    <x v="4"/>
    <x v="115"/>
    <n v="2"/>
    <s v="Gasto de capital"/>
    <x v="0"/>
    <x v="0"/>
    <x v="0"/>
    <x v="0"/>
    <x v="0"/>
    <x v="0"/>
    <x v="0"/>
    <m/>
    <x v="0"/>
    <x v="0"/>
    <m/>
    <n v="143658000"/>
    <n v="0"/>
    <n v="0"/>
    <n v="143658000"/>
    <n v="145000000"/>
    <m/>
    <x v="1"/>
    <n v="145000000"/>
  </r>
  <r>
    <x v="1"/>
    <x v="15"/>
    <x v="15"/>
    <x v="0"/>
    <s v="Proyectos de Inversión"/>
    <x v="13"/>
    <x v="471"/>
    <x v="54"/>
    <x v="69"/>
    <n v="1"/>
    <s v="Gobierno"/>
    <n v="1"/>
    <s v="Seguridad Nacional"/>
    <n v="2"/>
    <x v="58"/>
    <x v="4"/>
    <x v="115"/>
    <n v="2"/>
    <s v="Gasto de capital"/>
    <x v="0"/>
    <x v="0"/>
    <x v="0"/>
    <x v="0"/>
    <x v="0"/>
    <x v="0"/>
    <x v="1"/>
    <m/>
    <x v="0"/>
    <x v="0"/>
    <m/>
    <m/>
    <n v="0"/>
    <n v="0"/>
    <m/>
    <n v="21000000"/>
    <m/>
    <x v="1"/>
    <n v="21000000"/>
  </r>
  <r>
    <x v="1"/>
    <x v="15"/>
    <x v="15"/>
    <x v="0"/>
    <s v="Proyectos de Inversión"/>
    <x v="22"/>
    <x v="170"/>
    <x v="263"/>
    <x v="570"/>
    <n v="1"/>
    <s v="Gobierno"/>
    <n v="1"/>
    <s v="Seguridad Nacional"/>
    <n v="2"/>
    <x v="58"/>
    <x v="4"/>
    <x v="115"/>
    <n v="2"/>
    <s v="Gasto de capital"/>
    <x v="0"/>
    <x v="0"/>
    <x v="0"/>
    <x v="0"/>
    <x v="0"/>
    <x v="0"/>
    <x v="0"/>
    <m/>
    <x v="0"/>
    <x v="0"/>
    <m/>
    <n v="351252677"/>
    <n v="0"/>
    <n v="0"/>
    <n v="351252677"/>
    <n v="253000000"/>
    <m/>
    <x v="1"/>
    <n v="253000000"/>
  </r>
  <r>
    <x v="1"/>
    <x v="15"/>
    <x v="15"/>
    <x v="0"/>
    <s v="Proyectos de Inversión"/>
    <x v="1"/>
    <x v="1"/>
    <x v="263"/>
    <x v="570"/>
    <n v="1"/>
    <s v="Gobierno"/>
    <n v="1"/>
    <s v="Seguridad Nacional"/>
    <n v="2"/>
    <x v="58"/>
    <x v="4"/>
    <x v="115"/>
    <n v="2"/>
    <s v="Gasto de capital"/>
    <x v="0"/>
    <x v="0"/>
    <x v="0"/>
    <x v="0"/>
    <x v="0"/>
    <x v="0"/>
    <x v="0"/>
    <m/>
    <x v="0"/>
    <x v="0"/>
    <m/>
    <n v="147394232"/>
    <n v="0"/>
    <n v="0"/>
    <n v="147394232"/>
    <m/>
    <m/>
    <x v="1"/>
    <n v="0"/>
  </r>
  <r>
    <x v="1"/>
    <x v="15"/>
    <x v="15"/>
    <x v="2"/>
    <s v="Apoyo al proceso presupuestario y para mejorar la eficiencia institucional"/>
    <x v="2"/>
    <x v="34"/>
    <x v="7"/>
    <x v="39"/>
    <n v="1"/>
    <s v="Gobierno"/>
    <n v="1"/>
    <s v="Seguridad Nacional"/>
    <n v="2"/>
    <x v="58"/>
    <x v="3"/>
    <x v="12"/>
    <n v="1"/>
    <s v="Gasto corriente"/>
    <x v="0"/>
    <x v="1"/>
    <x v="0"/>
    <x v="0"/>
    <x v="0"/>
    <x v="0"/>
    <x v="0"/>
    <m/>
    <x v="0"/>
    <x v="0"/>
    <m/>
    <n v="94072"/>
    <n v="0"/>
    <n v="0"/>
    <n v="94072"/>
    <n v="94490"/>
    <m/>
    <x v="1"/>
    <n v="94490"/>
  </r>
  <r>
    <x v="1"/>
    <x v="15"/>
    <x v="15"/>
    <x v="2"/>
    <s v="Apoyo al proceso presupuestario y para mejorar la eficiencia institucional"/>
    <x v="2"/>
    <x v="34"/>
    <x v="7"/>
    <x v="39"/>
    <n v="1"/>
    <s v="Gobierno"/>
    <n v="1"/>
    <s v="Seguridad Nacional"/>
    <n v="2"/>
    <x v="58"/>
    <x v="3"/>
    <x v="12"/>
    <n v="1"/>
    <s v="Gasto corriente"/>
    <x v="0"/>
    <x v="0"/>
    <x v="0"/>
    <x v="0"/>
    <x v="0"/>
    <x v="0"/>
    <x v="0"/>
    <m/>
    <x v="0"/>
    <x v="0"/>
    <m/>
    <n v="100953247"/>
    <n v="0"/>
    <n v="0"/>
    <n v="100953247"/>
    <n v="119010192"/>
    <m/>
    <x v="1"/>
    <n v="119010192"/>
  </r>
  <r>
    <x v="1"/>
    <x v="15"/>
    <x v="15"/>
    <x v="2"/>
    <s v="Apoyo al proceso presupuestario y para mejorar la eficiencia institucional"/>
    <x v="2"/>
    <x v="34"/>
    <x v="54"/>
    <x v="69"/>
    <n v="1"/>
    <s v="Gobierno"/>
    <n v="1"/>
    <s v="Seguridad Nacional"/>
    <n v="2"/>
    <x v="58"/>
    <x v="3"/>
    <x v="12"/>
    <n v="1"/>
    <s v="Gasto corriente"/>
    <x v="0"/>
    <x v="1"/>
    <x v="0"/>
    <x v="0"/>
    <x v="0"/>
    <x v="0"/>
    <x v="0"/>
    <m/>
    <x v="0"/>
    <x v="0"/>
    <m/>
    <n v="1282594"/>
    <n v="0"/>
    <n v="0"/>
    <n v="1282594"/>
    <n v="1325869"/>
    <m/>
    <x v="1"/>
    <n v="1325869"/>
  </r>
  <r>
    <x v="1"/>
    <x v="15"/>
    <x v="15"/>
    <x v="2"/>
    <s v="Apoyo al proceso presupuestario y para mejorar la eficiencia institucional"/>
    <x v="2"/>
    <x v="34"/>
    <x v="54"/>
    <x v="69"/>
    <n v="1"/>
    <s v="Gobierno"/>
    <n v="1"/>
    <s v="Seguridad Nacional"/>
    <n v="2"/>
    <x v="58"/>
    <x v="3"/>
    <x v="12"/>
    <n v="1"/>
    <s v="Gasto corriente"/>
    <x v="0"/>
    <x v="0"/>
    <x v="0"/>
    <x v="0"/>
    <x v="0"/>
    <x v="0"/>
    <x v="0"/>
    <m/>
    <x v="0"/>
    <x v="0"/>
    <m/>
    <n v="377289298"/>
    <n v="0"/>
    <n v="0"/>
    <n v="377289298"/>
    <n v="473986163"/>
    <m/>
    <x v="1"/>
    <n v="473986163"/>
  </r>
  <r>
    <x v="1"/>
    <x v="15"/>
    <x v="15"/>
    <x v="2"/>
    <s v="Apoyo al proceso presupuestario y para mejorar la eficiencia institucional"/>
    <x v="2"/>
    <x v="34"/>
    <x v="55"/>
    <x v="571"/>
    <n v="1"/>
    <s v="Gobierno"/>
    <n v="1"/>
    <s v="Seguridad Nacional"/>
    <n v="2"/>
    <x v="58"/>
    <x v="3"/>
    <x v="12"/>
    <n v="1"/>
    <s v="Gasto corriente"/>
    <x v="0"/>
    <x v="1"/>
    <x v="0"/>
    <x v="0"/>
    <x v="0"/>
    <x v="0"/>
    <x v="0"/>
    <m/>
    <x v="0"/>
    <x v="0"/>
    <m/>
    <n v="3748549"/>
    <n v="0"/>
    <n v="0"/>
    <n v="3748549"/>
    <n v="5229912"/>
    <m/>
    <x v="1"/>
    <n v="5229912"/>
  </r>
  <r>
    <x v="1"/>
    <x v="15"/>
    <x v="15"/>
    <x v="2"/>
    <s v="Apoyo al proceso presupuestario y para mejorar la eficiencia institucional"/>
    <x v="2"/>
    <x v="34"/>
    <x v="55"/>
    <x v="571"/>
    <n v="1"/>
    <s v="Gobierno"/>
    <n v="1"/>
    <s v="Seguridad Nacional"/>
    <n v="2"/>
    <x v="58"/>
    <x v="3"/>
    <x v="12"/>
    <n v="1"/>
    <s v="Gasto corriente"/>
    <x v="0"/>
    <x v="0"/>
    <x v="0"/>
    <x v="0"/>
    <x v="0"/>
    <x v="0"/>
    <x v="0"/>
    <m/>
    <x v="0"/>
    <x v="0"/>
    <m/>
    <n v="505975697"/>
    <n v="0"/>
    <n v="0"/>
    <n v="505975697"/>
    <n v="587682700"/>
    <m/>
    <x v="1"/>
    <n v="587682700"/>
  </r>
  <r>
    <x v="1"/>
    <x v="15"/>
    <x v="15"/>
    <x v="1"/>
    <s v="Específicos"/>
    <x v="11"/>
    <x v="472"/>
    <x v="54"/>
    <x v="69"/>
    <n v="2"/>
    <s v="Desarrollo Social"/>
    <n v="0"/>
    <s v="Educación"/>
    <n v="8"/>
    <x v="51"/>
    <x v="5"/>
    <x v="60"/>
    <n v="1"/>
    <s v="Gasto corriente"/>
    <x v="0"/>
    <x v="0"/>
    <x v="0"/>
    <x v="0"/>
    <x v="0"/>
    <x v="0"/>
    <x v="0"/>
    <m/>
    <x v="0"/>
    <x v="0"/>
    <m/>
    <n v="57500000"/>
    <n v="0"/>
    <n v="0"/>
    <n v="57500000"/>
    <n v="59800000"/>
    <m/>
    <x v="1"/>
    <n v="59800000"/>
  </r>
  <r>
    <x v="1"/>
    <x v="16"/>
    <x v="16"/>
    <x v="4"/>
    <s v="Prestación de Servicios Públicos"/>
    <x v="2"/>
    <x v="473"/>
    <x v="3"/>
    <x v="580"/>
    <n v="1"/>
    <s v="Gobierno"/>
    <n v="6"/>
    <s v="Orden, Seguridad y Justicia"/>
    <n v="4"/>
    <x v="1"/>
    <x v="1"/>
    <x v="119"/>
    <n v="1"/>
    <s v="Gasto corriente"/>
    <x v="0"/>
    <x v="1"/>
    <x v="0"/>
    <x v="0"/>
    <x v="0"/>
    <x v="0"/>
    <x v="0"/>
    <m/>
    <x v="0"/>
    <x v="0"/>
    <m/>
    <n v="30660499"/>
    <n v="0"/>
    <n v="0"/>
    <n v="30660499"/>
    <n v="42800124"/>
    <m/>
    <x v="1"/>
    <n v="42800124"/>
  </r>
  <r>
    <x v="1"/>
    <x v="16"/>
    <x v="16"/>
    <x v="4"/>
    <s v="Prestación de Servicios Públicos"/>
    <x v="2"/>
    <x v="473"/>
    <x v="3"/>
    <x v="580"/>
    <n v="1"/>
    <s v="Gobierno"/>
    <n v="6"/>
    <s v="Orden, Seguridad y Justicia"/>
    <n v="4"/>
    <x v="1"/>
    <x v="1"/>
    <x v="119"/>
    <n v="1"/>
    <s v="Gasto corriente"/>
    <x v="0"/>
    <x v="0"/>
    <x v="0"/>
    <x v="0"/>
    <x v="0"/>
    <x v="0"/>
    <x v="0"/>
    <m/>
    <x v="0"/>
    <x v="0"/>
    <m/>
    <n v="604567648"/>
    <n v="0"/>
    <n v="-3418176"/>
    <n v="601149472"/>
    <n v="606526595"/>
    <n v="40000000"/>
    <x v="1"/>
    <n v="566526595"/>
  </r>
  <r>
    <x v="1"/>
    <x v="16"/>
    <x v="16"/>
    <x v="4"/>
    <s v="Prestación de Servicios Públicos"/>
    <x v="2"/>
    <x v="473"/>
    <x v="3"/>
    <x v="580"/>
    <n v="1"/>
    <s v="Gobierno"/>
    <n v="6"/>
    <s v="Orden, Seguridad y Justicia"/>
    <n v="4"/>
    <x v="1"/>
    <x v="1"/>
    <x v="119"/>
    <n v="2"/>
    <s v="Gasto de capital"/>
    <x v="0"/>
    <x v="0"/>
    <x v="0"/>
    <x v="0"/>
    <x v="0"/>
    <x v="0"/>
    <x v="0"/>
    <m/>
    <x v="0"/>
    <x v="0"/>
    <m/>
    <n v="17000000"/>
    <n v="0"/>
    <n v="0"/>
    <n v="17000000"/>
    <n v="12758137"/>
    <m/>
    <x v="1"/>
    <n v="12758137"/>
  </r>
  <r>
    <x v="1"/>
    <x v="16"/>
    <x v="16"/>
    <x v="4"/>
    <s v="Prestación de Servicios Públicos"/>
    <x v="3"/>
    <x v="474"/>
    <x v="57"/>
    <x v="581"/>
    <n v="1"/>
    <s v="Gobierno"/>
    <n v="6"/>
    <s v="Orden, Seguridad y Justicia"/>
    <n v="4"/>
    <x v="1"/>
    <x v="1"/>
    <x v="119"/>
    <n v="1"/>
    <s v="Gasto corriente"/>
    <x v="0"/>
    <x v="1"/>
    <x v="0"/>
    <x v="0"/>
    <x v="0"/>
    <x v="0"/>
    <x v="1"/>
    <m/>
    <x v="0"/>
    <x v="0"/>
    <m/>
    <n v="7346890"/>
    <n v="0"/>
    <n v="0"/>
    <n v="7346890"/>
    <n v="10201689"/>
    <m/>
    <x v="1"/>
    <n v="10201689"/>
  </r>
  <r>
    <x v="1"/>
    <x v="16"/>
    <x v="16"/>
    <x v="4"/>
    <s v="Prestación de Servicios Públicos"/>
    <x v="3"/>
    <x v="474"/>
    <x v="57"/>
    <x v="581"/>
    <n v="1"/>
    <s v="Gobierno"/>
    <n v="6"/>
    <s v="Orden, Seguridad y Justicia"/>
    <n v="4"/>
    <x v="1"/>
    <x v="1"/>
    <x v="119"/>
    <n v="1"/>
    <s v="Gasto corriente"/>
    <x v="0"/>
    <x v="0"/>
    <x v="0"/>
    <x v="0"/>
    <x v="0"/>
    <x v="0"/>
    <x v="1"/>
    <m/>
    <x v="0"/>
    <x v="0"/>
    <m/>
    <n v="162330936"/>
    <n v="0"/>
    <n v="-937811"/>
    <n v="161393125"/>
    <n v="157064122"/>
    <m/>
    <x v="1"/>
    <n v="157064122"/>
  </r>
  <r>
    <x v="1"/>
    <x v="16"/>
    <x v="16"/>
    <x v="4"/>
    <s v="Prestación de Servicios Públicos"/>
    <x v="3"/>
    <x v="474"/>
    <x v="57"/>
    <x v="581"/>
    <n v="1"/>
    <s v="Gobierno"/>
    <n v="6"/>
    <s v="Orden, Seguridad y Justicia"/>
    <n v="4"/>
    <x v="1"/>
    <x v="1"/>
    <x v="119"/>
    <n v="2"/>
    <s v="Gasto de capital"/>
    <x v="0"/>
    <x v="0"/>
    <x v="0"/>
    <x v="0"/>
    <x v="0"/>
    <x v="0"/>
    <x v="1"/>
    <m/>
    <x v="0"/>
    <x v="0"/>
    <m/>
    <n v="2224385"/>
    <n v="0"/>
    <n v="0"/>
    <n v="2224385"/>
    <n v="2824382"/>
    <m/>
    <x v="1"/>
    <n v="2824382"/>
  </r>
  <r>
    <x v="1"/>
    <x v="16"/>
    <x v="16"/>
    <x v="4"/>
    <s v="Prestación de Servicios Públicos"/>
    <x v="4"/>
    <x v="475"/>
    <x v="18"/>
    <x v="582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05722"/>
    <n v="0"/>
    <n v="0"/>
    <n v="305722"/>
    <n v="406855"/>
    <m/>
    <x v="1"/>
    <n v="406855"/>
  </r>
  <r>
    <x v="1"/>
    <x v="16"/>
    <x v="16"/>
    <x v="4"/>
    <s v="Prestación de Servicios Públicos"/>
    <x v="4"/>
    <x v="475"/>
    <x v="18"/>
    <x v="582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7788404"/>
    <n v="0"/>
    <n v="-46022"/>
    <n v="7742382"/>
    <n v="6947052"/>
    <m/>
    <x v="1"/>
    <n v="6947052"/>
  </r>
  <r>
    <x v="1"/>
    <x v="16"/>
    <x v="16"/>
    <x v="4"/>
    <s v="Prestación de Servicios Públicos"/>
    <x v="4"/>
    <x v="475"/>
    <x v="18"/>
    <x v="582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07"/>
    <x v="583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61373"/>
    <n v="0"/>
    <n v="0"/>
    <n v="561373"/>
    <n v="768047"/>
    <m/>
    <x v="1"/>
    <n v="768047"/>
  </r>
  <r>
    <x v="1"/>
    <x v="16"/>
    <x v="16"/>
    <x v="4"/>
    <s v="Prestación de Servicios Públicos"/>
    <x v="4"/>
    <x v="475"/>
    <x v="107"/>
    <x v="583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1413200"/>
    <n v="0"/>
    <n v="-62990"/>
    <n v="11350210"/>
    <n v="11008074"/>
    <m/>
    <x v="1"/>
    <n v="11008074"/>
  </r>
  <r>
    <x v="1"/>
    <x v="16"/>
    <x v="16"/>
    <x v="4"/>
    <s v="Prestación de Servicios Públicos"/>
    <x v="4"/>
    <x v="475"/>
    <x v="83"/>
    <x v="584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287703"/>
    <n v="0"/>
    <n v="0"/>
    <n v="287703"/>
    <n v="404116"/>
    <m/>
    <x v="1"/>
    <n v="404116"/>
  </r>
  <r>
    <x v="1"/>
    <x v="16"/>
    <x v="16"/>
    <x v="4"/>
    <s v="Prestación de Servicios Públicos"/>
    <x v="4"/>
    <x v="475"/>
    <x v="83"/>
    <x v="584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7467047"/>
    <n v="0"/>
    <n v="-36801"/>
    <n v="7430246"/>
    <n v="7054231"/>
    <m/>
    <x v="1"/>
    <n v="7054231"/>
  </r>
  <r>
    <x v="1"/>
    <x v="16"/>
    <x v="16"/>
    <x v="4"/>
    <s v="Prestación de Servicios Públicos"/>
    <x v="4"/>
    <x v="475"/>
    <x v="108"/>
    <x v="585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471644"/>
    <n v="0"/>
    <n v="0"/>
    <n v="471644"/>
    <n v="665486"/>
    <m/>
    <x v="1"/>
    <n v="665486"/>
  </r>
  <r>
    <x v="1"/>
    <x v="16"/>
    <x v="16"/>
    <x v="4"/>
    <s v="Prestación de Servicios Públicos"/>
    <x v="4"/>
    <x v="475"/>
    <x v="108"/>
    <x v="585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9237504"/>
    <n v="0"/>
    <n v="-44702"/>
    <n v="9192802"/>
    <n v="8604698"/>
    <m/>
    <x v="1"/>
    <n v="8604698"/>
  </r>
  <r>
    <x v="1"/>
    <x v="16"/>
    <x v="16"/>
    <x v="4"/>
    <s v="Prestación de Servicios Públicos"/>
    <x v="4"/>
    <x v="475"/>
    <x v="108"/>
    <x v="585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09"/>
    <x v="586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748340"/>
    <n v="0"/>
    <n v="0"/>
    <n v="748340"/>
    <n v="1047482"/>
    <m/>
    <x v="1"/>
    <n v="1047482"/>
  </r>
  <r>
    <x v="1"/>
    <x v="16"/>
    <x v="16"/>
    <x v="4"/>
    <s v="Prestación de Servicios Públicos"/>
    <x v="4"/>
    <x v="475"/>
    <x v="109"/>
    <x v="586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4484596"/>
    <n v="0"/>
    <n v="-78671"/>
    <n v="14405925"/>
    <n v="14025909"/>
    <m/>
    <x v="1"/>
    <n v="14025909"/>
  </r>
  <r>
    <x v="1"/>
    <x v="16"/>
    <x v="16"/>
    <x v="4"/>
    <s v="Prestación de Servicios Públicos"/>
    <x v="4"/>
    <x v="475"/>
    <x v="110"/>
    <x v="587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285918"/>
    <n v="0"/>
    <n v="0"/>
    <n v="285918"/>
    <n v="401381"/>
    <m/>
    <x v="1"/>
    <n v="401381"/>
  </r>
  <r>
    <x v="1"/>
    <x v="16"/>
    <x v="16"/>
    <x v="4"/>
    <s v="Prestación de Servicios Públicos"/>
    <x v="4"/>
    <x v="475"/>
    <x v="110"/>
    <x v="587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6923316"/>
    <n v="0"/>
    <n v="-36792"/>
    <n v="6886524"/>
    <n v="6484530"/>
    <m/>
    <x v="1"/>
    <n v="6484530"/>
  </r>
  <r>
    <x v="1"/>
    <x v="16"/>
    <x v="16"/>
    <x v="4"/>
    <s v="Prestación de Servicios Públicos"/>
    <x v="4"/>
    <x v="475"/>
    <x v="110"/>
    <x v="587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26"/>
    <x v="588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61930"/>
    <n v="0"/>
    <n v="0"/>
    <n v="361930"/>
    <n v="484181"/>
    <m/>
    <x v="1"/>
    <n v="484181"/>
  </r>
  <r>
    <x v="1"/>
    <x v="16"/>
    <x v="16"/>
    <x v="4"/>
    <s v="Prestación de Servicios Públicos"/>
    <x v="4"/>
    <x v="475"/>
    <x v="26"/>
    <x v="588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8946263"/>
    <n v="0"/>
    <n v="-50642"/>
    <n v="8895621"/>
    <n v="8114035"/>
    <m/>
    <x v="1"/>
    <n v="8114035"/>
  </r>
  <r>
    <x v="1"/>
    <x v="16"/>
    <x v="16"/>
    <x v="4"/>
    <s v="Prestación de Servicios Públicos"/>
    <x v="4"/>
    <x v="475"/>
    <x v="27"/>
    <x v="589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485287"/>
    <n v="0"/>
    <n v="0"/>
    <n v="485287"/>
    <n v="676066"/>
    <m/>
    <x v="1"/>
    <n v="676066"/>
  </r>
  <r>
    <x v="1"/>
    <x v="16"/>
    <x v="16"/>
    <x v="4"/>
    <s v="Prestación de Servicios Públicos"/>
    <x v="4"/>
    <x v="475"/>
    <x v="27"/>
    <x v="589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1965183"/>
    <n v="0"/>
    <n v="-64672"/>
    <n v="11900511"/>
    <n v="11190807"/>
    <m/>
    <x v="1"/>
    <n v="11190807"/>
  </r>
  <r>
    <x v="1"/>
    <x v="16"/>
    <x v="16"/>
    <x v="4"/>
    <s v="Prestación de Servicios Públicos"/>
    <x v="4"/>
    <x v="475"/>
    <x v="28"/>
    <x v="590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12531"/>
    <n v="0"/>
    <n v="0"/>
    <n v="312531"/>
    <n v="437758"/>
    <m/>
    <x v="1"/>
    <n v="437758"/>
  </r>
  <r>
    <x v="1"/>
    <x v="16"/>
    <x v="16"/>
    <x v="4"/>
    <s v="Prestación de Servicios Públicos"/>
    <x v="4"/>
    <x v="475"/>
    <x v="28"/>
    <x v="590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7110677"/>
    <n v="0"/>
    <n v="-39116"/>
    <n v="7071561"/>
    <n v="6709532"/>
    <m/>
    <x v="1"/>
    <n v="6709532"/>
  </r>
  <r>
    <x v="1"/>
    <x v="16"/>
    <x v="16"/>
    <x v="4"/>
    <s v="Prestación de Servicios Públicos"/>
    <x v="4"/>
    <x v="475"/>
    <x v="29"/>
    <x v="591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485520"/>
    <n v="0"/>
    <n v="0"/>
    <n v="485520"/>
    <n v="700179"/>
    <m/>
    <x v="1"/>
    <n v="700179"/>
  </r>
  <r>
    <x v="1"/>
    <x v="16"/>
    <x v="16"/>
    <x v="4"/>
    <s v="Prestación de Servicios Públicos"/>
    <x v="4"/>
    <x v="475"/>
    <x v="29"/>
    <x v="591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0817869"/>
    <n v="0"/>
    <n v="-61613"/>
    <n v="10756256"/>
    <n v="10602432"/>
    <m/>
    <x v="1"/>
    <n v="10602432"/>
  </r>
  <r>
    <x v="1"/>
    <x v="16"/>
    <x v="16"/>
    <x v="4"/>
    <s v="Prestación de Servicios Públicos"/>
    <x v="4"/>
    <x v="475"/>
    <x v="29"/>
    <x v="591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11"/>
    <x v="592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81517"/>
    <n v="0"/>
    <n v="0"/>
    <n v="581517"/>
    <n v="864848"/>
    <m/>
    <x v="1"/>
    <n v="864848"/>
  </r>
  <r>
    <x v="1"/>
    <x v="16"/>
    <x v="16"/>
    <x v="4"/>
    <s v="Prestación de Servicios Públicos"/>
    <x v="4"/>
    <x v="475"/>
    <x v="111"/>
    <x v="592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2515360"/>
    <n v="0"/>
    <n v="-48729"/>
    <n v="12466631"/>
    <n v="12179208"/>
    <m/>
    <x v="1"/>
    <n v="12179208"/>
  </r>
  <r>
    <x v="1"/>
    <x v="16"/>
    <x v="16"/>
    <x v="4"/>
    <s v="Prestación de Servicios Públicos"/>
    <x v="4"/>
    <x v="475"/>
    <x v="111"/>
    <x v="592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21"/>
    <x v="593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66747"/>
    <n v="0"/>
    <n v="0"/>
    <n v="566747"/>
    <n v="837441"/>
    <m/>
    <x v="1"/>
    <n v="837441"/>
  </r>
  <r>
    <x v="1"/>
    <x v="16"/>
    <x v="16"/>
    <x v="4"/>
    <s v="Prestación de Servicios Públicos"/>
    <x v="4"/>
    <x v="475"/>
    <x v="121"/>
    <x v="593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0888946"/>
    <n v="0"/>
    <n v="-52865"/>
    <n v="10836081"/>
    <n v="10299402"/>
    <m/>
    <x v="1"/>
    <n v="10299402"/>
  </r>
  <r>
    <x v="1"/>
    <x v="16"/>
    <x v="16"/>
    <x v="4"/>
    <s v="Prestación de Servicios Públicos"/>
    <x v="4"/>
    <x v="475"/>
    <x v="121"/>
    <x v="593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22"/>
    <x v="594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692213"/>
    <n v="0"/>
    <n v="0"/>
    <n v="692213"/>
    <n v="969266"/>
    <m/>
    <x v="1"/>
    <n v="969266"/>
  </r>
  <r>
    <x v="1"/>
    <x v="16"/>
    <x v="16"/>
    <x v="4"/>
    <s v="Prestación de Servicios Públicos"/>
    <x v="4"/>
    <x v="475"/>
    <x v="122"/>
    <x v="594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4551986"/>
    <n v="0"/>
    <n v="-74359"/>
    <n v="14477627"/>
    <n v="13781389"/>
    <m/>
    <x v="1"/>
    <n v="13781389"/>
  </r>
  <r>
    <x v="1"/>
    <x v="16"/>
    <x v="16"/>
    <x v="4"/>
    <s v="Prestación de Servicios Públicos"/>
    <x v="4"/>
    <x v="475"/>
    <x v="122"/>
    <x v="594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13"/>
    <x v="595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1073022"/>
    <n v="0"/>
    <n v="0"/>
    <n v="1073022"/>
    <n v="1529326"/>
    <m/>
    <x v="1"/>
    <n v="1529326"/>
  </r>
  <r>
    <x v="1"/>
    <x v="16"/>
    <x v="16"/>
    <x v="4"/>
    <s v="Prestación de Servicios Públicos"/>
    <x v="4"/>
    <x v="475"/>
    <x v="113"/>
    <x v="595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9101610"/>
    <n v="0"/>
    <n v="-87098"/>
    <n v="19014512"/>
    <n v="18249485"/>
    <m/>
    <x v="1"/>
    <n v="18249485"/>
  </r>
  <r>
    <x v="1"/>
    <x v="16"/>
    <x v="16"/>
    <x v="4"/>
    <s v="Prestación de Servicios Públicos"/>
    <x v="4"/>
    <x v="475"/>
    <x v="113"/>
    <x v="595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12"/>
    <x v="596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86994"/>
    <n v="0"/>
    <n v="0"/>
    <n v="386994"/>
    <n v="518014"/>
    <m/>
    <x v="1"/>
    <n v="518014"/>
  </r>
  <r>
    <x v="1"/>
    <x v="16"/>
    <x v="16"/>
    <x v="4"/>
    <s v="Prestación de Servicios Públicos"/>
    <x v="4"/>
    <x v="475"/>
    <x v="112"/>
    <x v="596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9803054"/>
    <n v="0"/>
    <n v="-51808"/>
    <n v="9751246"/>
    <n v="8607832"/>
    <m/>
    <x v="1"/>
    <n v="8607832"/>
  </r>
  <r>
    <x v="1"/>
    <x v="16"/>
    <x v="16"/>
    <x v="4"/>
    <s v="Prestación de Servicios Públicos"/>
    <x v="4"/>
    <x v="475"/>
    <x v="112"/>
    <x v="596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23"/>
    <x v="597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484057"/>
    <n v="0"/>
    <n v="0"/>
    <n v="484057"/>
    <n v="659533"/>
    <m/>
    <x v="1"/>
    <n v="659533"/>
  </r>
  <r>
    <x v="1"/>
    <x v="16"/>
    <x v="16"/>
    <x v="4"/>
    <s v="Prestación de Servicios Públicos"/>
    <x v="4"/>
    <x v="475"/>
    <x v="123"/>
    <x v="597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9949260"/>
    <n v="0"/>
    <n v="-48327"/>
    <n v="9900933"/>
    <n v="8786941"/>
    <m/>
    <x v="1"/>
    <n v="8786941"/>
  </r>
  <r>
    <x v="1"/>
    <x v="16"/>
    <x v="16"/>
    <x v="4"/>
    <s v="Prestación de Servicios Públicos"/>
    <x v="4"/>
    <x v="475"/>
    <x v="123"/>
    <x v="597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16"/>
    <x v="598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407259"/>
    <n v="0"/>
    <n v="0"/>
    <n v="407259"/>
    <n v="574614"/>
    <m/>
    <x v="1"/>
    <n v="574614"/>
  </r>
  <r>
    <x v="1"/>
    <x v="16"/>
    <x v="16"/>
    <x v="4"/>
    <s v="Prestación de Servicios Públicos"/>
    <x v="4"/>
    <x v="475"/>
    <x v="116"/>
    <x v="598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7928828"/>
    <n v="0"/>
    <n v="-38049"/>
    <n v="7890779"/>
    <n v="7553132"/>
    <m/>
    <x v="1"/>
    <n v="7553132"/>
  </r>
  <r>
    <x v="1"/>
    <x v="16"/>
    <x v="16"/>
    <x v="4"/>
    <s v="Prestación de Servicios Públicos"/>
    <x v="4"/>
    <x v="475"/>
    <x v="116"/>
    <x v="598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14"/>
    <x v="599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21624"/>
    <n v="0"/>
    <n v="0"/>
    <n v="521624"/>
    <n v="746058"/>
    <m/>
    <x v="1"/>
    <n v="746058"/>
  </r>
  <r>
    <x v="1"/>
    <x v="16"/>
    <x v="16"/>
    <x v="4"/>
    <s v="Prestación de Servicios Públicos"/>
    <x v="4"/>
    <x v="475"/>
    <x v="114"/>
    <x v="599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2998785"/>
    <n v="0"/>
    <n v="-63598"/>
    <n v="12935187"/>
    <n v="11885781"/>
    <m/>
    <x v="1"/>
    <n v="11885781"/>
  </r>
  <r>
    <x v="1"/>
    <x v="16"/>
    <x v="16"/>
    <x v="4"/>
    <s v="Prestación de Servicios Públicos"/>
    <x v="4"/>
    <x v="475"/>
    <x v="114"/>
    <x v="599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17"/>
    <x v="600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426594"/>
    <n v="0"/>
    <n v="0"/>
    <n v="426594"/>
    <n v="602040"/>
    <m/>
    <x v="1"/>
    <n v="602040"/>
  </r>
  <r>
    <x v="1"/>
    <x v="16"/>
    <x v="16"/>
    <x v="4"/>
    <s v="Prestación de Servicios Públicos"/>
    <x v="4"/>
    <x v="475"/>
    <x v="117"/>
    <x v="600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9744863"/>
    <n v="0"/>
    <n v="-46204"/>
    <n v="9698659"/>
    <n v="9174568"/>
    <m/>
    <x v="1"/>
    <n v="9174568"/>
  </r>
  <r>
    <x v="1"/>
    <x v="16"/>
    <x v="16"/>
    <x v="4"/>
    <s v="Prestación de Servicios Públicos"/>
    <x v="4"/>
    <x v="475"/>
    <x v="117"/>
    <x v="600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24"/>
    <x v="601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674026"/>
    <n v="0"/>
    <n v="0"/>
    <n v="674026"/>
    <n v="947763"/>
    <m/>
    <x v="1"/>
    <n v="947763"/>
  </r>
  <r>
    <x v="1"/>
    <x v="16"/>
    <x v="16"/>
    <x v="4"/>
    <s v="Prestación de Servicios Públicos"/>
    <x v="4"/>
    <x v="475"/>
    <x v="124"/>
    <x v="601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1434937"/>
    <n v="0"/>
    <n v="-56528"/>
    <n v="11378409"/>
    <n v="10524644"/>
    <m/>
    <x v="1"/>
    <n v="10524644"/>
  </r>
  <r>
    <x v="1"/>
    <x v="16"/>
    <x v="16"/>
    <x v="4"/>
    <s v="Prestación de Servicios Públicos"/>
    <x v="4"/>
    <x v="475"/>
    <x v="124"/>
    <x v="601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25"/>
    <x v="602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66885"/>
    <n v="0"/>
    <n v="0"/>
    <n v="566885"/>
    <n v="800077"/>
    <m/>
    <x v="1"/>
    <n v="800077"/>
  </r>
  <r>
    <x v="1"/>
    <x v="16"/>
    <x v="16"/>
    <x v="4"/>
    <s v="Prestación de Servicios Públicos"/>
    <x v="4"/>
    <x v="475"/>
    <x v="125"/>
    <x v="602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0161943"/>
    <n v="0"/>
    <n v="-55180"/>
    <n v="10106763"/>
    <n v="9705596"/>
    <m/>
    <x v="1"/>
    <n v="9705596"/>
  </r>
  <r>
    <x v="1"/>
    <x v="16"/>
    <x v="16"/>
    <x v="4"/>
    <s v="Prestación de Servicios Públicos"/>
    <x v="4"/>
    <x v="475"/>
    <x v="125"/>
    <x v="602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26"/>
    <x v="603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42844"/>
    <n v="0"/>
    <n v="0"/>
    <n v="342844"/>
    <n v="479839"/>
    <m/>
    <x v="1"/>
    <n v="479839"/>
  </r>
  <r>
    <x v="1"/>
    <x v="16"/>
    <x v="16"/>
    <x v="4"/>
    <s v="Prestación de Servicios Públicos"/>
    <x v="4"/>
    <x v="475"/>
    <x v="126"/>
    <x v="603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7831439"/>
    <n v="0"/>
    <n v="-39116"/>
    <n v="7792323"/>
    <n v="7185242"/>
    <m/>
    <x v="1"/>
    <n v="7185242"/>
  </r>
  <r>
    <x v="1"/>
    <x v="16"/>
    <x v="16"/>
    <x v="4"/>
    <s v="Prestación de Servicios Públicos"/>
    <x v="4"/>
    <x v="475"/>
    <x v="126"/>
    <x v="603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27"/>
    <x v="604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94770"/>
    <n v="0"/>
    <n v="0"/>
    <n v="394770"/>
    <n v="637761"/>
    <m/>
    <x v="1"/>
    <n v="637761"/>
  </r>
  <r>
    <x v="1"/>
    <x v="16"/>
    <x v="16"/>
    <x v="4"/>
    <s v="Prestación de Servicios Públicos"/>
    <x v="4"/>
    <x v="475"/>
    <x v="127"/>
    <x v="604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8154709"/>
    <n v="0"/>
    <n v="-41875"/>
    <n v="8112834"/>
    <n v="8503887"/>
    <m/>
    <x v="1"/>
    <n v="8503887"/>
  </r>
  <r>
    <x v="1"/>
    <x v="16"/>
    <x v="16"/>
    <x v="4"/>
    <s v="Prestación de Servicios Públicos"/>
    <x v="4"/>
    <x v="475"/>
    <x v="127"/>
    <x v="604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28"/>
    <x v="605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68978"/>
    <n v="0"/>
    <n v="0"/>
    <n v="568978"/>
    <n v="801254"/>
    <m/>
    <x v="1"/>
    <n v="801254"/>
  </r>
  <r>
    <x v="1"/>
    <x v="16"/>
    <x v="16"/>
    <x v="4"/>
    <s v="Prestación de Servicios Públicos"/>
    <x v="4"/>
    <x v="475"/>
    <x v="128"/>
    <x v="605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2967029"/>
    <n v="0"/>
    <n v="-58552"/>
    <n v="12908477"/>
    <n v="12195100"/>
    <m/>
    <x v="1"/>
    <n v="12195100"/>
  </r>
  <r>
    <x v="1"/>
    <x v="16"/>
    <x v="16"/>
    <x v="4"/>
    <s v="Prestación de Servicios Públicos"/>
    <x v="4"/>
    <x v="475"/>
    <x v="128"/>
    <x v="605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29"/>
    <x v="606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24729"/>
    <n v="0"/>
    <n v="0"/>
    <n v="524729"/>
    <n v="738023"/>
    <m/>
    <x v="1"/>
    <n v="738023"/>
  </r>
  <r>
    <x v="1"/>
    <x v="16"/>
    <x v="16"/>
    <x v="4"/>
    <s v="Prestación de Servicios Públicos"/>
    <x v="4"/>
    <x v="475"/>
    <x v="129"/>
    <x v="606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1807552"/>
    <n v="0"/>
    <n v="-55488"/>
    <n v="11752064"/>
    <n v="10934898"/>
    <m/>
    <x v="1"/>
    <n v="10934898"/>
  </r>
  <r>
    <x v="1"/>
    <x v="16"/>
    <x v="16"/>
    <x v="4"/>
    <s v="Prestación de Servicios Públicos"/>
    <x v="4"/>
    <x v="475"/>
    <x v="129"/>
    <x v="606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30"/>
    <x v="607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76318"/>
    <n v="0"/>
    <n v="0"/>
    <n v="376318"/>
    <n v="507074"/>
    <m/>
    <x v="1"/>
    <n v="507074"/>
  </r>
  <r>
    <x v="1"/>
    <x v="16"/>
    <x v="16"/>
    <x v="4"/>
    <s v="Prestación de Servicios Públicos"/>
    <x v="4"/>
    <x v="475"/>
    <x v="130"/>
    <x v="607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9980880"/>
    <n v="0"/>
    <n v="-47270"/>
    <n v="9933610"/>
    <n v="8938118"/>
    <m/>
    <x v="1"/>
    <n v="8938118"/>
  </r>
  <r>
    <x v="1"/>
    <x v="16"/>
    <x v="16"/>
    <x v="4"/>
    <s v="Prestación de Servicios Públicos"/>
    <x v="4"/>
    <x v="475"/>
    <x v="130"/>
    <x v="607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31"/>
    <x v="608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746454"/>
    <n v="0"/>
    <n v="0"/>
    <n v="746454"/>
    <n v="1003505"/>
    <m/>
    <x v="1"/>
    <n v="1003505"/>
  </r>
  <r>
    <x v="1"/>
    <x v="16"/>
    <x v="16"/>
    <x v="4"/>
    <s v="Prestación de Servicios Públicos"/>
    <x v="4"/>
    <x v="475"/>
    <x v="131"/>
    <x v="608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6957931"/>
    <n v="0"/>
    <n v="-88427"/>
    <n v="16869504"/>
    <n v="15388306"/>
    <m/>
    <x v="1"/>
    <n v="15388306"/>
  </r>
  <r>
    <x v="1"/>
    <x v="16"/>
    <x v="16"/>
    <x v="4"/>
    <s v="Prestación de Servicios Públicos"/>
    <x v="4"/>
    <x v="475"/>
    <x v="132"/>
    <x v="609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84740"/>
    <n v="0"/>
    <n v="0"/>
    <n v="384740"/>
    <n v="541463"/>
    <m/>
    <x v="1"/>
    <n v="541463"/>
  </r>
  <r>
    <x v="1"/>
    <x v="16"/>
    <x v="16"/>
    <x v="4"/>
    <s v="Prestación de Servicios Públicos"/>
    <x v="4"/>
    <x v="475"/>
    <x v="132"/>
    <x v="609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8317374"/>
    <n v="0"/>
    <n v="-46213"/>
    <n v="8271161"/>
    <n v="7915128"/>
    <m/>
    <x v="1"/>
    <n v="7915128"/>
  </r>
  <r>
    <x v="1"/>
    <x v="16"/>
    <x v="16"/>
    <x v="4"/>
    <s v="Prestación de Servicios Públicos"/>
    <x v="4"/>
    <x v="475"/>
    <x v="133"/>
    <x v="610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1015490"/>
    <n v="0"/>
    <n v="0"/>
    <n v="1015490"/>
    <n v="1404640"/>
    <m/>
    <x v="1"/>
    <n v="1404640"/>
  </r>
  <r>
    <x v="1"/>
    <x v="16"/>
    <x v="16"/>
    <x v="4"/>
    <s v="Prestación de Servicios Públicos"/>
    <x v="4"/>
    <x v="475"/>
    <x v="133"/>
    <x v="610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0513200"/>
    <n v="0"/>
    <n v="-84267"/>
    <n v="20428933"/>
    <n v="18033446"/>
    <m/>
    <x v="1"/>
    <n v="18033446"/>
  </r>
  <r>
    <x v="1"/>
    <x v="16"/>
    <x v="16"/>
    <x v="4"/>
    <s v="Prestación de Servicios Públicos"/>
    <x v="4"/>
    <x v="475"/>
    <x v="133"/>
    <x v="610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29"/>
    <n v="0"/>
    <n v="0"/>
    <n v="64929"/>
    <m/>
    <m/>
    <x v="1"/>
    <n v="0"/>
  </r>
  <r>
    <x v="1"/>
    <x v="16"/>
    <x v="16"/>
    <x v="4"/>
    <s v="Prestación de Servicios Públicos"/>
    <x v="4"/>
    <x v="475"/>
    <x v="134"/>
    <x v="611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92549"/>
    <n v="0"/>
    <n v="0"/>
    <n v="392549"/>
    <n v="505886"/>
    <m/>
    <x v="1"/>
    <n v="505886"/>
  </r>
  <r>
    <x v="1"/>
    <x v="16"/>
    <x v="16"/>
    <x v="4"/>
    <s v="Prestación de Servicios Públicos"/>
    <x v="4"/>
    <x v="475"/>
    <x v="134"/>
    <x v="611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8802995"/>
    <n v="0"/>
    <n v="-50551"/>
    <n v="8752444"/>
    <n v="7496149"/>
    <m/>
    <x v="1"/>
    <n v="7496149"/>
  </r>
  <r>
    <x v="1"/>
    <x v="16"/>
    <x v="16"/>
    <x v="4"/>
    <s v="Prestación de Servicios Públicos"/>
    <x v="4"/>
    <x v="475"/>
    <x v="134"/>
    <x v="611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35"/>
    <x v="612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58292"/>
    <n v="0"/>
    <n v="0"/>
    <n v="358292"/>
    <n v="503208"/>
    <m/>
    <x v="1"/>
    <n v="503208"/>
  </r>
  <r>
    <x v="1"/>
    <x v="16"/>
    <x v="16"/>
    <x v="4"/>
    <s v="Prestación de Servicios Públicos"/>
    <x v="4"/>
    <x v="475"/>
    <x v="135"/>
    <x v="612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8014883"/>
    <n v="0"/>
    <n v="-42741"/>
    <n v="7972142"/>
    <n v="7249878"/>
    <m/>
    <x v="1"/>
    <n v="7249878"/>
  </r>
  <r>
    <x v="1"/>
    <x v="16"/>
    <x v="16"/>
    <x v="4"/>
    <s v="Prestación de Servicios Públicos"/>
    <x v="4"/>
    <x v="475"/>
    <x v="135"/>
    <x v="612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4"/>
    <x v="475"/>
    <x v="141"/>
    <x v="613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1824676"/>
    <n v="0"/>
    <n v="0"/>
    <n v="1824676"/>
    <n v="2561808"/>
    <m/>
    <x v="1"/>
    <n v="2561808"/>
  </r>
  <r>
    <x v="1"/>
    <x v="16"/>
    <x v="16"/>
    <x v="4"/>
    <s v="Prestación de Servicios Públicos"/>
    <x v="4"/>
    <x v="475"/>
    <x v="141"/>
    <x v="613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5792675"/>
    <n v="0"/>
    <n v="-117097"/>
    <n v="25675578"/>
    <n v="23962025"/>
    <m/>
    <x v="1"/>
    <n v="23962025"/>
  </r>
  <r>
    <x v="1"/>
    <x v="16"/>
    <x v="16"/>
    <x v="4"/>
    <s v="Prestación de Servicios Públicos"/>
    <x v="4"/>
    <x v="475"/>
    <x v="141"/>
    <x v="613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4930"/>
    <n v="0"/>
    <n v="0"/>
    <n v="64930"/>
    <m/>
    <m/>
    <x v="1"/>
    <n v="0"/>
  </r>
  <r>
    <x v="1"/>
    <x v="16"/>
    <x v="16"/>
    <x v="4"/>
    <s v="Prestación de Servicios Públicos"/>
    <x v="5"/>
    <x v="476"/>
    <x v="56"/>
    <x v="614"/>
    <n v="3"/>
    <s v="Desarrollo Económico"/>
    <n v="3"/>
    <s v="Temas Laborales"/>
    <n v="1"/>
    <x v="59"/>
    <x v="0"/>
    <x v="121"/>
    <n v="1"/>
    <s v="Gasto corriente"/>
    <x v="0"/>
    <x v="1"/>
    <x v="0"/>
    <x v="0"/>
    <x v="0"/>
    <x v="0"/>
    <x v="0"/>
    <m/>
    <x v="0"/>
    <x v="0"/>
    <m/>
    <n v="725967"/>
    <n v="0"/>
    <n v="0"/>
    <n v="725967"/>
    <n v="1077388"/>
    <m/>
    <x v="1"/>
    <n v="1077388"/>
  </r>
  <r>
    <x v="1"/>
    <x v="16"/>
    <x v="16"/>
    <x v="4"/>
    <s v="Prestación de Servicios Públicos"/>
    <x v="5"/>
    <x v="476"/>
    <x v="56"/>
    <x v="614"/>
    <n v="3"/>
    <s v="Desarrollo Económico"/>
    <n v="3"/>
    <s v="Temas Laborales"/>
    <n v="1"/>
    <x v="59"/>
    <x v="0"/>
    <x v="121"/>
    <n v="1"/>
    <s v="Gasto corriente"/>
    <x v="0"/>
    <x v="0"/>
    <x v="0"/>
    <x v="0"/>
    <x v="0"/>
    <x v="0"/>
    <x v="0"/>
    <m/>
    <x v="0"/>
    <x v="0"/>
    <m/>
    <n v="43238573"/>
    <n v="0"/>
    <n v="-52769"/>
    <n v="43185804"/>
    <n v="43617882"/>
    <m/>
    <x v="1"/>
    <n v="43617882"/>
  </r>
  <r>
    <x v="1"/>
    <x v="16"/>
    <x v="16"/>
    <x v="4"/>
    <s v="Prestación de Servicios Públicos"/>
    <x v="5"/>
    <x v="476"/>
    <x v="56"/>
    <x v="614"/>
    <n v="3"/>
    <s v="Desarrollo Económico"/>
    <n v="3"/>
    <s v="Temas Laborales"/>
    <n v="1"/>
    <x v="59"/>
    <x v="0"/>
    <x v="121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4"/>
    <s v="Prestación de Servicios Públicos"/>
    <x v="5"/>
    <x v="476"/>
    <x v="73"/>
    <x v="615"/>
    <n v="3"/>
    <s v="Desarrollo Económico"/>
    <n v="3"/>
    <s v="Temas Laborales"/>
    <n v="1"/>
    <x v="59"/>
    <x v="0"/>
    <x v="121"/>
    <n v="1"/>
    <s v="Gasto corriente"/>
    <x v="0"/>
    <x v="1"/>
    <x v="0"/>
    <x v="0"/>
    <x v="0"/>
    <x v="0"/>
    <x v="0"/>
    <m/>
    <x v="0"/>
    <x v="0"/>
    <m/>
    <n v="260289"/>
    <n v="0"/>
    <n v="0"/>
    <n v="260289"/>
    <n v="331002"/>
    <m/>
    <x v="1"/>
    <n v="331002"/>
  </r>
  <r>
    <x v="1"/>
    <x v="16"/>
    <x v="16"/>
    <x v="4"/>
    <s v="Prestación de Servicios Públicos"/>
    <x v="5"/>
    <x v="476"/>
    <x v="73"/>
    <x v="615"/>
    <n v="3"/>
    <s v="Desarrollo Económico"/>
    <n v="3"/>
    <s v="Temas Laborales"/>
    <n v="1"/>
    <x v="59"/>
    <x v="0"/>
    <x v="121"/>
    <n v="1"/>
    <s v="Gasto corriente"/>
    <x v="0"/>
    <x v="0"/>
    <x v="0"/>
    <x v="0"/>
    <x v="0"/>
    <x v="0"/>
    <x v="0"/>
    <m/>
    <x v="0"/>
    <x v="0"/>
    <m/>
    <n v="12575336"/>
    <n v="0"/>
    <n v="-35661"/>
    <n v="12539675"/>
    <n v="11888180"/>
    <m/>
    <x v="1"/>
    <n v="11888180"/>
  </r>
  <r>
    <x v="1"/>
    <x v="16"/>
    <x v="16"/>
    <x v="4"/>
    <s v="Prestación de Servicios Públicos"/>
    <x v="5"/>
    <x v="476"/>
    <x v="73"/>
    <x v="615"/>
    <n v="3"/>
    <s v="Desarrollo Económico"/>
    <n v="3"/>
    <s v="Temas Laborales"/>
    <n v="1"/>
    <x v="59"/>
    <x v="0"/>
    <x v="121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4"/>
    <s v="Prestación de Servicios Públicos"/>
    <x v="6"/>
    <x v="477"/>
    <x v="39"/>
    <x v="616"/>
    <n v="3"/>
    <s v="Desarrollo Económico"/>
    <n v="3"/>
    <s v="Temas Laborales"/>
    <n v="3"/>
    <x v="14"/>
    <x v="16"/>
    <x v="122"/>
    <n v="1"/>
    <s v="Gasto corriente"/>
    <x v="0"/>
    <x v="1"/>
    <x v="0"/>
    <x v="0"/>
    <x v="0"/>
    <x v="1"/>
    <x v="0"/>
    <m/>
    <x v="0"/>
    <x v="0"/>
    <m/>
    <n v="415969"/>
    <n v="0"/>
    <n v="0"/>
    <n v="415969"/>
    <n v="507900"/>
    <m/>
    <x v="1"/>
    <n v="507900"/>
  </r>
  <r>
    <x v="1"/>
    <x v="16"/>
    <x v="16"/>
    <x v="4"/>
    <s v="Prestación de Servicios Públicos"/>
    <x v="6"/>
    <x v="477"/>
    <x v="39"/>
    <x v="616"/>
    <n v="3"/>
    <s v="Desarrollo Económico"/>
    <n v="3"/>
    <s v="Temas Laborales"/>
    <n v="3"/>
    <x v="14"/>
    <x v="16"/>
    <x v="122"/>
    <n v="1"/>
    <s v="Gasto corriente"/>
    <x v="0"/>
    <x v="0"/>
    <x v="0"/>
    <x v="0"/>
    <x v="0"/>
    <x v="1"/>
    <x v="1"/>
    <m/>
    <x v="0"/>
    <x v="0"/>
    <m/>
    <n v="18610479"/>
    <n v="0"/>
    <n v="0"/>
    <n v="18610479"/>
    <n v="19750685"/>
    <m/>
    <x v="1"/>
    <n v="19750685"/>
  </r>
  <r>
    <x v="1"/>
    <x v="16"/>
    <x v="16"/>
    <x v="4"/>
    <s v="Prestación de Servicios Públicos"/>
    <x v="6"/>
    <x v="477"/>
    <x v="39"/>
    <x v="616"/>
    <n v="3"/>
    <s v="Desarrollo Económico"/>
    <n v="3"/>
    <s v="Temas Laborales"/>
    <n v="3"/>
    <x v="14"/>
    <x v="16"/>
    <x v="122"/>
    <n v="1"/>
    <s v="Gasto corriente"/>
    <x v="0"/>
    <x v="0"/>
    <x v="0"/>
    <x v="0"/>
    <x v="0"/>
    <x v="1"/>
    <x v="0"/>
    <m/>
    <x v="0"/>
    <x v="0"/>
    <m/>
    <n v="9254716"/>
    <n v="0"/>
    <n v="-68093"/>
    <n v="9186623"/>
    <n v="8420161"/>
    <m/>
    <x v="1"/>
    <n v="8420161"/>
  </r>
  <r>
    <x v="1"/>
    <x v="16"/>
    <x v="16"/>
    <x v="4"/>
    <s v="Prestación de Servicios Públicos"/>
    <x v="6"/>
    <x v="477"/>
    <x v="39"/>
    <x v="616"/>
    <n v="3"/>
    <s v="Desarrollo Económico"/>
    <n v="3"/>
    <s v="Temas Laborales"/>
    <n v="3"/>
    <x v="14"/>
    <x v="16"/>
    <x v="122"/>
    <n v="2"/>
    <s v="Gasto de capital"/>
    <x v="0"/>
    <x v="0"/>
    <x v="0"/>
    <x v="0"/>
    <x v="0"/>
    <x v="1"/>
    <x v="1"/>
    <m/>
    <x v="0"/>
    <x v="0"/>
    <m/>
    <n v="2180"/>
    <n v="0"/>
    <n v="0"/>
    <n v="2180"/>
    <m/>
    <m/>
    <x v="1"/>
    <n v="0"/>
  </r>
  <r>
    <x v="1"/>
    <x v="16"/>
    <x v="16"/>
    <x v="4"/>
    <s v="Prestación de Servicios Públicos"/>
    <x v="7"/>
    <x v="478"/>
    <x v="51"/>
    <x v="617"/>
    <n v="3"/>
    <s v="Desarrollo Económico"/>
    <n v="3"/>
    <s v="Temas Laborales"/>
    <n v="3"/>
    <x v="14"/>
    <x v="11"/>
    <x v="123"/>
    <n v="1"/>
    <s v="Gasto corriente"/>
    <x v="0"/>
    <x v="1"/>
    <x v="0"/>
    <x v="0"/>
    <x v="0"/>
    <x v="0"/>
    <x v="0"/>
    <m/>
    <x v="0"/>
    <x v="0"/>
    <m/>
    <n v="915065"/>
    <n v="0"/>
    <n v="0"/>
    <n v="915065"/>
    <n v="1302037"/>
    <m/>
    <x v="1"/>
    <n v="1302037"/>
  </r>
  <r>
    <x v="1"/>
    <x v="16"/>
    <x v="16"/>
    <x v="4"/>
    <s v="Prestación de Servicios Públicos"/>
    <x v="7"/>
    <x v="478"/>
    <x v="51"/>
    <x v="617"/>
    <n v="3"/>
    <s v="Desarrollo Económico"/>
    <n v="3"/>
    <s v="Temas Laborales"/>
    <n v="3"/>
    <x v="14"/>
    <x v="11"/>
    <x v="123"/>
    <n v="1"/>
    <s v="Gasto corriente"/>
    <x v="0"/>
    <x v="0"/>
    <x v="0"/>
    <x v="0"/>
    <x v="0"/>
    <x v="0"/>
    <x v="0"/>
    <m/>
    <x v="0"/>
    <x v="0"/>
    <m/>
    <n v="20679711"/>
    <n v="0"/>
    <n v="-79555"/>
    <n v="20600156"/>
    <n v="20163148"/>
    <m/>
    <x v="1"/>
    <n v="20163148"/>
  </r>
  <r>
    <x v="1"/>
    <x v="16"/>
    <x v="16"/>
    <x v="4"/>
    <s v="Prestación de Servicios Públicos"/>
    <x v="7"/>
    <x v="478"/>
    <x v="51"/>
    <x v="617"/>
    <n v="3"/>
    <s v="Desarrollo Económico"/>
    <n v="3"/>
    <s v="Temas Laborales"/>
    <n v="3"/>
    <x v="14"/>
    <x v="11"/>
    <x v="123"/>
    <n v="2"/>
    <s v="Gasto de capital"/>
    <x v="0"/>
    <x v="0"/>
    <x v="0"/>
    <x v="0"/>
    <x v="0"/>
    <x v="0"/>
    <x v="0"/>
    <m/>
    <x v="0"/>
    <x v="0"/>
    <m/>
    <n v="2180"/>
    <n v="0"/>
    <n v="0"/>
    <n v="2180"/>
    <n v="13440"/>
    <m/>
    <x v="1"/>
    <n v="13440"/>
  </r>
  <r>
    <x v="1"/>
    <x v="16"/>
    <x v="16"/>
    <x v="4"/>
    <s v="Prestación de Servicios Públicos"/>
    <x v="8"/>
    <x v="479"/>
    <x v="31"/>
    <x v="618"/>
    <n v="3"/>
    <s v="Desarrollo Económico"/>
    <n v="3"/>
    <s v="Temas Laborales"/>
    <n v="3"/>
    <x v="14"/>
    <x v="15"/>
    <x v="124"/>
    <n v="1"/>
    <s v="Gasto corriente"/>
    <x v="0"/>
    <x v="1"/>
    <x v="0"/>
    <x v="0"/>
    <x v="0"/>
    <x v="0"/>
    <x v="0"/>
    <m/>
    <x v="0"/>
    <x v="0"/>
    <m/>
    <m/>
    <m/>
    <m/>
    <m/>
    <n v="174776"/>
    <m/>
    <x v="1"/>
    <n v="174776"/>
  </r>
  <r>
    <x v="1"/>
    <x v="16"/>
    <x v="16"/>
    <x v="4"/>
    <s v="Prestación de Servicios Públicos"/>
    <x v="8"/>
    <x v="479"/>
    <x v="31"/>
    <x v="618"/>
    <n v="3"/>
    <s v="Desarrollo Económico"/>
    <n v="3"/>
    <s v="Temas Laborales"/>
    <n v="3"/>
    <x v="14"/>
    <x v="15"/>
    <x v="124"/>
    <n v="1"/>
    <s v="Gasto corriente"/>
    <x v="0"/>
    <x v="0"/>
    <x v="0"/>
    <x v="0"/>
    <x v="0"/>
    <x v="0"/>
    <x v="0"/>
    <m/>
    <x v="0"/>
    <x v="0"/>
    <m/>
    <n v="15933386"/>
    <n v="0"/>
    <n v="0"/>
    <n v="15933386"/>
    <n v="15209269"/>
    <m/>
    <x v="1"/>
    <n v="15209269"/>
  </r>
  <r>
    <x v="1"/>
    <x v="16"/>
    <x v="16"/>
    <x v="4"/>
    <s v="Prestación de Servicios Públicos"/>
    <x v="8"/>
    <x v="479"/>
    <x v="31"/>
    <x v="618"/>
    <n v="3"/>
    <s v="Desarrollo Económico"/>
    <n v="3"/>
    <s v="Temas Laborales"/>
    <n v="3"/>
    <x v="14"/>
    <x v="15"/>
    <x v="124"/>
    <n v="2"/>
    <s v="Gasto de capital"/>
    <x v="0"/>
    <x v="0"/>
    <x v="0"/>
    <x v="0"/>
    <x v="0"/>
    <x v="0"/>
    <x v="0"/>
    <m/>
    <x v="0"/>
    <x v="0"/>
    <m/>
    <n v="250600"/>
    <n v="0"/>
    <n v="0"/>
    <n v="250600"/>
    <n v="150000"/>
    <m/>
    <x v="1"/>
    <n v="150000"/>
  </r>
  <r>
    <x v="1"/>
    <x v="16"/>
    <x v="16"/>
    <x v="4"/>
    <s v="Prestación de Servicios Públicos"/>
    <x v="9"/>
    <x v="480"/>
    <x v="52"/>
    <x v="619"/>
    <n v="3"/>
    <s v="Desarrollo Económico"/>
    <n v="3"/>
    <s v="Temas Laborales"/>
    <n v="3"/>
    <x v="14"/>
    <x v="9"/>
    <x v="125"/>
    <n v="1"/>
    <s v="Gasto corriente"/>
    <x v="0"/>
    <x v="1"/>
    <x v="0"/>
    <x v="0"/>
    <x v="0"/>
    <x v="0"/>
    <x v="0"/>
    <m/>
    <x v="0"/>
    <x v="0"/>
    <m/>
    <n v="720395"/>
    <n v="0"/>
    <n v="0"/>
    <n v="720395"/>
    <n v="1073462"/>
    <m/>
    <x v="1"/>
    <n v="1073462"/>
  </r>
  <r>
    <x v="1"/>
    <x v="16"/>
    <x v="16"/>
    <x v="4"/>
    <s v="Prestación de Servicios Públicos"/>
    <x v="9"/>
    <x v="480"/>
    <x v="52"/>
    <x v="619"/>
    <n v="3"/>
    <s v="Desarrollo Económico"/>
    <n v="3"/>
    <s v="Temas Laborales"/>
    <n v="3"/>
    <x v="14"/>
    <x v="9"/>
    <x v="125"/>
    <n v="1"/>
    <s v="Gasto corriente"/>
    <x v="0"/>
    <x v="0"/>
    <x v="0"/>
    <x v="0"/>
    <x v="0"/>
    <x v="0"/>
    <x v="0"/>
    <m/>
    <x v="0"/>
    <x v="0"/>
    <m/>
    <n v="21338938"/>
    <n v="0"/>
    <n v="-145711"/>
    <n v="21193227"/>
    <n v="21654328"/>
    <m/>
    <x v="1"/>
    <n v="21654328"/>
  </r>
  <r>
    <x v="1"/>
    <x v="16"/>
    <x v="16"/>
    <x v="4"/>
    <s v="Prestación de Servicios Públicos"/>
    <x v="9"/>
    <x v="480"/>
    <x v="52"/>
    <x v="619"/>
    <n v="3"/>
    <s v="Desarrollo Económico"/>
    <n v="3"/>
    <s v="Temas Laborales"/>
    <n v="3"/>
    <x v="14"/>
    <x v="9"/>
    <x v="125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4"/>
    <s v="Prestación de Servicios Públicos"/>
    <x v="11"/>
    <x v="481"/>
    <x v="53"/>
    <x v="620"/>
    <n v="3"/>
    <s v="Desarrollo Económico"/>
    <n v="3"/>
    <s v="Temas Laborales"/>
    <n v="2"/>
    <x v="60"/>
    <x v="7"/>
    <x v="126"/>
    <n v="1"/>
    <s v="Gasto corriente"/>
    <x v="0"/>
    <x v="1"/>
    <x v="0"/>
    <x v="0"/>
    <x v="0"/>
    <x v="0"/>
    <x v="0"/>
    <m/>
    <x v="0"/>
    <x v="0"/>
    <m/>
    <n v="1462660"/>
    <n v="0"/>
    <n v="0"/>
    <n v="1462660"/>
    <n v="2186446"/>
    <m/>
    <x v="1"/>
    <n v="2186446"/>
  </r>
  <r>
    <x v="1"/>
    <x v="16"/>
    <x v="16"/>
    <x v="4"/>
    <s v="Prestación de Servicios Públicos"/>
    <x v="11"/>
    <x v="481"/>
    <x v="53"/>
    <x v="620"/>
    <n v="3"/>
    <s v="Desarrollo Económico"/>
    <n v="3"/>
    <s v="Temas Laborales"/>
    <n v="2"/>
    <x v="60"/>
    <x v="7"/>
    <x v="126"/>
    <n v="1"/>
    <s v="Gasto corriente"/>
    <x v="0"/>
    <x v="0"/>
    <x v="0"/>
    <x v="0"/>
    <x v="0"/>
    <x v="0"/>
    <x v="0"/>
    <m/>
    <x v="0"/>
    <x v="0"/>
    <m/>
    <n v="94767774"/>
    <n v="0"/>
    <n v="-85208"/>
    <n v="94682566"/>
    <n v="115686826"/>
    <m/>
    <x v="1"/>
    <n v="115686826"/>
  </r>
  <r>
    <x v="1"/>
    <x v="16"/>
    <x v="16"/>
    <x v="4"/>
    <s v="Prestación de Servicios Públicos"/>
    <x v="11"/>
    <x v="481"/>
    <x v="53"/>
    <x v="620"/>
    <n v="3"/>
    <s v="Desarrollo Económico"/>
    <n v="3"/>
    <s v="Temas Laborales"/>
    <n v="2"/>
    <x v="60"/>
    <x v="7"/>
    <x v="126"/>
    <n v="2"/>
    <s v="Gasto de capital"/>
    <x v="0"/>
    <x v="0"/>
    <x v="0"/>
    <x v="0"/>
    <x v="0"/>
    <x v="0"/>
    <x v="0"/>
    <m/>
    <x v="0"/>
    <x v="0"/>
    <m/>
    <n v="8720"/>
    <n v="0"/>
    <n v="0"/>
    <n v="8720"/>
    <n v="7693970"/>
    <m/>
    <x v="1"/>
    <n v="7693970"/>
  </r>
  <r>
    <x v="1"/>
    <x v="16"/>
    <x v="16"/>
    <x v="4"/>
    <s v="Prestación de Servicios Públicos"/>
    <x v="12"/>
    <x v="482"/>
    <x v="5"/>
    <x v="621"/>
    <n v="3"/>
    <s v="Desarrollo Económico"/>
    <n v="3"/>
    <s v="Temas Laborales"/>
    <n v="3"/>
    <x v="14"/>
    <x v="15"/>
    <x v="124"/>
    <n v="1"/>
    <s v="Gasto corriente"/>
    <x v="0"/>
    <x v="1"/>
    <x v="0"/>
    <x v="0"/>
    <x v="0"/>
    <x v="0"/>
    <x v="0"/>
    <m/>
    <x v="0"/>
    <x v="0"/>
    <m/>
    <n v="734557"/>
    <n v="0"/>
    <n v="0"/>
    <n v="734557"/>
    <n v="1118480"/>
    <m/>
    <x v="1"/>
    <n v="1118480"/>
  </r>
  <r>
    <x v="1"/>
    <x v="16"/>
    <x v="16"/>
    <x v="4"/>
    <s v="Prestación de Servicios Públicos"/>
    <x v="12"/>
    <x v="482"/>
    <x v="5"/>
    <x v="621"/>
    <n v="3"/>
    <s v="Desarrollo Económico"/>
    <n v="3"/>
    <s v="Temas Laborales"/>
    <n v="3"/>
    <x v="14"/>
    <x v="15"/>
    <x v="124"/>
    <n v="1"/>
    <s v="Gasto corriente"/>
    <x v="0"/>
    <x v="0"/>
    <x v="0"/>
    <x v="0"/>
    <x v="0"/>
    <x v="0"/>
    <x v="0"/>
    <m/>
    <x v="0"/>
    <x v="0"/>
    <m/>
    <n v="14755296"/>
    <n v="0"/>
    <n v="-55662"/>
    <n v="14699634"/>
    <n v="16119003"/>
    <m/>
    <x v="1"/>
    <n v="16119003"/>
  </r>
  <r>
    <x v="1"/>
    <x v="16"/>
    <x v="16"/>
    <x v="4"/>
    <s v="Prestación de Servicios Públicos"/>
    <x v="12"/>
    <x v="482"/>
    <x v="5"/>
    <x v="621"/>
    <n v="3"/>
    <s v="Desarrollo Económico"/>
    <n v="3"/>
    <s v="Temas Laborales"/>
    <n v="3"/>
    <x v="14"/>
    <x v="15"/>
    <x v="124"/>
    <n v="2"/>
    <s v="Gasto de capital"/>
    <x v="0"/>
    <x v="0"/>
    <x v="0"/>
    <x v="0"/>
    <x v="0"/>
    <x v="0"/>
    <x v="0"/>
    <m/>
    <x v="0"/>
    <x v="0"/>
    <m/>
    <n v="6540"/>
    <n v="0"/>
    <n v="0"/>
    <n v="6540"/>
    <n v="2582750"/>
    <m/>
    <x v="1"/>
    <n v="2582750"/>
  </r>
  <r>
    <x v="1"/>
    <x v="16"/>
    <x v="16"/>
    <x v="2"/>
    <s v="Apoyo al proceso presupuestario y para mejorar la eficiencia institucional"/>
    <x v="2"/>
    <x v="34"/>
    <x v="58"/>
    <x v="39"/>
    <n v="3"/>
    <s v="Desarrollo Económico"/>
    <n v="3"/>
    <s v="Temas Laborales"/>
    <n v="3"/>
    <x v="14"/>
    <x v="3"/>
    <x v="12"/>
    <n v="1"/>
    <s v="Gasto corriente"/>
    <x v="0"/>
    <x v="1"/>
    <x v="0"/>
    <x v="0"/>
    <x v="0"/>
    <x v="0"/>
    <x v="0"/>
    <m/>
    <x v="0"/>
    <x v="0"/>
    <m/>
    <n v="669977"/>
    <n v="0"/>
    <n v="0"/>
    <n v="669977"/>
    <n v="1056736"/>
    <m/>
    <x v="1"/>
    <n v="1056736"/>
  </r>
  <r>
    <x v="1"/>
    <x v="16"/>
    <x v="16"/>
    <x v="2"/>
    <s v="Apoyo al proceso presupuestario y para mejorar la eficiencia institucional"/>
    <x v="2"/>
    <x v="34"/>
    <x v="58"/>
    <x v="39"/>
    <n v="3"/>
    <s v="Desarrollo Económico"/>
    <n v="3"/>
    <s v="Temas Laborales"/>
    <n v="3"/>
    <x v="14"/>
    <x v="3"/>
    <x v="12"/>
    <n v="1"/>
    <s v="Gasto corriente"/>
    <x v="0"/>
    <x v="0"/>
    <x v="0"/>
    <x v="0"/>
    <x v="0"/>
    <x v="0"/>
    <x v="0"/>
    <m/>
    <x v="0"/>
    <x v="0"/>
    <m/>
    <n v="57661169"/>
    <n v="0"/>
    <n v="-2726206"/>
    <n v="54934963"/>
    <n v="30543663"/>
    <m/>
    <x v="1"/>
    <n v="30543663"/>
  </r>
  <r>
    <x v="1"/>
    <x v="16"/>
    <x v="16"/>
    <x v="2"/>
    <s v="Apoyo al proceso presupuestario y para mejorar la eficiencia institucional"/>
    <x v="2"/>
    <x v="34"/>
    <x v="58"/>
    <x v="39"/>
    <n v="3"/>
    <s v="Desarrollo Económico"/>
    <n v="3"/>
    <s v="Temas Laborales"/>
    <n v="3"/>
    <x v="14"/>
    <x v="3"/>
    <x v="12"/>
    <n v="2"/>
    <s v="Gasto de capital"/>
    <x v="0"/>
    <x v="0"/>
    <x v="0"/>
    <x v="0"/>
    <x v="0"/>
    <x v="0"/>
    <x v="0"/>
    <m/>
    <x v="0"/>
    <x v="0"/>
    <m/>
    <n v="4360"/>
    <n v="0"/>
    <n v="0"/>
    <n v="4360"/>
    <m/>
    <m/>
    <x v="1"/>
    <n v="0"/>
  </r>
  <r>
    <x v="1"/>
    <x v="16"/>
    <x v="16"/>
    <x v="2"/>
    <s v="Apoyo al proceso presupuestario y para mejorar la eficiencia institucional"/>
    <x v="2"/>
    <x v="34"/>
    <x v="59"/>
    <x v="69"/>
    <n v="3"/>
    <s v="Desarrollo Económico"/>
    <n v="3"/>
    <s v="Temas Laborales"/>
    <n v="3"/>
    <x v="14"/>
    <x v="3"/>
    <x v="12"/>
    <n v="1"/>
    <s v="Gasto corriente"/>
    <x v="0"/>
    <x v="1"/>
    <x v="0"/>
    <x v="0"/>
    <x v="0"/>
    <x v="0"/>
    <x v="0"/>
    <m/>
    <x v="0"/>
    <x v="0"/>
    <m/>
    <n v="4344187"/>
    <n v="0"/>
    <n v="0"/>
    <n v="4344187"/>
    <n v="7388076"/>
    <m/>
    <x v="1"/>
    <n v="7388076"/>
  </r>
  <r>
    <x v="1"/>
    <x v="16"/>
    <x v="16"/>
    <x v="2"/>
    <s v="Apoyo al proceso presupuestario y para mejorar la eficiencia institucional"/>
    <x v="2"/>
    <x v="34"/>
    <x v="59"/>
    <x v="69"/>
    <n v="3"/>
    <s v="Desarrollo Económico"/>
    <n v="3"/>
    <s v="Temas Laborales"/>
    <n v="3"/>
    <x v="14"/>
    <x v="3"/>
    <x v="12"/>
    <n v="1"/>
    <s v="Gasto corriente"/>
    <x v="0"/>
    <x v="0"/>
    <x v="0"/>
    <x v="0"/>
    <x v="0"/>
    <x v="0"/>
    <x v="0"/>
    <m/>
    <x v="0"/>
    <x v="0"/>
    <m/>
    <n v="76685392"/>
    <n v="0"/>
    <n v="-283590"/>
    <n v="76401802"/>
    <n v="115148093"/>
    <m/>
    <x v="1"/>
    <n v="115148093"/>
  </r>
  <r>
    <x v="1"/>
    <x v="16"/>
    <x v="16"/>
    <x v="2"/>
    <s v="Apoyo al proceso presupuestario y para mejorar la eficiencia institucional"/>
    <x v="2"/>
    <x v="34"/>
    <x v="59"/>
    <x v="69"/>
    <n v="3"/>
    <s v="Desarrollo Económico"/>
    <n v="3"/>
    <s v="Temas Laborales"/>
    <n v="3"/>
    <x v="14"/>
    <x v="3"/>
    <x v="12"/>
    <n v="2"/>
    <s v="Gasto de capital"/>
    <x v="0"/>
    <x v="0"/>
    <x v="0"/>
    <x v="0"/>
    <x v="0"/>
    <x v="0"/>
    <x v="0"/>
    <m/>
    <x v="0"/>
    <x v="0"/>
    <m/>
    <n v="2008720"/>
    <n v="0"/>
    <n v="0"/>
    <n v="2008720"/>
    <m/>
    <m/>
    <x v="1"/>
    <n v="0"/>
  </r>
  <r>
    <x v="1"/>
    <x v="16"/>
    <x v="16"/>
    <x v="2"/>
    <s v="Apoyo al proceso presupuestario y para mejorar la eficiencia institucional"/>
    <x v="2"/>
    <x v="34"/>
    <x v="85"/>
    <x v="70"/>
    <n v="3"/>
    <s v="Desarrollo Económico"/>
    <n v="3"/>
    <s v="Temas Laborales"/>
    <n v="3"/>
    <x v="14"/>
    <x v="3"/>
    <x v="12"/>
    <n v="1"/>
    <s v="Gasto corriente"/>
    <x v="0"/>
    <x v="1"/>
    <x v="0"/>
    <x v="0"/>
    <x v="0"/>
    <x v="0"/>
    <x v="0"/>
    <m/>
    <x v="0"/>
    <x v="0"/>
    <m/>
    <n v="1060036"/>
    <n v="0"/>
    <n v="0"/>
    <n v="1060036"/>
    <n v="1568038"/>
    <m/>
    <x v="1"/>
    <n v="1568038"/>
  </r>
  <r>
    <x v="1"/>
    <x v="16"/>
    <x v="16"/>
    <x v="2"/>
    <s v="Apoyo al proceso presupuestario y para mejorar la eficiencia institucional"/>
    <x v="2"/>
    <x v="34"/>
    <x v="85"/>
    <x v="70"/>
    <n v="3"/>
    <s v="Desarrollo Económico"/>
    <n v="3"/>
    <s v="Temas Laborales"/>
    <n v="3"/>
    <x v="14"/>
    <x v="3"/>
    <x v="12"/>
    <n v="1"/>
    <s v="Gasto corriente"/>
    <x v="0"/>
    <x v="0"/>
    <x v="0"/>
    <x v="0"/>
    <x v="0"/>
    <x v="0"/>
    <x v="0"/>
    <m/>
    <x v="0"/>
    <x v="0"/>
    <m/>
    <n v="29266444"/>
    <n v="0"/>
    <n v="-114515"/>
    <n v="29151929"/>
    <n v="31516681"/>
    <m/>
    <x v="1"/>
    <n v="31516681"/>
  </r>
  <r>
    <x v="1"/>
    <x v="16"/>
    <x v="16"/>
    <x v="2"/>
    <s v="Apoyo al proceso presupuestario y para mejorar la eficiencia institucional"/>
    <x v="2"/>
    <x v="34"/>
    <x v="85"/>
    <x v="70"/>
    <n v="3"/>
    <s v="Desarrollo Económico"/>
    <n v="3"/>
    <s v="Temas Laborales"/>
    <n v="3"/>
    <x v="14"/>
    <x v="3"/>
    <x v="12"/>
    <n v="2"/>
    <s v="Gasto de capital"/>
    <x v="0"/>
    <x v="0"/>
    <x v="0"/>
    <x v="0"/>
    <x v="0"/>
    <x v="0"/>
    <x v="0"/>
    <m/>
    <x v="0"/>
    <x v="0"/>
    <m/>
    <n v="8720"/>
    <n v="0"/>
    <n v="0"/>
    <n v="8720"/>
    <m/>
    <m/>
    <x v="1"/>
    <n v="0"/>
  </r>
  <r>
    <x v="1"/>
    <x v="16"/>
    <x v="16"/>
    <x v="2"/>
    <s v="Apoyo al proceso presupuestario y para mejorar la eficiencia institucional"/>
    <x v="2"/>
    <x v="34"/>
    <x v="81"/>
    <x v="71"/>
    <n v="3"/>
    <s v="Desarrollo Económico"/>
    <n v="3"/>
    <s v="Temas Laborales"/>
    <n v="3"/>
    <x v="14"/>
    <x v="3"/>
    <x v="12"/>
    <n v="1"/>
    <s v="Gasto corriente"/>
    <x v="0"/>
    <x v="1"/>
    <x v="0"/>
    <x v="0"/>
    <x v="0"/>
    <x v="0"/>
    <x v="0"/>
    <m/>
    <x v="0"/>
    <x v="0"/>
    <m/>
    <n v="3243760"/>
    <n v="0"/>
    <n v="0"/>
    <n v="3243760"/>
    <n v="4547350"/>
    <m/>
    <x v="1"/>
    <n v="4547350"/>
  </r>
  <r>
    <x v="1"/>
    <x v="16"/>
    <x v="16"/>
    <x v="2"/>
    <s v="Apoyo al proceso presupuestario y para mejorar la eficiencia institucional"/>
    <x v="2"/>
    <x v="34"/>
    <x v="81"/>
    <x v="71"/>
    <n v="3"/>
    <s v="Desarrollo Económico"/>
    <n v="3"/>
    <s v="Temas Laborales"/>
    <n v="3"/>
    <x v="14"/>
    <x v="3"/>
    <x v="12"/>
    <n v="1"/>
    <s v="Gasto corriente"/>
    <x v="0"/>
    <x v="0"/>
    <x v="0"/>
    <x v="0"/>
    <x v="0"/>
    <x v="0"/>
    <x v="0"/>
    <m/>
    <x v="0"/>
    <x v="0"/>
    <m/>
    <n v="58311887"/>
    <n v="0"/>
    <n v="-128937"/>
    <n v="58182950"/>
    <n v="59594500"/>
    <m/>
    <x v="1"/>
    <n v="59594500"/>
  </r>
  <r>
    <x v="1"/>
    <x v="16"/>
    <x v="16"/>
    <x v="2"/>
    <s v="Apoyo al proceso presupuestario y para mejorar la eficiencia institucional"/>
    <x v="2"/>
    <x v="34"/>
    <x v="81"/>
    <x v="71"/>
    <n v="3"/>
    <s v="Desarrollo Económico"/>
    <n v="3"/>
    <s v="Temas Laborales"/>
    <n v="3"/>
    <x v="14"/>
    <x v="3"/>
    <x v="12"/>
    <n v="2"/>
    <s v="Gasto de capital"/>
    <x v="0"/>
    <x v="0"/>
    <x v="0"/>
    <x v="0"/>
    <x v="0"/>
    <x v="0"/>
    <x v="0"/>
    <m/>
    <x v="0"/>
    <x v="0"/>
    <m/>
    <n v="14608720"/>
    <n v="0"/>
    <n v="0"/>
    <n v="14608720"/>
    <n v="15000000"/>
    <m/>
    <x v="1"/>
    <n v="15000000"/>
  </r>
  <r>
    <x v="1"/>
    <x v="16"/>
    <x v="16"/>
    <x v="2"/>
    <s v="Apoyo al proceso presupuestario y para mejorar la eficiencia institucional"/>
    <x v="2"/>
    <x v="34"/>
    <x v="105"/>
    <x v="72"/>
    <n v="3"/>
    <s v="Desarrollo Económico"/>
    <n v="3"/>
    <s v="Temas Laborales"/>
    <n v="3"/>
    <x v="14"/>
    <x v="3"/>
    <x v="12"/>
    <n v="1"/>
    <s v="Gasto corriente"/>
    <x v="0"/>
    <x v="1"/>
    <x v="0"/>
    <x v="0"/>
    <x v="0"/>
    <x v="0"/>
    <x v="0"/>
    <m/>
    <x v="0"/>
    <x v="0"/>
    <m/>
    <n v="1067269"/>
    <n v="0"/>
    <n v="0"/>
    <n v="1067269"/>
    <n v="1476073"/>
    <m/>
    <x v="1"/>
    <n v="1476073"/>
  </r>
  <r>
    <x v="1"/>
    <x v="16"/>
    <x v="16"/>
    <x v="2"/>
    <s v="Apoyo al proceso presupuestario y para mejorar la eficiencia institucional"/>
    <x v="2"/>
    <x v="34"/>
    <x v="105"/>
    <x v="72"/>
    <n v="3"/>
    <s v="Desarrollo Económico"/>
    <n v="3"/>
    <s v="Temas Laborales"/>
    <n v="3"/>
    <x v="14"/>
    <x v="3"/>
    <x v="12"/>
    <n v="1"/>
    <s v="Gasto corriente"/>
    <x v="0"/>
    <x v="0"/>
    <x v="0"/>
    <x v="0"/>
    <x v="0"/>
    <x v="0"/>
    <x v="0"/>
    <m/>
    <x v="0"/>
    <x v="0"/>
    <m/>
    <n v="33563586"/>
    <n v="0"/>
    <n v="-132533"/>
    <n v="33431053"/>
    <n v="39387536"/>
    <m/>
    <x v="1"/>
    <n v="39387536"/>
  </r>
  <r>
    <x v="1"/>
    <x v="16"/>
    <x v="16"/>
    <x v="2"/>
    <s v="Apoyo al proceso presupuestario y para mejorar la eficiencia institucional"/>
    <x v="2"/>
    <x v="34"/>
    <x v="105"/>
    <x v="72"/>
    <n v="3"/>
    <s v="Desarrollo Económico"/>
    <n v="3"/>
    <s v="Temas Laborales"/>
    <n v="3"/>
    <x v="14"/>
    <x v="3"/>
    <x v="12"/>
    <n v="2"/>
    <s v="Gasto de capital"/>
    <x v="0"/>
    <x v="0"/>
    <x v="0"/>
    <x v="0"/>
    <x v="0"/>
    <x v="0"/>
    <x v="0"/>
    <m/>
    <x v="0"/>
    <x v="0"/>
    <m/>
    <n v="6540"/>
    <n v="0"/>
    <n v="0"/>
    <n v="6540"/>
    <n v="1589840"/>
    <m/>
    <x v="1"/>
    <n v="1589840"/>
  </r>
  <r>
    <x v="1"/>
    <x v="16"/>
    <x v="16"/>
    <x v="3"/>
    <s v="Apoyo a la función pública y al mejoramiento de la gestión"/>
    <x v="2"/>
    <x v="42"/>
    <x v="20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971913"/>
    <n v="0"/>
    <n v="0"/>
    <n v="971913"/>
    <n v="1469679"/>
    <m/>
    <x v="1"/>
    <n v="1469679"/>
  </r>
  <r>
    <x v="1"/>
    <x v="16"/>
    <x v="16"/>
    <x v="3"/>
    <s v="Apoyo a la función pública y al mejoramiento de la gestión"/>
    <x v="2"/>
    <x v="42"/>
    <x v="20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2692796"/>
    <n v="0"/>
    <n v="-138876"/>
    <n v="22553920"/>
    <n v="19622827"/>
    <m/>
    <x v="1"/>
    <n v="19622827"/>
  </r>
  <r>
    <x v="1"/>
    <x v="16"/>
    <x v="16"/>
    <x v="3"/>
    <s v="Apoyo a la función pública y al mejoramiento de la gestión"/>
    <x v="2"/>
    <x v="42"/>
    <x v="20"/>
    <x v="40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3"/>
    <s v="Apoyo a la función pública y al mejoramiento de la gestión"/>
    <x v="32"/>
    <x v="121"/>
    <x v="59"/>
    <x v="6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006933"/>
    <n v="0"/>
    <n v="0"/>
    <n v="2006933"/>
    <n v="2011518"/>
    <m/>
    <x v="1"/>
    <n v="2011518"/>
  </r>
  <r>
    <x v="1"/>
    <x v="16"/>
    <x v="16"/>
    <x v="3"/>
    <s v="Apoyo a la función pública y al mejoramiento de la gestión"/>
    <x v="32"/>
    <x v="121"/>
    <x v="57"/>
    <x v="58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240000"/>
    <n v="0"/>
    <n v="0"/>
    <n v="1240000"/>
    <n v="1065553"/>
    <m/>
    <x v="1"/>
    <n v="1065553"/>
  </r>
  <r>
    <x v="1"/>
    <x v="16"/>
    <x v="16"/>
    <x v="3"/>
    <s v="Apoyo a la función pública y al mejoramiento de la gestión"/>
    <x v="32"/>
    <x v="121"/>
    <x v="31"/>
    <x v="61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4000"/>
    <n v="0"/>
    <n v="0"/>
    <n v="64000"/>
    <n v="54996"/>
    <m/>
    <x v="1"/>
    <n v="54996"/>
  </r>
  <r>
    <x v="1"/>
    <x v="16"/>
    <x v="16"/>
    <x v="5"/>
    <s v="Planeación, seguimiento y evaluación de políticas públicas"/>
    <x v="2"/>
    <x v="483"/>
    <x v="1"/>
    <x v="78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804172"/>
    <n v="0"/>
    <n v="0"/>
    <n v="804172"/>
    <n v="1172938"/>
    <m/>
    <x v="1"/>
    <n v="1172938"/>
  </r>
  <r>
    <x v="1"/>
    <x v="16"/>
    <x v="16"/>
    <x v="5"/>
    <s v="Planeación, seguimiento y evaluación de políticas públicas"/>
    <x v="2"/>
    <x v="483"/>
    <x v="1"/>
    <x v="78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52707613"/>
    <n v="0"/>
    <n v="-292602"/>
    <n v="52415011"/>
    <n v="52494445"/>
    <m/>
    <x v="1"/>
    <n v="52494445"/>
  </r>
  <r>
    <x v="1"/>
    <x v="16"/>
    <x v="16"/>
    <x v="5"/>
    <s v="Planeación, seguimiento y evaluación de políticas públicas"/>
    <x v="2"/>
    <x v="483"/>
    <x v="1"/>
    <x v="78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526540"/>
    <n v="0"/>
    <n v="0"/>
    <n v="526540"/>
    <m/>
    <m/>
    <x v="1"/>
    <n v="0"/>
  </r>
  <r>
    <x v="1"/>
    <x v="16"/>
    <x v="16"/>
    <x v="5"/>
    <s v="Planeación, seguimiento y evaluación de políticas públicas"/>
    <x v="2"/>
    <x v="483"/>
    <x v="22"/>
    <x v="93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08924"/>
    <n v="0"/>
    <n v="0"/>
    <n v="508924"/>
    <n v="665981"/>
    <m/>
    <x v="1"/>
    <n v="665981"/>
  </r>
  <r>
    <x v="1"/>
    <x v="16"/>
    <x v="16"/>
    <x v="5"/>
    <s v="Planeación, seguimiento y evaluación de políticas públicas"/>
    <x v="2"/>
    <x v="483"/>
    <x v="22"/>
    <x v="93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30979988"/>
    <n v="0"/>
    <n v="-69643"/>
    <n v="30910345"/>
    <n v="29246951"/>
    <m/>
    <x v="1"/>
    <n v="29246951"/>
  </r>
  <r>
    <x v="1"/>
    <x v="16"/>
    <x v="16"/>
    <x v="5"/>
    <s v="Planeación, seguimiento y evaluación de políticas públicas"/>
    <x v="2"/>
    <x v="483"/>
    <x v="22"/>
    <x v="93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5"/>
    <s v="Planeación, seguimiento y evaluación de políticas públicas"/>
    <x v="2"/>
    <x v="483"/>
    <x v="23"/>
    <x v="622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996864"/>
    <n v="0"/>
    <n v="0"/>
    <n v="996864"/>
    <n v="1273311"/>
    <m/>
    <x v="1"/>
    <n v="1273311"/>
  </r>
  <r>
    <x v="1"/>
    <x v="16"/>
    <x v="16"/>
    <x v="5"/>
    <s v="Planeación, seguimiento y evaluación de políticas públicas"/>
    <x v="2"/>
    <x v="483"/>
    <x v="23"/>
    <x v="622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6075006"/>
    <n v="0"/>
    <n v="-145614"/>
    <n v="25929392"/>
    <n v="39424277"/>
    <m/>
    <x v="1"/>
    <n v="39424277"/>
  </r>
  <r>
    <x v="1"/>
    <x v="16"/>
    <x v="16"/>
    <x v="5"/>
    <s v="Planeación, seguimiento y evaluación de políticas públicas"/>
    <x v="2"/>
    <x v="483"/>
    <x v="23"/>
    <x v="622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m/>
    <m/>
    <m/>
    <m/>
    <n v="955790"/>
    <m/>
    <x v="1"/>
    <n v="955790"/>
  </r>
  <r>
    <x v="1"/>
    <x v="16"/>
    <x v="16"/>
    <x v="5"/>
    <s v="Planeación, seguimiento y evaluación de políticas públicas"/>
    <x v="2"/>
    <x v="483"/>
    <x v="21"/>
    <x v="623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22652"/>
    <n v="0"/>
    <n v="0"/>
    <n v="522652"/>
    <n v="745729"/>
    <m/>
    <x v="1"/>
    <n v="745729"/>
  </r>
  <r>
    <x v="1"/>
    <x v="16"/>
    <x v="16"/>
    <x v="5"/>
    <s v="Planeación, seguimiento y evaluación de políticas públicas"/>
    <x v="2"/>
    <x v="483"/>
    <x v="21"/>
    <x v="623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30678624"/>
    <n v="0"/>
    <n v="-155076"/>
    <n v="30523548"/>
    <n v="29745153"/>
    <m/>
    <x v="1"/>
    <n v="29745153"/>
  </r>
  <r>
    <x v="1"/>
    <x v="16"/>
    <x v="16"/>
    <x v="5"/>
    <s v="Planeación, seguimiento y evaluación de políticas públicas"/>
    <x v="2"/>
    <x v="483"/>
    <x v="21"/>
    <x v="623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5"/>
    <s v="Planeación, seguimiento y evaluación de políticas públicas"/>
    <x v="2"/>
    <x v="483"/>
    <x v="6"/>
    <x v="624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71333"/>
    <n v="0"/>
    <n v="0"/>
    <n v="371333"/>
    <n v="437244"/>
    <m/>
    <x v="1"/>
    <n v="437244"/>
  </r>
  <r>
    <x v="1"/>
    <x v="16"/>
    <x v="16"/>
    <x v="5"/>
    <s v="Planeación, seguimiento y evaluación de políticas públicas"/>
    <x v="2"/>
    <x v="483"/>
    <x v="6"/>
    <x v="624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12629380"/>
    <n v="0"/>
    <n v="-91449"/>
    <n v="12537931"/>
    <n v="11614564"/>
    <m/>
    <x v="1"/>
    <n v="11614564"/>
  </r>
  <r>
    <x v="1"/>
    <x v="16"/>
    <x v="16"/>
    <x v="5"/>
    <s v="Planeación, seguimiento y evaluación de políticas públicas"/>
    <x v="2"/>
    <x v="483"/>
    <x v="6"/>
    <x v="624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5"/>
    <s v="Planeación, seguimiento y evaluación de políticas públicas"/>
    <x v="2"/>
    <x v="483"/>
    <x v="0"/>
    <x v="625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929058"/>
    <n v="0"/>
    <n v="0"/>
    <n v="929058"/>
    <n v="1265949"/>
    <m/>
    <x v="1"/>
    <n v="1265949"/>
  </r>
  <r>
    <x v="1"/>
    <x v="16"/>
    <x v="16"/>
    <x v="5"/>
    <s v="Planeación, seguimiento y evaluación de políticas públicas"/>
    <x v="2"/>
    <x v="483"/>
    <x v="0"/>
    <x v="625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4519157"/>
    <n v="0"/>
    <n v="-112286"/>
    <n v="24406871"/>
    <n v="39792822"/>
    <m/>
    <x v="1"/>
    <n v="39792822"/>
  </r>
  <r>
    <x v="1"/>
    <x v="16"/>
    <x v="16"/>
    <x v="5"/>
    <s v="Planeación, seguimiento y evaluación de políticas públicas"/>
    <x v="2"/>
    <x v="483"/>
    <x v="0"/>
    <x v="625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4360"/>
    <n v="0"/>
    <n v="0"/>
    <n v="4360"/>
    <n v="175089"/>
    <m/>
    <x v="1"/>
    <n v="175089"/>
  </r>
  <r>
    <x v="1"/>
    <x v="16"/>
    <x v="16"/>
    <x v="5"/>
    <s v="Planeación, seguimiento y evaluación de políticas públicas"/>
    <x v="2"/>
    <x v="483"/>
    <x v="4"/>
    <x v="626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1238836"/>
    <n v="0"/>
    <n v="0"/>
    <n v="1238836"/>
    <n v="1741380"/>
    <m/>
    <x v="1"/>
    <n v="1741380"/>
  </r>
  <r>
    <x v="1"/>
    <x v="16"/>
    <x v="16"/>
    <x v="5"/>
    <s v="Planeación, seguimiento y evaluación de políticas públicas"/>
    <x v="2"/>
    <x v="483"/>
    <x v="4"/>
    <x v="626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8758221"/>
    <n v="0"/>
    <n v="-128893"/>
    <n v="28629328"/>
    <n v="28280903"/>
    <m/>
    <x v="1"/>
    <n v="28280903"/>
  </r>
  <r>
    <x v="1"/>
    <x v="16"/>
    <x v="16"/>
    <x v="5"/>
    <s v="Planeación, seguimiento y evaluación de políticas públicas"/>
    <x v="2"/>
    <x v="483"/>
    <x v="4"/>
    <x v="626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5"/>
    <s v="Planeación, seguimiento y evaluación de políticas públicas"/>
    <x v="2"/>
    <x v="483"/>
    <x v="50"/>
    <x v="43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1021179"/>
    <n v="0"/>
    <n v="0"/>
    <n v="1021179"/>
    <n v="1605508"/>
    <m/>
    <x v="1"/>
    <n v="1605508"/>
  </r>
  <r>
    <x v="1"/>
    <x v="16"/>
    <x v="16"/>
    <x v="5"/>
    <s v="Planeación, seguimiento y evaluación de políticas públicas"/>
    <x v="2"/>
    <x v="483"/>
    <x v="50"/>
    <x v="43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1266870"/>
    <n v="0"/>
    <n v="-112193"/>
    <n v="21154677"/>
    <n v="29381862"/>
    <m/>
    <x v="1"/>
    <n v="29381862"/>
  </r>
  <r>
    <x v="1"/>
    <x v="16"/>
    <x v="16"/>
    <x v="5"/>
    <s v="Planeación, seguimiento y evaluación de políticas públicas"/>
    <x v="2"/>
    <x v="483"/>
    <x v="50"/>
    <x v="43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540"/>
    <n v="0"/>
    <n v="0"/>
    <n v="6540"/>
    <n v="1562050"/>
    <m/>
    <x v="1"/>
    <n v="1562050"/>
  </r>
  <r>
    <x v="1"/>
    <x v="16"/>
    <x v="16"/>
    <x v="5"/>
    <s v="Planeación, seguimiento y evaluación de políticas públicas"/>
    <x v="2"/>
    <x v="483"/>
    <x v="7"/>
    <x v="627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762981"/>
    <n v="0"/>
    <n v="0"/>
    <n v="762981"/>
    <n v="1179804"/>
    <m/>
    <x v="1"/>
    <n v="1179804"/>
  </r>
  <r>
    <x v="1"/>
    <x v="16"/>
    <x v="16"/>
    <x v="5"/>
    <s v="Planeación, seguimiento y evaluación de políticas públicas"/>
    <x v="2"/>
    <x v="483"/>
    <x v="7"/>
    <x v="627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2812100"/>
    <n v="0"/>
    <n v="-93485"/>
    <n v="22718615"/>
    <n v="23260191"/>
    <m/>
    <x v="1"/>
    <n v="23260191"/>
  </r>
  <r>
    <x v="1"/>
    <x v="16"/>
    <x v="16"/>
    <x v="5"/>
    <s v="Planeación, seguimiento y evaluación de políticas públicas"/>
    <x v="2"/>
    <x v="483"/>
    <x v="7"/>
    <x v="627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540"/>
    <n v="0"/>
    <n v="0"/>
    <n v="6540"/>
    <m/>
    <m/>
    <x v="1"/>
    <n v="0"/>
  </r>
  <r>
    <x v="1"/>
    <x v="16"/>
    <x v="16"/>
    <x v="5"/>
    <s v="Planeación, seguimiento y evaluación de políticas públicas"/>
    <x v="2"/>
    <x v="483"/>
    <x v="54"/>
    <x v="628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358794"/>
    <n v="0"/>
    <n v="0"/>
    <n v="358794"/>
    <n v="314237"/>
    <m/>
    <x v="1"/>
    <n v="314237"/>
  </r>
  <r>
    <x v="1"/>
    <x v="16"/>
    <x v="16"/>
    <x v="5"/>
    <s v="Planeación, seguimiento y evaluación de políticas públicas"/>
    <x v="2"/>
    <x v="483"/>
    <x v="54"/>
    <x v="628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31827341"/>
    <n v="0"/>
    <n v="-65087"/>
    <n v="31762254"/>
    <n v="51577926"/>
    <m/>
    <x v="1"/>
    <n v="51577926"/>
  </r>
  <r>
    <x v="1"/>
    <x v="16"/>
    <x v="16"/>
    <x v="5"/>
    <s v="Planeación, seguimiento y evaluación de políticas públicas"/>
    <x v="2"/>
    <x v="483"/>
    <x v="54"/>
    <x v="628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5"/>
    <s v="Planeación, seguimiento y evaluación de políticas públicas"/>
    <x v="2"/>
    <x v="483"/>
    <x v="55"/>
    <x v="629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940194"/>
    <n v="0"/>
    <n v="0"/>
    <n v="940194"/>
    <n v="1352000"/>
    <m/>
    <x v="1"/>
    <n v="1352000"/>
  </r>
  <r>
    <x v="1"/>
    <x v="16"/>
    <x v="16"/>
    <x v="5"/>
    <s v="Planeación, seguimiento y evaluación de políticas públicas"/>
    <x v="2"/>
    <x v="483"/>
    <x v="55"/>
    <x v="629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7493826"/>
    <n v="0"/>
    <n v="-64369"/>
    <n v="27429457"/>
    <n v="27758221"/>
    <m/>
    <x v="1"/>
    <n v="27758221"/>
  </r>
  <r>
    <x v="1"/>
    <x v="16"/>
    <x v="16"/>
    <x v="5"/>
    <s v="Planeación, seguimiento y evaluación de políticas públicas"/>
    <x v="2"/>
    <x v="483"/>
    <x v="55"/>
    <x v="629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55900000"/>
    <n v="0"/>
    <n v="0"/>
    <n v="55900000"/>
    <n v="46777242"/>
    <m/>
    <x v="1"/>
    <n v="46777242"/>
  </r>
  <r>
    <x v="1"/>
    <x v="16"/>
    <x v="16"/>
    <x v="5"/>
    <s v="Planeación, seguimiento y evaluación de políticas públicas"/>
    <x v="2"/>
    <x v="483"/>
    <x v="161"/>
    <x v="630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157631"/>
    <n v="0"/>
    <n v="0"/>
    <n v="157631"/>
    <n v="217658"/>
    <m/>
    <x v="1"/>
    <n v="217658"/>
  </r>
  <r>
    <x v="1"/>
    <x v="16"/>
    <x v="16"/>
    <x v="5"/>
    <s v="Planeación, seguimiento y evaluación de políticas públicas"/>
    <x v="2"/>
    <x v="483"/>
    <x v="161"/>
    <x v="630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8859666"/>
    <n v="0"/>
    <n v="-44496"/>
    <n v="8815170"/>
    <n v="7832195"/>
    <m/>
    <x v="1"/>
    <n v="7832195"/>
  </r>
  <r>
    <x v="1"/>
    <x v="16"/>
    <x v="16"/>
    <x v="5"/>
    <s v="Planeación, seguimiento y evaluación de políticas públicas"/>
    <x v="2"/>
    <x v="483"/>
    <x v="161"/>
    <x v="630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2180"/>
    <n v="0"/>
    <n v="0"/>
    <n v="2180"/>
    <m/>
    <m/>
    <x v="1"/>
    <n v="0"/>
  </r>
  <r>
    <x v="1"/>
    <x v="16"/>
    <x v="16"/>
    <x v="5"/>
    <s v="Planeación, seguimiento y evaluación de políticas públicas"/>
    <x v="2"/>
    <x v="483"/>
    <x v="38"/>
    <x v="631"/>
    <n v="3"/>
    <s v="Desarrollo Económico"/>
    <n v="3"/>
    <s v="Temas Laborales"/>
    <n v="3"/>
    <x v="14"/>
    <x v="4"/>
    <x v="120"/>
    <n v="1"/>
    <s v="Gasto corriente"/>
    <x v="0"/>
    <x v="1"/>
    <x v="0"/>
    <x v="0"/>
    <x v="0"/>
    <x v="0"/>
    <x v="0"/>
    <m/>
    <x v="0"/>
    <x v="0"/>
    <m/>
    <n v="565275"/>
    <n v="0"/>
    <n v="0"/>
    <n v="565275"/>
    <n v="781624"/>
    <m/>
    <x v="1"/>
    <n v="781624"/>
  </r>
  <r>
    <x v="1"/>
    <x v="16"/>
    <x v="16"/>
    <x v="5"/>
    <s v="Planeación, seguimiento y evaluación de políticas públicas"/>
    <x v="2"/>
    <x v="483"/>
    <x v="38"/>
    <x v="631"/>
    <n v="3"/>
    <s v="Desarrollo Económico"/>
    <n v="3"/>
    <s v="Temas Laborales"/>
    <n v="3"/>
    <x v="14"/>
    <x v="4"/>
    <x v="120"/>
    <n v="1"/>
    <s v="Gasto corriente"/>
    <x v="0"/>
    <x v="0"/>
    <x v="0"/>
    <x v="0"/>
    <x v="0"/>
    <x v="0"/>
    <x v="0"/>
    <m/>
    <x v="0"/>
    <x v="0"/>
    <m/>
    <n v="21829025"/>
    <n v="0"/>
    <n v="-112211"/>
    <n v="21716814"/>
    <n v="20793256"/>
    <m/>
    <x v="1"/>
    <n v="20793256"/>
  </r>
  <r>
    <x v="1"/>
    <x v="16"/>
    <x v="16"/>
    <x v="5"/>
    <s v="Planeación, seguimiento y evaluación de políticas públicas"/>
    <x v="2"/>
    <x v="483"/>
    <x v="38"/>
    <x v="631"/>
    <n v="3"/>
    <s v="Desarrollo Económico"/>
    <n v="3"/>
    <s v="Temas Laborales"/>
    <n v="3"/>
    <x v="14"/>
    <x v="4"/>
    <x v="120"/>
    <n v="2"/>
    <s v="Gasto de capital"/>
    <x v="0"/>
    <x v="0"/>
    <x v="0"/>
    <x v="0"/>
    <x v="0"/>
    <x v="0"/>
    <x v="0"/>
    <m/>
    <x v="0"/>
    <x v="0"/>
    <m/>
    <n v="6540"/>
    <n v="0"/>
    <n v="0"/>
    <n v="6540"/>
    <m/>
    <m/>
    <x v="1"/>
    <n v="0"/>
  </r>
  <r>
    <x v="1"/>
    <x v="16"/>
    <x v="16"/>
    <x v="5"/>
    <s v="Planeación, seguimiento y evaluación de políticas públicas"/>
    <x v="3"/>
    <x v="484"/>
    <x v="315"/>
    <x v="632"/>
    <n v="3"/>
    <s v="Desarrollo Económico"/>
    <n v="3"/>
    <s v="Temas Laborales"/>
    <n v="3"/>
    <x v="14"/>
    <x v="6"/>
    <x v="127"/>
    <n v="1"/>
    <s v="Gasto corriente"/>
    <x v="0"/>
    <x v="1"/>
    <x v="0"/>
    <x v="0"/>
    <x v="0"/>
    <x v="0"/>
    <x v="0"/>
    <m/>
    <x v="0"/>
    <x v="0"/>
    <m/>
    <n v="1532108"/>
    <n v="0"/>
    <n v="0"/>
    <n v="1532108"/>
    <n v="2268396"/>
    <m/>
    <x v="1"/>
    <n v="2268396"/>
  </r>
  <r>
    <x v="1"/>
    <x v="16"/>
    <x v="16"/>
    <x v="5"/>
    <s v="Planeación, seguimiento y evaluación de políticas públicas"/>
    <x v="3"/>
    <x v="484"/>
    <x v="315"/>
    <x v="632"/>
    <n v="3"/>
    <s v="Desarrollo Económico"/>
    <n v="3"/>
    <s v="Temas Laborales"/>
    <n v="3"/>
    <x v="14"/>
    <x v="6"/>
    <x v="127"/>
    <n v="1"/>
    <s v="Gasto corriente"/>
    <x v="0"/>
    <x v="0"/>
    <x v="0"/>
    <x v="0"/>
    <x v="0"/>
    <x v="0"/>
    <x v="0"/>
    <m/>
    <x v="0"/>
    <x v="0"/>
    <m/>
    <n v="31586320"/>
    <n v="0"/>
    <n v="-125285"/>
    <n v="31461035"/>
    <n v="29711244"/>
    <m/>
    <x v="1"/>
    <n v="29711244"/>
  </r>
  <r>
    <x v="1"/>
    <x v="16"/>
    <x v="16"/>
    <x v="5"/>
    <s v="Planeación, seguimiento y evaluación de políticas públicas"/>
    <x v="3"/>
    <x v="484"/>
    <x v="315"/>
    <x v="632"/>
    <n v="3"/>
    <s v="Desarrollo Económico"/>
    <n v="3"/>
    <s v="Temas Laborales"/>
    <n v="3"/>
    <x v="14"/>
    <x v="6"/>
    <x v="127"/>
    <n v="2"/>
    <s v="Gasto de capital"/>
    <x v="0"/>
    <x v="0"/>
    <x v="0"/>
    <x v="0"/>
    <x v="0"/>
    <x v="0"/>
    <x v="0"/>
    <m/>
    <x v="0"/>
    <x v="0"/>
    <m/>
    <n v="306700"/>
    <n v="0"/>
    <n v="0"/>
    <n v="306700"/>
    <n v="314204"/>
    <m/>
    <x v="1"/>
    <n v="314204"/>
  </r>
  <r>
    <x v="1"/>
    <x v="16"/>
    <x v="16"/>
    <x v="11"/>
    <s v="Sujetos a Reglas de Operación"/>
    <x v="67"/>
    <x v="485"/>
    <x v="53"/>
    <x v="620"/>
    <n v="3"/>
    <s v="Desarrollo Económico"/>
    <n v="3"/>
    <s v="Temas Laborales"/>
    <n v="2"/>
    <x v="60"/>
    <x v="7"/>
    <x v="126"/>
    <n v="1"/>
    <s v="Gasto corriente"/>
    <x v="0"/>
    <x v="0"/>
    <x v="0"/>
    <x v="0"/>
    <x v="1"/>
    <x v="0"/>
    <x v="0"/>
    <m/>
    <x v="0"/>
    <x v="0"/>
    <m/>
    <n v="157716965"/>
    <n v="0"/>
    <n v="0"/>
    <n v="157716965"/>
    <n v="150000000"/>
    <m/>
    <x v="1"/>
    <n v="150000000"/>
  </r>
  <r>
    <x v="1"/>
    <x v="16"/>
    <x v="16"/>
    <x v="11"/>
    <s v="Sujetos a Reglas de Operación"/>
    <x v="67"/>
    <x v="485"/>
    <x v="53"/>
    <x v="620"/>
    <n v="3"/>
    <s v="Desarrollo Económico"/>
    <n v="3"/>
    <s v="Temas Laborales"/>
    <n v="2"/>
    <x v="60"/>
    <x v="7"/>
    <x v="126"/>
    <n v="1"/>
    <s v="Gasto corriente"/>
    <x v="0"/>
    <x v="0"/>
    <x v="0"/>
    <x v="0"/>
    <x v="0"/>
    <x v="0"/>
    <x v="0"/>
    <m/>
    <x v="0"/>
    <x v="0"/>
    <m/>
    <n v="703006481"/>
    <n v="0"/>
    <n v="-79727907"/>
    <n v="623278574"/>
    <n v="504739834"/>
    <m/>
    <x v="1"/>
    <n v="504739834"/>
  </r>
  <r>
    <x v="1"/>
    <x v="16"/>
    <x v="16"/>
    <x v="11"/>
    <s v="Sujetos a Reglas de Operación"/>
    <x v="67"/>
    <x v="485"/>
    <x v="53"/>
    <x v="620"/>
    <n v="3"/>
    <s v="Desarrollo Económico"/>
    <n v="3"/>
    <s v="Temas Laborales"/>
    <n v="2"/>
    <x v="60"/>
    <x v="7"/>
    <x v="126"/>
    <n v="2"/>
    <s v="Gasto de capital"/>
    <x v="0"/>
    <x v="0"/>
    <x v="0"/>
    <x v="0"/>
    <x v="0"/>
    <x v="0"/>
    <x v="0"/>
    <m/>
    <x v="0"/>
    <x v="0"/>
    <m/>
    <n v="634100000"/>
    <n v="0"/>
    <n v="0"/>
    <n v="634100000"/>
    <n v="754355380"/>
    <m/>
    <x v="1"/>
    <n v="754355380"/>
  </r>
  <r>
    <x v="1"/>
    <x v="16"/>
    <x v="16"/>
    <x v="7"/>
    <s v="Otros Subsidios"/>
    <x v="2"/>
    <x v="486"/>
    <x v="53"/>
    <x v="620"/>
    <n v="3"/>
    <s v="Desarrollo Económico"/>
    <n v="3"/>
    <s v="Temas Laborales"/>
    <n v="2"/>
    <x v="60"/>
    <x v="7"/>
    <x v="126"/>
    <n v="1"/>
    <s v="Gasto corriente"/>
    <x v="0"/>
    <x v="0"/>
    <x v="0"/>
    <x v="0"/>
    <x v="0"/>
    <x v="0"/>
    <x v="1"/>
    <m/>
    <x v="0"/>
    <x v="0"/>
    <m/>
    <n v="30115910"/>
    <n v="0"/>
    <n v="0"/>
    <n v="30115910"/>
    <n v="14513592"/>
    <m/>
    <x v="1"/>
    <n v="14513592"/>
  </r>
  <r>
    <x v="1"/>
    <x v="16"/>
    <x v="16"/>
    <x v="7"/>
    <s v="Otros Subsidios"/>
    <x v="2"/>
    <x v="486"/>
    <x v="53"/>
    <x v="620"/>
    <n v="3"/>
    <s v="Desarrollo Económico"/>
    <n v="3"/>
    <s v="Temas Laborales"/>
    <n v="2"/>
    <x v="60"/>
    <x v="7"/>
    <x v="126"/>
    <n v="2"/>
    <s v="Gasto de capital"/>
    <x v="0"/>
    <x v="0"/>
    <x v="0"/>
    <x v="0"/>
    <x v="0"/>
    <x v="0"/>
    <x v="1"/>
    <m/>
    <x v="0"/>
    <x v="0"/>
    <m/>
    <m/>
    <m/>
    <m/>
    <m/>
    <n v="15000000"/>
    <m/>
    <x v="1"/>
    <n v="15000000"/>
  </r>
  <r>
    <x v="1"/>
    <x v="16"/>
    <x v="16"/>
    <x v="7"/>
    <s v="Otros Subsidios"/>
    <x v="3"/>
    <x v="487"/>
    <x v="54"/>
    <x v="628"/>
    <n v="3"/>
    <s v="Desarrollo Económico"/>
    <n v="3"/>
    <s v="Temas Laborales"/>
    <n v="1"/>
    <x v="59"/>
    <x v="0"/>
    <x v="121"/>
    <n v="1"/>
    <s v="Gasto corriente"/>
    <x v="0"/>
    <x v="0"/>
    <x v="0"/>
    <x v="0"/>
    <x v="0"/>
    <x v="0"/>
    <x v="0"/>
    <m/>
    <x v="0"/>
    <x v="0"/>
    <m/>
    <n v="31149211"/>
    <n v="0"/>
    <n v="0"/>
    <n v="31149211"/>
    <n v="374637"/>
    <m/>
    <x v="1"/>
    <n v="374637"/>
  </r>
  <r>
    <x v="1"/>
    <x v="17"/>
    <x v="17"/>
    <x v="4"/>
    <s v="Prestación de Servicios Públicos"/>
    <x v="2"/>
    <x v="488"/>
    <x v="316"/>
    <x v="633"/>
    <n v="1"/>
    <s v="Gobierno"/>
    <n v="6"/>
    <s v="Orden, Seguridad y Justicia"/>
    <n v="3"/>
    <x v="27"/>
    <x v="1"/>
    <x v="128"/>
    <n v="1"/>
    <s v="Gasto corriente"/>
    <x v="0"/>
    <x v="1"/>
    <x v="0"/>
    <x v="0"/>
    <x v="1"/>
    <x v="0"/>
    <x v="0"/>
    <m/>
    <x v="0"/>
    <x v="0"/>
    <m/>
    <n v="24787740"/>
    <n v="0"/>
    <n v="0"/>
    <n v="24787740"/>
    <n v="27845648"/>
    <m/>
    <x v="1"/>
    <n v="27845648"/>
  </r>
  <r>
    <x v="1"/>
    <x v="17"/>
    <x v="17"/>
    <x v="4"/>
    <s v="Prestación de Servicios Públicos"/>
    <x v="2"/>
    <x v="488"/>
    <x v="316"/>
    <x v="633"/>
    <n v="1"/>
    <s v="Gobierno"/>
    <n v="6"/>
    <s v="Orden, Seguridad y Justicia"/>
    <n v="3"/>
    <x v="27"/>
    <x v="1"/>
    <x v="128"/>
    <n v="1"/>
    <s v="Gasto corriente"/>
    <x v="0"/>
    <x v="0"/>
    <x v="0"/>
    <x v="0"/>
    <x v="1"/>
    <x v="0"/>
    <x v="0"/>
    <m/>
    <x v="0"/>
    <x v="0"/>
    <m/>
    <n v="439420925"/>
    <n v="0"/>
    <n v="-12217639"/>
    <n v="427203286"/>
    <n v="396855573"/>
    <m/>
    <x v="1"/>
    <n v="396855573"/>
  </r>
  <r>
    <x v="1"/>
    <x v="17"/>
    <x v="17"/>
    <x v="4"/>
    <s v="Prestación de Servicios Públicos"/>
    <x v="3"/>
    <x v="489"/>
    <x v="5"/>
    <x v="634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67155912"/>
    <n v="270067271"/>
    <n v="0"/>
    <n v="837223183"/>
    <n v="566861650"/>
    <m/>
    <x v="1"/>
    <n v="566861650"/>
  </r>
  <r>
    <x v="1"/>
    <x v="17"/>
    <x v="17"/>
    <x v="4"/>
    <s v="Prestación de Servicios Públicos"/>
    <x v="4"/>
    <x v="490"/>
    <x v="4"/>
    <x v="635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901127"/>
    <n v="0"/>
    <n v="0"/>
    <n v="901127"/>
    <n v="957111"/>
    <m/>
    <x v="1"/>
    <n v="957111"/>
  </r>
  <r>
    <x v="1"/>
    <x v="17"/>
    <x v="17"/>
    <x v="4"/>
    <s v="Prestación de Servicios Públicos"/>
    <x v="4"/>
    <x v="490"/>
    <x v="4"/>
    <x v="635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7090801"/>
    <n v="0"/>
    <n v="-905272"/>
    <n v="16185529"/>
    <n v="11717429"/>
    <m/>
    <x v="1"/>
    <n v="11717429"/>
  </r>
  <r>
    <x v="1"/>
    <x v="17"/>
    <x v="17"/>
    <x v="4"/>
    <s v="Prestación de Servicios Públicos"/>
    <x v="4"/>
    <x v="490"/>
    <x v="50"/>
    <x v="636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920065"/>
    <n v="0"/>
    <n v="0"/>
    <n v="920065"/>
    <n v="941042"/>
    <m/>
    <x v="1"/>
    <n v="941042"/>
  </r>
  <r>
    <x v="1"/>
    <x v="17"/>
    <x v="17"/>
    <x v="4"/>
    <s v="Prestación de Servicios Públicos"/>
    <x v="4"/>
    <x v="490"/>
    <x v="50"/>
    <x v="636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6971318"/>
    <n v="0"/>
    <n v="-898089"/>
    <n v="16073229"/>
    <n v="17409413"/>
    <m/>
    <x v="1"/>
    <n v="17409413"/>
  </r>
  <r>
    <x v="1"/>
    <x v="17"/>
    <x v="17"/>
    <x v="4"/>
    <s v="Prestación de Servicios Públicos"/>
    <x v="4"/>
    <x v="490"/>
    <x v="31"/>
    <x v="637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4720606"/>
    <n v="0"/>
    <n v="0"/>
    <n v="4720606"/>
    <n v="5498938"/>
    <m/>
    <x v="1"/>
    <n v="5498938"/>
  </r>
  <r>
    <x v="1"/>
    <x v="17"/>
    <x v="17"/>
    <x v="4"/>
    <s v="Prestación de Servicios Públicos"/>
    <x v="4"/>
    <x v="490"/>
    <x v="31"/>
    <x v="637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08699800"/>
    <n v="0"/>
    <n v="-1985926"/>
    <n v="106713874"/>
    <n v="106561006"/>
    <m/>
    <x v="1"/>
    <n v="106561006"/>
  </r>
  <r>
    <x v="1"/>
    <x v="17"/>
    <x v="17"/>
    <x v="4"/>
    <s v="Prestación de Servicios Públicos"/>
    <x v="4"/>
    <x v="490"/>
    <x v="316"/>
    <x v="633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641772"/>
    <n v="0"/>
    <n v="0"/>
    <n v="3641772"/>
    <n v="3699158"/>
    <m/>
    <x v="1"/>
    <n v="3699158"/>
  </r>
  <r>
    <x v="1"/>
    <x v="17"/>
    <x v="17"/>
    <x v="4"/>
    <s v="Prestación de Servicios Públicos"/>
    <x v="4"/>
    <x v="490"/>
    <x v="316"/>
    <x v="63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66570721"/>
    <n v="0"/>
    <n v="0"/>
    <n v="66570721"/>
    <n v="86954375"/>
    <m/>
    <x v="1"/>
    <n v="86954375"/>
  </r>
  <r>
    <x v="1"/>
    <x v="17"/>
    <x v="17"/>
    <x v="4"/>
    <s v="Prestación de Servicios Públicos"/>
    <x v="5"/>
    <x v="491"/>
    <x v="31"/>
    <x v="637"/>
    <n v="3"/>
    <s v="Desarrollo Económico"/>
    <n v="8"/>
    <s v="Temas Agrarios"/>
    <n v="1"/>
    <x v="61"/>
    <x v="4"/>
    <x v="130"/>
    <n v="1"/>
    <s v="Gasto corriente"/>
    <x v="0"/>
    <x v="1"/>
    <x v="0"/>
    <x v="0"/>
    <x v="1"/>
    <x v="0"/>
    <x v="0"/>
    <m/>
    <x v="0"/>
    <x v="0"/>
    <m/>
    <n v="5092354"/>
    <n v="0"/>
    <n v="0"/>
    <n v="5092354"/>
    <n v="5742962"/>
    <m/>
    <x v="1"/>
    <n v="5742962"/>
  </r>
  <r>
    <x v="1"/>
    <x v="17"/>
    <x v="17"/>
    <x v="4"/>
    <s v="Prestación de Servicios Públicos"/>
    <x v="5"/>
    <x v="491"/>
    <x v="31"/>
    <x v="637"/>
    <n v="3"/>
    <s v="Desarrollo Económico"/>
    <n v="8"/>
    <s v="Temas Agrarios"/>
    <n v="1"/>
    <x v="61"/>
    <x v="4"/>
    <x v="130"/>
    <n v="1"/>
    <s v="Gasto corriente"/>
    <x v="0"/>
    <x v="0"/>
    <x v="0"/>
    <x v="0"/>
    <x v="1"/>
    <x v="0"/>
    <x v="0"/>
    <m/>
    <x v="0"/>
    <x v="0"/>
    <m/>
    <n v="91663695"/>
    <n v="0"/>
    <n v="-4089893"/>
    <n v="87573802"/>
    <n v="86993055"/>
    <m/>
    <x v="1"/>
    <n v="86993055"/>
  </r>
  <r>
    <x v="1"/>
    <x v="17"/>
    <x v="17"/>
    <x v="4"/>
    <s v="Prestación de Servicios Públicos"/>
    <x v="6"/>
    <x v="492"/>
    <x v="31"/>
    <x v="637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5000000"/>
    <n v="0"/>
    <n v="0"/>
    <n v="15000000"/>
    <n v="575000000"/>
    <n v="80120219"/>
    <x v="1"/>
    <n v="494879781"/>
  </r>
  <r>
    <x v="1"/>
    <x v="17"/>
    <x v="17"/>
    <x v="4"/>
    <s v="Prestación de Servicios Públicos"/>
    <x v="6"/>
    <x v="492"/>
    <x v="316"/>
    <x v="63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000000"/>
    <n v="0"/>
    <n v="0"/>
    <n v="2000000"/>
    <n v="75000000"/>
    <m/>
    <x v="1"/>
    <n v="75000000"/>
  </r>
  <r>
    <x v="1"/>
    <x v="17"/>
    <x v="17"/>
    <x v="4"/>
    <s v="Prestación de Servicios Públicos"/>
    <x v="8"/>
    <x v="493"/>
    <x v="317"/>
    <x v="638"/>
    <n v="3"/>
    <s v="Desarrollo Económico"/>
    <n v="8"/>
    <s v="Temas Agrarios"/>
    <n v="1"/>
    <x v="61"/>
    <x v="11"/>
    <x v="131"/>
    <n v="1"/>
    <s v="Gasto corriente"/>
    <x v="0"/>
    <x v="0"/>
    <x v="0"/>
    <x v="0"/>
    <x v="1"/>
    <x v="0"/>
    <x v="0"/>
    <m/>
    <x v="0"/>
    <x v="0"/>
    <m/>
    <m/>
    <m/>
    <m/>
    <m/>
    <n v="10000000"/>
    <m/>
    <x v="1"/>
    <n v="10000000"/>
  </r>
  <r>
    <x v="1"/>
    <x v="17"/>
    <x v="17"/>
    <x v="9"/>
    <s v="Promoción y fomento"/>
    <x v="2"/>
    <x v="494"/>
    <x v="316"/>
    <x v="63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2135830"/>
    <n v="0"/>
    <n v="0"/>
    <n v="12135830"/>
    <n v="80000000"/>
    <m/>
    <x v="1"/>
    <n v="80000000"/>
  </r>
  <r>
    <x v="1"/>
    <x v="17"/>
    <x v="17"/>
    <x v="9"/>
    <s v="Promoción y fomento"/>
    <x v="3"/>
    <x v="495"/>
    <x v="54"/>
    <x v="639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8108393"/>
    <n v="120000000"/>
    <n v="0"/>
    <n v="178108393"/>
    <n v="58000000"/>
    <m/>
    <x v="114"/>
    <n v="185000000"/>
  </r>
  <r>
    <x v="1"/>
    <x v="17"/>
    <x v="17"/>
    <x v="9"/>
    <s v="Promoción y fomento"/>
    <x v="3"/>
    <x v="495"/>
    <x v="316"/>
    <x v="633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6465504"/>
    <n v="0"/>
    <n v="0"/>
    <n v="6465504"/>
    <n v="7628177"/>
    <m/>
    <x v="1"/>
    <n v="7628177"/>
  </r>
  <r>
    <x v="1"/>
    <x v="17"/>
    <x v="17"/>
    <x v="9"/>
    <s v="Promoción y fomento"/>
    <x v="3"/>
    <x v="495"/>
    <x v="316"/>
    <x v="63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15874784"/>
    <n v="0"/>
    <n v="0"/>
    <n v="115874784"/>
    <n v="108297170"/>
    <m/>
    <x v="1"/>
    <n v="108297170"/>
  </r>
  <r>
    <x v="1"/>
    <x v="17"/>
    <x v="17"/>
    <x v="10"/>
    <s v="Regulación y supervisión"/>
    <x v="2"/>
    <x v="496"/>
    <x v="3"/>
    <x v="640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44387"/>
    <n v="0"/>
    <n v="0"/>
    <n v="344387"/>
    <n v="432376"/>
    <m/>
    <x v="1"/>
    <n v="432376"/>
  </r>
  <r>
    <x v="1"/>
    <x v="17"/>
    <x v="17"/>
    <x v="10"/>
    <s v="Regulación y supervisión"/>
    <x v="2"/>
    <x v="496"/>
    <x v="3"/>
    <x v="640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7781104"/>
    <n v="0"/>
    <n v="-492698"/>
    <n v="27288406"/>
    <n v="28956447"/>
    <m/>
    <x v="1"/>
    <n v="28956447"/>
  </r>
  <r>
    <x v="1"/>
    <x v="17"/>
    <x v="17"/>
    <x v="13"/>
    <s v="Obligaciones de cumplimiento de resolución jurisdiccional"/>
    <x v="2"/>
    <x v="497"/>
    <x v="3"/>
    <x v="640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67863066"/>
    <n v="79932729"/>
    <n v="0"/>
    <n v="247795795"/>
    <n v="167500000"/>
    <m/>
    <x v="22"/>
    <n v="247500000"/>
  </r>
  <r>
    <x v="1"/>
    <x v="17"/>
    <x v="17"/>
    <x v="2"/>
    <s v="Apoyo al proceso presupuestario y para mejorar la eficiencia institucional"/>
    <x v="2"/>
    <x v="34"/>
    <x v="38"/>
    <x v="39"/>
    <n v="3"/>
    <s v="Desarrollo Económico"/>
    <n v="8"/>
    <s v="Temas Agrarios"/>
    <n v="1"/>
    <x v="61"/>
    <x v="3"/>
    <x v="12"/>
    <n v="1"/>
    <s v="Gasto corriente"/>
    <x v="0"/>
    <x v="1"/>
    <x v="0"/>
    <x v="0"/>
    <x v="1"/>
    <x v="0"/>
    <x v="0"/>
    <m/>
    <x v="0"/>
    <x v="0"/>
    <m/>
    <n v="518959"/>
    <n v="0"/>
    <n v="0"/>
    <n v="518959"/>
    <n v="2065281"/>
    <m/>
    <x v="1"/>
    <n v="2065281"/>
  </r>
  <r>
    <x v="1"/>
    <x v="17"/>
    <x v="17"/>
    <x v="2"/>
    <s v="Apoyo al proceso presupuestario y para mejorar la eficiencia institucional"/>
    <x v="2"/>
    <x v="34"/>
    <x v="38"/>
    <x v="39"/>
    <n v="3"/>
    <s v="Desarrollo Económico"/>
    <n v="8"/>
    <s v="Temas Agrarios"/>
    <n v="1"/>
    <x v="61"/>
    <x v="3"/>
    <x v="12"/>
    <n v="1"/>
    <s v="Gasto corriente"/>
    <x v="0"/>
    <x v="0"/>
    <x v="0"/>
    <x v="0"/>
    <x v="1"/>
    <x v="0"/>
    <x v="0"/>
    <m/>
    <x v="0"/>
    <x v="0"/>
    <m/>
    <n v="22102182"/>
    <n v="0"/>
    <n v="-1186568"/>
    <n v="20915614"/>
    <n v="49786243"/>
    <m/>
    <x v="1"/>
    <n v="49786243"/>
  </r>
  <r>
    <x v="1"/>
    <x v="17"/>
    <x v="17"/>
    <x v="2"/>
    <s v="Apoyo al proceso presupuestario y para mejorar la eficiencia institucional"/>
    <x v="2"/>
    <x v="34"/>
    <x v="39"/>
    <x v="214"/>
    <n v="3"/>
    <s v="Desarrollo Económico"/>
    <n v="8"/>
    <s v="Temas Agrarios"/>
    <n v="1"/>
    <x v="61"/>
    <x v="3"/>
    <x v="12"/>
    <n v="1"/>
    <s v="Gasto corriente"/>
    <x v="0"/>
    <x v="1"/>
    <x v="0"/>
    <x v="0"/>
    <x v="1"/>
    <x v="0"/>
    <x v="0"/>
    <m/>
    <x v="0"/>
    <x v="0"/>
    <m/>
    <n v="4946775"/>
    <n v="0"/>
    <n v="0"/>
    <n v="4946775"/>
    <n v="5725241"/>
    <m/>
    <x v="1"/>
    <n v="5725241"/>
  </r>
  <r>
    <x v="1"/>
    <x v="17"/>
    <x v="17"/>
    <x v="2"/>
    <s v="Apoyo al proceso presupuestario y para mejorar la eficiencia institucional"/>
    <x v="2"/>
    <x v="34"/>
    <x v="39"/>
    <x v="214"/>
    <n v="3"/>
    <s v="Desarrollo Económico"/>
    <n v="8"/>
    <s v="Temas Agrarios"/>
    <n v="1"/>
    <x v="61"/>
    <x v="3"/>
    <x v="12"/>
    <n v="1"/>
    <s v="Gasto corriente"/>
    <x v="0"/>
    <x v="0"/>
    <x v="0"/>
    <x v="0"/>
    <x v="1"/>
    <x v="0"/>
    <x v="0"/>
    <m/>
    <x v="0"/>
    <x v="0"/>
    <m/>
    <n v="72883852"/>
    <n v="0"/>
    <n v="-3873098"/>
    <n v="69010754"/>
    <n v="57075834"/>
    <m/>
    <x v="1"/>
    <n v="57075834"/>
  </r>
  <r>
    <x v="1"/>
    <x v="17"/>
    <x v="17"/>
    <x v="2"/>
    <s v="Apoyo al proceso presupuestario y para mejorar la eficiencia institucional"/>
    <x v="2"/>
    <x v="34"/>
    <x v="56"/>
    <x v="72"/>
    <n v="3"/>
    <s v="Desarrollo Económico"/>
    <n v="8"/>
    <s v="Temas Agrarios"/>
    <n v="1"/>
    <x v="61"/>
    <x v="3"/>
    <x v="12"/>
    <n v="1"/>
    <s v="Gasto corriente"/>
    <x v="0"/>
    <x v="1"/>
    <x v="0"/>
    <x v="0"/>
    <x v="1"/>
    <x v="0"/>
    <x v="0"/>
    <m/>
    <x v="0"/>
    <x v="0"/>
    <m/>
    <n v="639817"/>
    <n v="0"/>
    <n v="0"/>
    <n v="639817"/>
    <n v="761320"/>
    <m/>
    <x v="1"/>
    <n v="761320"/>
  </r>
  <r>
    <x v="1"/>
    <x v="17"/>
    <x v="17"/>
    <x v="2"/>
    <s v="Apoyo al proceso presupuestario y para mejorar la eficiencia institucional"/>
    <x v="2"/>
    <x v="34"/>
    <x v="56"/>
    <x v="72"/>
    <n v="3"/>
    <s v="Desarrollo Económico"/>
    <n v="8"/>
    <s v="Temas Agrarios"/>
    <n v="1"/>
    <x v="61"/>
    <x v="3"/>
    <x v="12"/>
    <n v="1"/>
    <s v="Gasto corriente"/>
    <x v="0"/>
    <x v="0"/>
    <x v="0"/>
    <x v="0"/>
    <x v="1"/>
    <x v="0"/>
    <x v="0"/>
    <m/>
    <x v="0"/>
    <x v="0"/>
    <m/>
    <n v="14240747"/>
    <n v="0"/>
    <n v="-685602"/>
    <n v="13555145"/>
    <n v="10687373"/>
    <m/>
    <x v="1"/>
    <n v="10687373"/>
  </r>
  <r>
    <x v="1"/>
    <x v="17"/>
    <x v="17"/>
    <x v="2"/>
    <s v="Apoyo al proceso presupuestario y para mejorar la eficiencia institucional"/>
    <x v="2"/>
    <x v="34"/>
    <x v="31"/>
    <x v="637"/>
    <n v="3"/>
    <s v="Desarrollo Económico"/>
    <n v="8"/>
    <s v="Temas Agrarios"/>
    <n v="1"/>
    <x v="61"/>
    <x v="3"/>
    <x v="12"/>
    <n v="1"/>
    <s v="Gasto corriente"/>
    <x v="0"/>
    <x v="1"/>
    <x v="0"/>
    <x v="0"/>
    <x v="1"/>
    <x v="0"/>
    <x v="0"/>
    <m/>
    <x v="0"/>
    <x v="0"/>
    <m/>
    <n v="2867598"/>
    <n v="0"/>
    <n v="0"/>
    <n v="2867598"/>
    <n v="3311839"/>
    <m/>
    <x v="1"/>
    <n v="3311839"/>
  </r>
  <r>
    <x v="1"/>
    <x v="17"/>
    <x v="17"/>
    <x v="2"/>
    <s v="Apoyo al proceso presupuestario y para mejorar la eficiencia institucional"/>
    <x v="2"/>
    <x v="34"/>
    <x v="31"/>
    <x v="637"/>
    <n v="3"/>
    <s v="Desarrollo Económico"/>
    <n v="8"/>
    <s v="Temas Agrarios"/>
    <n v="1"/>
    <x v="61"/>
    <x v="3"/>
    <x v="12"/>
    <n v="1"/>
    <s v="Gasto corriente"/>
    <x v="0"/>
    <x v="0"/>
    <x v="0"/>
    <x v="0"/>
    <x v="1"/>
    <x v="0"/>
    <x v="0"/>
    <m/>
    <x v="0"/>
    <x v="0"/>
    <m/>
    <n v="40298244"/>
    <n v="0"/>
    <n v="-1536088"/>
    <n v="38762156"/>
    <n v="33039178"/>
    <m/>
    <x v="1"/>
    <n v="33039178"/>
  </r>
  <r>
    <x v="1"/>
    <x v="17"/>
    <x v="17"/>
    <x v="2"/>
    <s v="Apoyo al proceso presupuestario y para mejorar la eficiencia institucional"/>
    <x v="2"/>
    <x v="34"/>
    <x v="316"/>
    <x v="633"/>
    <n v="3"/>
    <s v="Desarrollo Económico"/>
    <n v="8"/>
    <s v="Temas Agrarios"/>
    <n v="1"/>
    <x v="61"/>
    <x v="3"/>
    <x v="12"/>
    <n v="1"/>
    <s v="Gasto corriente"/>
    <x v="0"/>
    <x v="1"/>
    <x v="0"/>
    <x v="0"/>
    <x v="1"/>
    <x v="0"/>
    <x v="0"/>
    <m/>
    <x v="0"/>
    <x v="0"/>
    <m/>
    <n v="2351892"/>
    <n v="0"/>
    <n v="0"/>
    <n v="2351892"/>
    <n v="3404270"/>
    <m/>
    <x v="1"/>
    <n v="3404270"/>
  </r>
  <r>
    <x v="1"/>
    <x v="17"/>
    <x v="17"/>
    <x v="2"/>
    <s v="Apoyo al proceso presupuestario y para mejorar la eficiencia institucional"/>
    <x v="2"/>
    <x v="34"/>
    <x v="316"/>
    <x v="633"/>
    <n v="3"/>
    <s v="Desarrollo Económico"/>
    <n v="8"/>
    <s v="Temas Agrarios"/>
    <n v="1"/>
    <x v="61"/>
    <x v="3"/>
    <x v="12"/>
    <n v="1"/>
    <s v="Gasto corriente"/>
    <x v="0"/>
    <x v="0"/>
    <x v="0"/>
    <x v="0"/>
    <x v="1"/>
    <x v="0"/>
    <x v="0"/>
    <m/>
    <x v="0"/>
    <x v="0"/>
    <m/>
    <n v="45467412"/>
    <n v="0"/>
    <n v="0"/>
    <n v="45467412"/>
    <n v="38676717"/>
    <m/>
    <x v="1"/>
    <n v="38676717"/>
  </r>
  <r>
    <x v="1"/>
    <x v="17"/>
    <x v="17"/>
    <x v="3"/>
    <s v="Apoyo a la función pública y al mejoramiento de la gestión"/>
    <x v="2"/>
    <x v="42"/>
    <x v="23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n v="615489"/>
    <n v="0"/>
    <n v="0"/>
    <n v="615489"/>
    <n v="743199"/>
    <m/>
    <x v="1"/>
    <n v="743199"/>
  </r>
  <r>
    <x v="1"/>
    <x v="17"/>
    <x v="17"/>
    <x v="3"/>
    <s v="Apoyo a la función pública y al mejoramiento de la gestión"/>
    <x v="2"/>
    <x v="42"/>
    <x v="23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7118907"/>
    <n v="0"/>
    <n v="-1402114"/>
    <n v="15716793"/>
    <n v="14593419"/>
    <m/>
    <x v="1"/>
    <n v="14593419"/>
  </r>
  <r>
    <x v="1"/>
    <x v="17"/>
    <x v="17"/>
    <x v="3"/>
    <s v="Apoyo a la función pública y al mejoramiento de la gestión"/>
    <x v="2"/>
    <x v="42"/>
    <x v="31"/>
    <x v="637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n v="532441"/>
    <n v="0"/>
    <n v="0"/>
    <n v="532441"/>
    <n v="608461"/>
    <m/>
    <x v="1"/>
    <n v="608461"/>
  </r>
  <r>
    <x v="1"/>
    <x v="17"/>
    <x v="17"/>
    <x v="3"/>
    <s v="Apoyo a la función pública y al mejoramiento de la gestión"/>
    <x v="2"/>
    <x v="42"/>
    <x v="31"/>
    <x v="63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5753803"/>
    <n v="0"/>
    <n v="-100000"/>
    <n v="15653803"/>
    <n v="9111122"/>
    <m/>
    <x v="1"/>
    <n v="9111122"/>
  </r>
  <r>
    <x v="1"/>
    <x v="17"/>
    <x v="17"/>
    <x v="3"/>
    <s v="Apoyo a la función pública y al mejoramiento de la gestión"/>
    <x v="2"/>
    <x v="42"/>
    <x v="316"/>
    <x v="633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n v="463113"/>
    <n v="0"/>
    <n v="0"/>
    <n v="463113"/>
    <n v="789271"/>
    <m/>
    <x v="1"/>
    <n v="789271"/>
  </r>
  <r>
    <x v="1"/>
    <x v="17"/>
    <x v="17"/>
    <x v="3"/>
    <s v="Apoyo a la función pública y al mejoramiento de la gestión"/>
    <x v="2"/>
    <x v="42"/>
    <x v="316"/>
    <x v="633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9831159"/>
    <n v="0"/>
    <n v="0"/>
    <n v="9831159"/>
    <n v="9240265"/>
    <m/>
    <x v="1"/>
    <n v="9240265"/>
  </r>
  <r>
    <x v="1"/>
    <x v="17"/>
    <x v="17"/>
    <x v="3"/>
    <s v="Apoyo a la función pública y al mejoramiento de la gestión"/>
    <x v="32"/>
    <x v="121"/>
    <x v="38"/>
    <x v="39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899859"/>
    <n v="0"/>
    <n v="0"/>
    <n v="2899859"/>
    <n v="1300000"/>
    <m/>
    <x v="1"/>
    <n v="1300000"/>
  </r>
  <r>
    <x v="1"/>
    <x v="17"/>
    <x v="17"/>
    <x v="3"/>
    <s v="Apoyo a la función pública y al mejoramiento de la gestión"/>
    <x v="32"/>
    <x v="121"/>
    <x v="38"/>
    <x v="39"/>
    <n v="1"/>
    <s v="Gobierno"/>
    <n v="8"/>
    <s v="Administración Pública"/>
    <n v="3"/>
    <x v="6"/>
    <x v="2"/>
    <x v="13"/>
    <n v="2"/>
    <s v="Gasto de capital"/>
    <x v="0"/>
    <x v="0"/>
    <x v="0"/>
    <x v="0"/>
    <x v="1"/>
    <x v="0"/>
    <x v="0"/>
    <m/>
    <x v="0"/>
    <x v="0"/>
    <m/>
    <n v="193000"/>
    <n v="0"/>
    <n v="0"/>
    <n v="193000"/>
    <m/>
    <m/>
    <x v="1"/>
    <n v="0"/>
  </r>
  <r>
    <x v="1"/>
    <x v="17"/>
    <x v="17"/>
    <x v="3"/>
    <s v="Apoyo a la función pública y al mejoramiento de la gestión"/>
    <x v="32"/>
    <x v="121"/>
    <x v="31"/>
    <x v="637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3400000"/>
    <n v="0"/>
    <n v="-1000000"/>
    <n v="2400000"/>
    <n v="2395166"/>
    <m/>
    <x v="1"/>
    <n v="2395166"/>
  </r>
  <r>
    <x v="1"/>
    <x v="17"/>
    <x v="17"/>
    <x v="5"/>
    <s v="Planeación, seguimiento y evaluación de políticas públicas"/>
    <x v="2"/>
    <x v="498"/>
    <x v="1"/>
    <x v="78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992375"/>
    <n v="0"/>
    <n v="0"/>
    <n v="992375"/>
    <n v="1231730"/>
    <m/>
    <x v="1"/>
    <n v="1231730"/>
  </r>
  <r>
    <x v="1"/>
    <x v="17"/>
    <x v="17"/>
    <x v="5"/>
    <s v="Planeación, seguimiento y evaluación de políticas públicas"/>
    <x v="2"/>
    <x v="498"/>
    <x v="1"/>
    <x v="78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9949259"/>
    <n v="0"/>
    <n v="-2229014"/>
    <n v="37720245"/>
    <n v="62449206"/>
    <m/>
    <x v="1"/>
    <n v="62449206"/>
  </r>
  <r>
    <x v="1"/>
    <x v="17"/>
    <x v="17"/>
    <x v="5"/>
    <s v="Planeación, seguimiento y evaluación de políticas públicas"/>
    <x v="2"/>
    <x v="498"/>
    <x v="1"/>
    <x v="78"/>
    <n v="3"/>
    <s v="Desarrollo Económico"/>
    <n v="8"/>
    <s v="Temas Agrarios"/>
    <n v="1"/>
    <x v="61"/>
    <x v="0"/>
    <x v="129"/>
    <n v="2"/>
    <s v="Gasto de capital"/>
    <x v="0"/>
    <x v="0"/>
    <x v="0"/>
    <x v="0"/>
    <x v="1"/>
    <x v="0"/>
    <x v="0"/>
    <m/>
    <x v="0"/>
    <x v="0"/>
    <m/>
    <n v="20550000"/>
    <n v="0"/>
    <n v="-4000000"/>
    <n v="16550000"/>
    <m/>
    <m/>
    <x v="1"/>
    <n v="0"/>
  </r>
  <r>
    <x v="1"/>
    <x v="17"/>
    <x v="17"/>
    <x v="5"/>
    <s v="Planeación, seguimiento y evaluación de políticas públicas"/>
    <x v="2"/>
    <x v="498"/>
    <x v="3"/>
    <x v="640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033160"/>
    <n v="0"/>
    <n v="0"/>
    <n v="1033160"/>
    <n v="1297130"/>
    <m/>
    <x v="1"/>
    <n v="1297130"/>
  </r>
  <r>
    <x v="1"/>
    <x v="17"/>
    <x v="17"/>
    <x v="5"/>
    <s v="Planeación, seguimiento y evaluación de políticas públicas"/>
    <x v="2"/>
    <x v="498"/>
    <x v="3"/>
    <x v="640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0489044"/>
    <n v="0"/>
    <n v="-1478116"/>
    <n v="19010928"/>
    <n v="25708324"/>
    <m/>
    <x v="1"/>
    <n v="25708324"/>
  </r>
  <r>
    <x v="1"/>
    <x v="17"/>
    <x v="17"/>
    <x v="5"/>
    <s v="Planeación, seguimiento y evaluación de políticas públicas"/>
    <x v="2"/>
    <x v="498"/>
    <x v="22"/>
    <x v="93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86219"/>
    <n v="0"/>
    <n v="0"/>
    <n v="386219"/>
    <n v="472150"/>
    <m/>
    <x v="1"/>
    <n v="472150"/>
  </r>
  <r>
    <x v="1"/>
    <x v="17"/>
    <x v="17"/>
    <x v="5"/>
    <s v="Planeación, seguimiento y evaluación de políticas públicas"/>
    <x v="2"/>
    <x v="498"/>
    <x v="22"/>
    <x v="9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3628551"/>
    <n v="0"/>
    <n v="-555086"/>
    <n v="23073465"/>
    <n v="22802185"/>
    <m/>
    <x v="1"/>
    <n v="22802185"/>
  </r>
  <r>
    <x v="1"/>
    <x v="17"/>
    <x v="17"/>
    <x v="5"/>
    <s v="Planeación, seguimiento y evaluación de políticas públicas"/>
    <x v="2"/>
    <x v="498"/>
    <x v="24"/>
    <x v="641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19501"/>
    <n v="0"/>
    <n v="0"/>
    <n v="119501"/>
    <n v="149490"/>
    <m/>
    <x v="1"/>
    <n v="149490"/>
  </r>
  <r>
    <x v="1"/>
    <x v="17"/>
    <x v="17"/>
    <x v="5"/>
    <s v="Planeación, seguimiento y evaluación de políticas públicas"/>
    <x v="2"/>
    <x v="498"/>
    <x v="24"/>
    <x v="641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952444"/>
    <n v="0"/>
    <n v="-341878"/>
    <n v="5610566"/>
    <n v="8341660"/>
    <m/>
    <x v="1"/>
    <n v="8341660"/>
  </r>
  <r>
    <x v="1"/>
    <x v="17"/>
    <x v="17"/>
    <x v="5"/>
    <s v="Planeación, seguimiento y evaluación de políticas públicas"/>
    <x v="2"/>
    <x v="498"/>
    <x v="18"/>
    <x v="642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89165"/>
    <n v="0"/>
    <n v="0"/>
    <n v="89165"/>
    <n v="129058"/>
    <m/>
    <x v="1"/>
    <n v="129058"/>
  </r>
  <r>
    <x v="1"/>
    <x v="17"/>
    <x v="17"/>
    <x v="5"/>
    <s v="Planeación, seguimiento y evaluación de políticas públicas"/>
    <x v="2"/>
    <x v="498"/>
    <x v="18"/>
    <x v="642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089024"/>
    <n v="0"/>
    <n v="-161405"/>
    <n v="1927619"/>
    <n v="2042788"/>
    <m/>
    <x v="1"/>
    <n v="2042788"/>
  </r>
  <r>
    <x v="1"/>
    <x v="17"/>
    <x v="17"/>
    <x v="5"/>
    <s v="Planeación, seguimiento y evaluación de políticas públicas"/>
    <x v="2"/>
    <x v="498"/>
    <x v="107"/>
    <x v="643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94418"/>
    <n v="0"/>
    <n v="0"/>
    <n v="194418"/>
    <n v="208976"/>
    <m/>
    <x v="1"/>
    <n v="208976"/>
  </r>
  <r>
    <x v="1"/>
    <x v="17"/>
    <x v="17"/>
    <x v="5"/>
    <s v="Planeación, seguimiento y evaluación de políticas públicas"/>
    <x v="2"/>
    <x v="498"/>
    <x v="107"/>
    <x v="64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4015408"/>
    <n v="0"/>
    <n v="-234483"/>
    <n v="3780925"/>
    <n v="3590649"/>
    <m/>
    <x v="1"/>
    <n v="3590649"/>
  </r>
  <r>
    <x v="1"/>
    <x v="17"/>
    <x v="17"/>
    <x v="5"/>
    <s v="Planeación, seguimiento y evaluación de políticas públicas"/>
    <x v="2"/>
    <x v="498"/>
    <x v="83"/>
    <x v="644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18547"/>
    <n v="0"/>
    <n v="0"/>
    <n v="118547"/>
    <n v="149035"/>
    <m/>
    <x v="1"/>
    <n v="149035"/>
  </r>
  <r>
    <x v="1"/>
    <x v="17"/>
    <x v="17"/>
    <x v="5"/>
    <s v="Planeación, seguimiento y evaluación de políticas públicas"/>
    <x v="2"/>
    <x v="498"/>
    <x v="83"/>
    <x v="644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672696"/>
    <n v="0"/>
    <n v="-171446"/>
    <n v="2501250"/>
    <n v="2518048"/>
    <m/>
    <x v="1"/>
    <n v="2518048"/>
  </r>
  <r>
    <x v="1"/>
    <x v="17"/>
    <x v="17"/>
    <x v="5"/>
    <s v="Planeación, seguimiento y evaluación de políticas públicas"/>
    <x v="2"/>
    <x v="498"/>
    <x v="108"/>
    <x v="645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46919"/>
    <n v="0"/>
    <n v="0"/>
    <n v="146919"/>
    <n v="148938"/>
    <m/>
    <x v="1"/>
    <n v="148938"/>
  </r>
  <r>
    <x v="1"/>
    <x v="17"/>
    <x v="17"/>
    <x v="5"/>
    <s v="Planeación, seguimiento y evaluación de políticas públicas"/>
    <x v="2"/>
    <x v="498"/>
    <x v="108"/>
    <x v="645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560296"/>
    <n v="0"/>
    <n v="-180451"/>
    <n v="2379845"/>
    <n v="2178719"/>
    <m/>
    <x v="1"/>
    <n v="2178719"/>
  </r>
  <r>
    <x v="1"/>
    <x v="17"/>
    <x v="17"/>
    <x v="5"/>
    <s v="Planeación, seguimiento y evaluación de políticas públicas"/>
    <x v="2"/>
    <x v="498"/>
    <x v="109"/>
    <x v="646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62938"/>
    <n v="0"/>
    <n v="0"/>
    <n v="162938"/>
    <n v="187466"/>
    <m/>
    <x v="1"/>
    <n v="187466"/>
  </r>
  <r>
    <x v="1"/>
    <x v="17"/>
    <x v="17"/>
    <x v="5"/>
    <s v="Planeación, seguimiento y evaluación de políticas públicas"/>
    <x v="2"/>
    <x v="498"/>
    <x v="109"/>
    <x v="646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132632"/>
    <n v="0"/>
    <n v="-220367"/>
    <n v="2912265"/>
    <n v="2767342"/>
    <m/>
    <x v="1"/>
    <n v="2767342"/>
  </r>
  <r>
    <x v="1"/>
    <x v="17"/>
    <x v="17"/>
    <x v="5"/>
    <s v="Planeación, seguimiento y evaluación de políticas públicas"/>
    <x v="2"/>
    <x v="498"/>
    <x v="110"/>
    <x v="647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30367"/>
    <n v="0"/>
    <n v="0"/>
    <n v="130367"/>
    <n v="164386"/>
    <m/>
    <x v="1"/>
    <n v="164386"/>
  </r>
  <r>
    <x v="1"/>
    <x v="17"/>
    <x v="17"/>
    <x v="5"/>
    <s v="Planeación, seguimiento y evaluación de políticas públicas"/>
    <x v="2"/>
    <x v="498"/>
    <x v="110"/>
    <x v="647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762756"/>
    <n v="0"/>
    <n v="-174372"/>
    <n v="2588384"/>
    <n v="2537609"/>
    <m/>
    <x v="1"/>
    <n v="2537609"/>
  </r>
  <r>
    <x v="1"/>
    <x v="17"/>
    <x v="17"/>
    <x v="5"/>
    <s v="Planeación, seguimiento y evaluación de políticas públicas"/>
    <x v="2"/>
    <x v="498"/>
    <x v="26"/>
    <x v="648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515145"/>
    <n v="0"/>
    <n v="0"/>
    <n v="515145"/>
    <n v="509526"/>
    <m/>
    <x v="1"/>
    <n v="509526"/>
  </r>
  <r>
    <x v="1"/>
    <x v="17"/>
    <x v="17"/>
    <x v="5"/>
    <s v="Planeación, seguimiento y evaluación de políticas públicas"/>
    <x v="2"/>
    <x v="498"/>
    <x v="26"/>
    <x v="648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9700486"/>
    <n v="0"/>
    <n v="-422692"/>
    <n v="9277794"/>
    <n v="7995733"/>
    <m/>
    <x v="1"/>
    <n v="7995733"/>
  </r>
  <r>
    <x v="1"/>
    <x v="17"/>
    <x v="17"/>
    <x v="5"/>
    <s v="Planeación, seguimiento y evaluación de políticas públicas"/>
    <x v="2"/>
    <x v="498"/>
    <x v="27"/>
    <x v="649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217862"/>
    <n v="0"/>
    <n v="0"/>
    <n v="217862"/>
    <n v="258411"/>
    <m/>
    <x v="1"/>
    <n v="258411"/>
  </r>
  <r>
    <x v="1"/>
    <x v="17"/>
    <x v="17"/>
    <x v="5"/>
    <s v="Planeación, seguimiento y evaluación de políticas públicas"/>
    <x v="2"/>
    <x v="498"/>
    <x v="27"/>
    <x v="649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4179734"/>
    <n v="0"/>
    <n v="-237353"/>
    <n v="3942381"/>
    <n v="3869845"/>
    <m/>
    <x v="1"/>
    <n v="3869845"/>
  </r>
  <r>
    <x v="1"/>
    <x v="17"/>
    <x v="17"/>
    <x v="5"/>
    <s v="Planeación, seguimiento y evaluación de políticas públicas"/>
    <x v="2"/>
    <x v="498"/>
    <x v="25"/>
    <x v="650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43970"/>
    <n v="0"/>
    <n v="0"/>
    <n v="143970"/>
    <n v="199565"/>
    <m/>
    <x v="1"/>
    <n v="199565"/>
  </r>
  <r>
    <x v="1"/>
    <x v="17"/>
    <x v="17"/>
    <x v="5"/>
    <s v="Planeación, seguimiento y evaluación de políticas públicas"/>
    <x v="2"/>
    <x v="498"/>
    <x v="25"/>
    <x v="650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544969"/>
    <n v="0"/>
    <n v="-178186"/>
    <n v="2366783"/>
    <n v="2415246"/>
    <m/>
    <x v="1"/>
    <n v="2415246"/>
  </r>
  <r>
    <x v="1"/>
    <x v="17"/>
    <x v="17"/>
    <x v="5"/>
    <s v="Planeación, seguimiento y evaluación de políticas públicas"/>
    <x v="2"/>
    <x v="498"/>
    <x v="28"/>
    <x v="651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49296"/>
    <n v="0"/>
    <n v="0"/>
    <n v="149296"/>
    <n v="187661"/>
    <m/>
    <x v="1"/>
    <n v="187661"/>
  </r>
  <r>
    <x v="1"/>
    <x v="17"/>
    <x v="17"/>
    <x v="5"/>
    <s v="Planeación, seguimiento y evaluación de políticas públicas"/>
    <x v="2"/>
    <x v="498"/>
    <x v="28"/>
    <x v="651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111382"/>
    <n v="0"/>
    <n v="-217836"/>
    <n v="2893546"/>
    <n v="2801848"/>
    <m/>
    <x v="1"/>
    <n v="2801848"/>
  </r>
  <r>
    <x v="1"/>
    <x v="17"/>
    <x v="17"/>
    <x v="5"/>
    <s v="Planeación, seguimiento y evaluación de políticas públicas"/>
    <x v="2"/>
    <x v="498"/>
    <x v="29"/>
    <x v="652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62859"/>
    <n v="0"/>
    <n v="0"/>
    <n v="162859"/>
    <n v="152044"/>
    <m/>
    <x v="1"/>
    <n v="152044"/>
  </r>
  <r>
    <x v="1"/>
    <x v="17"/>
    <x v="17"/>
    <x v="5"/>
    <s v="Planeación, seguimiento y evaluación de políticas públicas"/>
    <x v="2"/>
    <x v="498"/>
    <x v="29"/>
    <x v="652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274747"/>
    <n v="0"/>
    <n v="-218865"/>
    <n v="3055882"/>
    <n v="2611704"/>
    <m/>
    <x v="1"/>
    <n v="2611704"/>
  </r>
  <r>
    <x v="1"/>
    <x v="17"/>
    <x v="17"/>
    <x v="5"/>
    <s v="Planeación, seguimiento y evaluación de políticas públicas"/>
    <x v="2"/>
    <x v="498"/>
    <x v="111"/>
    <x v="653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90183"/>
    <n v="0"/>
    <n v="0"/>
    <n v="190183"/>
    <n v="240093"/>
    <m/>
    <x v="1"/>
    <n v="240093"/>
  </r>
  <r>
    <x v="1"/>
    <x v="17"/>
    <x v="17"/>
    <x v="5"/>
    <s v="Planeación, seguimiento y evaluación de políticas públicas"/>
    <x v="2"/>
    <x v="498"/>
    <x v="111"/>
    <x v="65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481123"/>
    <n v="0"/>
    <n v="-224932"/>
    <n v="3256191"/>
    <n v="3313168"/>
    <m/>
    <x v="1"/>
    <n v="3313168"/>
  </r>
  <r>
    <x v="1"/>
    <x v="17"/>
    <x v="17"/>
    <x v="5"/>
    <s v="Planeación, seguimiento y evaluación de políticas públicas"/>
    <x v="2"/>
    <x v="498"/>
    <x v="121"/>
    <x v="654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506870"/>
    <n v="0"/>
    <n v="0"/>
    <n v="506870"/>
    <n v="701904"/>
    <m/>
    <x v="1"/>
    <n v="701904"/>
  </r>
  <r>
    <x v="1"/>
    <x v="17"/>
    <x v="17"/>
    <x v="5"/>
    <s v="Planeación, seguimiento y evaluación de políticas públicas"/>
    <x v="2"/>
    <x v="498"/>
    <x v="121"/>
    <x v="654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6823720"/>
    <n v="0"/>
    <n v="-341999"/>
    <n v="6481721"/>
    <n v="7003954"/>
    <m/>
    <x v="1"/>
    <n v="7003954"/>
  </r>
  <r>
    <x v="1"/>
    <x v="17"/>
    <x v="17"/>
    <x v="5"/>
    <s v="Planeación, seguimiento y evaluación de políticas públicas"/>
    <x v="2"/>
    <x v="498"/>
    <x v="122"/>
    <x v="655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50909"/>
    <n v="0"/>
    <n v="0"/>
    <n v="350909"/>
    <n v="392151"/>
    <m/>
    <x v="1"/>
    <n v="392151"/>
  </r>
  <r>
    <x v="1"/>
    <x v="17"/>
    <x v="17"/>
    <x v="5"/>
    <s v="Planeación, seguimiento y evaluación de políticas públicas"/>
    <x v="2"/>
    <x v="498"/>
    <x v="122"/>
    <x v="655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6669008"/>
    <n v="0"/>
    <n v="-367887"/>
    <n v="6301121"/>
    <n v="5995791"/>
    <m/>
    <x v="1"/>
    <n v="5995791"/>
  </r>
  <r>
    <x v="1"/>
    <x v="17"/>
    <x v="17"/>
    <x v="5"/>
    <s v="Planeación, seguimiento y evaluación de políticas públicas"/>
    <x v="2"/>
    <x v="498"/>
    <x v="113"/>
    <x v="656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273061"/>
    <n v="0"/>
    <n v="0"/>
    <n v="273061"/>
    <n v="294078"/>
    <m/>
    <x v="1"/>
    <n v="294078"/>
  </r>
  <r>
    <x v="1"/>
    <x v="17"/>
    <x v="17"/>
    <x v="5"/>
    <s v="Planeación, seguimiento y evaluación de políticas públicas"/>
    <x v="2"/>
    <x v="498"/>
    <x v="113"/>
    <x v="656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4414534"/>
    <n v="0"/>
    <n v="-259168"/>
    <n v="4155366"/>
    <n v="3821230"/>
    <m/>
    <x v="1"/>
    <n v="3821230"/>
  </r>
  <r>
    <x v="1"/>
    <x v="17"/>
    <x v="17"/>
    <x v="5"/>
    <s v="Planeación, seguimiento y evaluación de políticas públicas"/>
    <x v="2"/>
    <x v="498"/>
    <x v="112"/>
    <x v="657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597650"/>
    <n v="0"/>
    <n v="0"/>
    <n v="597650"/>
    <n v="604059"/>
    <m/>
    <x v="1"/>
    <n v="604059"/>
  </r>
  <r>
    <x v="1"/>
    <x v="17"/>
    <x v="17"/>
    <x v="5"/>
    <s v="Planeación, seguimiento y evaluación de políticas públicas"/>
    <x v="2"/>
    <x v="498"/>
    <x v="112"/>
    <x v="657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9441879"/>
    <n v="0"/>
    <n v="-439440"/>
    <n v="9002439"/>
    <n v="8035804"/>
    <m/>
    <x v="1"/>
    <n v="8035804"/>
  </r>
  <r>
    <x v="1"/>
    <x v="17"/>
    <x v="17"/>
    <x v="5"/>
    <s v="Planeación, seguimiento y evaluación de políticas públicas"/>
    <x v="2"/>
    <x v="498"/>
    <x v="123"/>
    <x v="658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259301"/>
    <n v="0"/>
    <n v="0"/>
    <n v="259301"/>
    <n v="294028"/>
    <m/>
    <x v="1"/>
    <n v="294028"/>
  </r>
  <r>
    <x v="1"/>
    <x v="17"/>
    <x v="17"/>
    <x v="5"/>
    <s v="Planeación, seguimiento y evaluación de políticas públicas"/>
    <x v="2"/>
    <x v="498"/>
    <x v="123"/>
    <x v="658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4113265"/>
    <n v="0"/>
    <n v="-255018"/>
    <n v="3858247"/>
    <n v="3731090"/>
    <m/>
    <x v="1"/>
    <n v="3731090"/>
  </r>
  <r>
    <x v="1"/>
    <x v="17"/>
    <x v="17"/>
    <x v="5"/>
    <s v="Planeación, seguimiento y evaluación de políticas públicas"/>
    <x v="2"/>
    <x v="498"/>
    <x v="116"/>
    <x v="659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63017"/>
    <n v="0"/>
    <n v="0"/>
    <n v="163017"/>
    <n v="169829"/>
    <m/>
    <x v="1"/>
    <n v="169829"/>
  </r>
  <r>
    <x v="1"/>
    <x v="17"/>
    <x v="17"/>
    <x v="5"/>
    <s v="Planeación, seguimiento y evaluación de políticas públicas"/>
    <x v="2"/>
    <x v="498"/>
    <x v="116"/>
    <x v="659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402727"/>
    <n v="0"/>
    <n v="-222063"/>
    <n v="3180664"/>
    <n v="2816047"/>
    <m/>
    <x v="1"/>
    <n v="2816047"/>
  </r>
  <r>
    <x v="1"/>
    <x v="17"/>
    <x v="17"/>
    <x v="5"/>
    <s v="Planeación, seguimiento y evaluación de políticas públicas"/>
    <x v="2"/>
    <x v="498"/>
    <x v="114"/>
    <x v="660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76580"/>
    <n v="0"/>
    <n v="0"/>
    <n v="176580"/>
    <n v="187371"/>
    <m/>
    <x v="1"/>
    <n v="187371"/>
  </r>
  <r>
    <x v="1"/>
    <x v="17"/>
    <x v="17"/>
    <x v="5"/>
    <s v="Planeación, seguimiento y evaluación de políticas públicas"/>
    <x v="2"/>
    <x v="498"/>
    <x v="114"/>
    <x v="660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137197"/>
    <n v="0"/>
    <n v="-222806"/>
    <n v="2914391"/>
    <n v="2679714"/>
    <m/>
    <x v="1"/>
    <n v="2679714"/>
  </r>
  <r>
    <x v="1"/>
    <x v="17"/>
    <x v="17"/>
    <x v="5"/>
    <s v="Planeación, seguimiento y evaluación de políticas públicas"/>
    <x v="2"/>
    <x v="498"/>
    <x v="117"/>
    <x v="661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844589"/>
    <n v="0"/>
    <n v="0"/>
    <n v="844589"/>
    <n v="957661"/>
    <m/>
    <x v="1"/>
    <n v="957661"/>
  </r>
  <r>
    <x v="1"/>
    <x v="17"/>
    <x v="17"/>
    <x v="5"/>
    <s v="Planeación, seguimiento y evaluación de políticas públicas"/>
    <x v="2"/>
    <x v="498"/>
    <x v="117"/>
    <x v="661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1839912"/>
    <n v="0"/>
    <n v="-513365"/>
    <n v="11326547"/>
    <n v="10379982"/>
    <m/>
    <x v="1"/>
    <n v="10379982"/>
  </r>
  <r>
    <x v="1"/>
    <x v="17"/>
    <x v="17"/>
    <x v="5"/>
    <s v="Planeación, seguimiento y evaluación de políticas públicas"/>
    <x v="2"/>
    <x v="498"/>
    <x v="124"/>
    <x v="662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14224"/>
    <n v="0"/>
    <n v="0"/>
    <n v="314224"/>
    <n v="382561"/>
    <m/>
    <x v="1"/>
    <n v="382561"/>
  </r>
  <r>
    <x v="1"/>
    <x v="17"/>
    <x v="17"/>
    <x v="5"/>
    <s v="Planeación, seguimiento y evaluación de políticas públicas"/>
    <x v="2"/>
    <x v="498"/>
    <x v="124"/>
    <x v="662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251991"/>
    <n v="0"/>
    <n v="-273691"/>
    <n v="4978300"/>
    <n v="4691326"/>
    <m/>
    <x v="1"/>
    <n v="4691326"/>
  </r>
  <r>
    <x v="1"/>
    <x v="17"/>
    <x v="17"/>
    <x v="5"/>
    <s v="Planeación, seguimiento y evaluación de políticas públicas"/>
    <x v="2"/>
    <x v="498"/>
    <x v="125"/>
    <x v="663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212969"/>
    <n v="0"/>
    <n v="0"/>
    <n v="212969"/>
    <n v="288438"/>
    <m/>
    <x v="1"/>
    <n v="288438"/>
  </r>
  <r>
    <x v="1"/>
    <x v="17"/>
    <x v="17"/>
    <x v="5"/>
    <s v="Planeación, seguimiento y evaluación de políticas públicas"/>
    <x v="2"/>
    <x v="498"/>
    <x v="125"/>
    <x v="66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347356"/>
    <n v="0"/>
    <n v="-203991"/>
    <n v="3143365"/>
    <n v="3173371"/>
    <m/>
    <x v="1"/>
    <n v="3173371"/>
  </r>
  <r>
    <x v="1"/>
    <x v="17"/>
    <x v="17"/>
    <x v="5"/>
    <s v="Planeación, seguimiento y evaluación de políticas públicas"/>
    <x v="2"/>
    <x v="498"/>
    <x v="126"/>
    <x v="664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94497"/>
    <n v="0"/>
    <n v="0"/>
    <n v="194497"/>
    <n v="227332"/>
    <m/>
    <x v="1"/>
    <n v="227332"/>
  </r>
  <r>
    <x v="1"/>
    <x v="17"/>
    <x v="17"/>
    <x v="5"/>
    <s v="Planeación, seguimiento y evaluación de políticas públicas"/>
    <x v="2"/>
    <x v="498"/>
    <x v="126"/>
    <x v="664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470358"/>
    <n v="0"/>
    <n v="-234688"/>
    <n v="3235670"/>
    <n v="3055219"/>
    <m/>
    <x v="1"/>
    <n v="3055219"/>
  </r>
  <r>
    <x v="1"/>
    <x v="17"/>
    <x v="17"/>
    <x v="5"/>
    <s v="Planeación, seguimiento y evaluación de políticas públicas"/>
    <x v="2"/>
    <x v="498"/>
    <x v="127"/>
    <x v="665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82868"/>
    <n v="0"/>
    <n v="0"/>
    <n v="382868"/>
    <n v="346847"/>
    <m/>
    <x v="1"/>
    <n v="346847"/>
  </r>
  <r>
    <x v="1"/>
    <x v="17"/>
    <x v="17"/>
    <x v="5"/>
    <s v="Planeación, seguimiento y evaluación de políticas públicas"/>
    <x v="2"/>
    <x v="498"/>
    <x v="127"/>
    <x v="665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521914"/>
    <n v="0"/>
    <n v="-293239"/>
    <n v="5228675"/>
    <n v="4198214"/>
    <m/>
    <x v="1"/>
    <n v="4198214"/>
  </r>
  <r>
    <x v="1"/>
    <x v="17"/>
    <x v="17"/>
    <x v="5"/>
    <s v="Planeación, seguimiento y evaluación de políticas públicas"/>
    <x v="2"/>
    <x v="498"/>
    <x v="128"/>
    <x v="666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507029"/>
    <n v="0"/>
    <n v="0"/>
    <n v="507029"/>
    <n v="506857"/>
    <m/>
    <x v="1"/>
    <n v="506857"/>
  </r>
  <r>
    <x v="1"/>
    <x v="17"/>
    <x v="17"/>
    <x v="5"/>
    <s v="Planeación, seguimiento y evaluación de políticas públicas"/>
    <x v="2"/>
    <x v="498"/>
    <x v="128"/>
    <x v="666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7940256"/>
    <n v="0"/>
    <n v="-343648"/>
    <n v="7596608"/>
    <n v="6383575"/>
    <m/>
    <x v="1"/>
    <n v="6383575"/>
  </r>
  <r>
    <x v="1"/>
    <x v="17"/>
    <x v="17"/>
    <x v="5"/>
    <s v="Planeación, seguimiento y evaluación de políticas públicas"/>
    <x v="2"/>
    <x v="498"/>
    <x v="129"/>
    <x v="667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68872"/>
    <n v="0"/>
    <n v="0"/>
    <n v="368872"/>
    <n v="435333"/>
    <m/>
    <x v="1"/>
    <n v="435333"/>
  </r>
  <r>
    <x v="1"/>
    <x v="17"/>
    <x v="17"/>
    <x v="5"/>
    <s v="Planeación, seguimiento y evaluación de políticas públicas"/>
    <x v="2"/>
    <x v="498"/>
    <x v="129"/>
    <x v="667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889422"/>
    <n v="0"/>
    <n v="-289161"/>
    <n v="5600261"/>
    <n v="5305541"/>
    <m/>
    <x v="1"/>
    <n v="5305541"/>
  </r>
  <r>
    <x v="1"/>
    <x v="17"/>
    <x v="17"/>
    <x v="5"/>
    <s v="Planeación, seguimiento y evaluación de políticas públicas"/>
    <x v="2"/>
    <x v="498"/>
    <x v="130"/>
    <x v="668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74796"/>
    <n v="0"/>
    <n v="0"/>
    <n v="174796"/>
    <n v="203008"/>
    <m/>
    <x v="1"/>
    <n v="203008"/>
  </r>
  <r>
    <x v="1"/>
    <x v="17"/>
    <x v="17"/>
    <x v="5"/>
    <s v="Planeación, seguimiento y evaluación de políticas públicas"/>
    <x v="2"/>
    <x v="498"/>
    <x v="130"/>
    <x v="668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3089717"/>
    <n v="0"/>
    <n v="-188503"/>
    <n v="2901214"/>
    <n v="2808786"/>
    <m/>
    <x v="1"/>
    <n v="2808786"/>
  </r>
  <r>
    <x v="1"/>
    <x v="17"/>
    <x v="17"/>
    <x v="5"/>
    <s v="Planeación, seguimiento y evaluación de políticas públicas"/>
    <x v="2"/>
    <x v="498"/>
    <x v="131"/>
    <x v="669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14461"/>
    <n v="0"/>
    <n v="0"/>
    <n v="314461"/>
    <n v="311860"/>
    <m/>
    <x v="1"/>
    <n v="311860"/>
  </r>
  <r>
    <x v="1"/>
    <x v="17"/>
    <x v="17"/>
    <x v="5"/>
    <s v="Planeación, seguimiento y evaluación de políticas públicas"/>
    <x v="2"/>
    <x v="498"/>
    <x v="131"/>
    <x v="669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155052"/>
    <n v="0"/>
    <n v="-276470"/>
    <n v="4878582"/>
    <n v="4031086"/>
    <m/>
    <x v="1"/>
    <n v="4031086"/>
  </r>
  <r>
    <x v="1"/>
    <x v="17"/>
    <x v="17"/>
    <x v="5"/>
    <s v="Planeación, seguimiento y evaluación de políticas públicas"/>
    <x v="2"/>
    <x v="498"/>
    <x v="132"/>
    <x v="670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44166"/>
    <n v="0"/>
    <n v="0"/>
    <n v="144166"/>
    <n v="164433"/>
    <m/>
    <x v="1"/>
    <n v="164433"/>
  </r>
  <r>
    <x v="1"/>
    <x v="17"/>
    <x v="17"/>
    <x v="5"/>
    <s v="Planeación, seguimiento y evaluación de políticas públicas"/>
    <x v="2"/>
    <x v="498"/>
    <x v="132"/>
    <x v="670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525893"/>
    <n v="0"/>
    <n v="-179977"/>
    <n v="2345916"/>
    <n v="2179601"/>
    <m/>
    <x v="1"/>
    <n v="2179601"/>
  </r>
  <r>
    <x v="1"/>
    <x v="17"/>
    <x v="17"/>
    <x v="5"/>
    <s v="Planeación, seguimiento y evaluación de políticas públicas"/>
    <x v="2"/>
    <x v="498"/>
    <x v="133"/>
    <x v="671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570682"/>
    <n v="0"/>
    <n v="0"/>
    <n v="570682"/>
    <n v="551580"/>
    <m/>
    <x v="1"/>
    <n v="551580"/>
  </r>
  <r>
    <x v="1"/>
    <x v="17"/>
    <x v="17"/>
    <x v="5"/>
    <s v="Planeación, seguimiento y evaluación de políticas públicas"/>
    <x v="2"/>
    <x v="498"/>
    <x v="133"/>
    <x v="671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8790754"/>
    <n v="0"/>
    <n v="-438984"/>
    <n v="8351770"/>
    <n v="7084145"/>
    <m/>
    <x v="1"/>
    <n v="7084145"/>
  </r>
  <r>
    <x v="1"/>
    <x v="17"/>
    <x v="17"/>
    <x v="5"/>
    <s v="Planeación, seguimiento y evaluación de políticas públicas"/>
    <x v="2"/>
    <x v="498"/>
    <x v="134"/>
    <x v="672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65625"/>
    <n v="0"/>
    <n v="0"/>
    <n v="365625"/>
    <n v="429273"/>
    <m/>
    <x v="1"/>
    <n v="429273"/>
  </r>
  <r>
    <x v="1"/>
    <x v="17"/>
    <x v="17"/>
    <x v="5"/>
    <s v="Planeación, seguimiento y evaluación de políticas públicas"/>
    <x v="2"/>
    <x v="498"/>
    <x v="134"/>
    <x v="672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254159"/>
    <n v="0"/>
    <n v="-297500"/>
    <n v="4956659"/>
    <n v="4738530"/>
    <m/>
    <x v="1"/>
    <n v="4738530"/>
  </r>
  <r>
    <x v="1"/>
    <x v="17"/>
    <x v="17"/>
    <x v="5"/>
    <s v="Planeación, seguimiento y evaluación de políticas públicas"/>
    <x v="2"/>
    <x v="498"/>
    <x v="135"/>
    <x v="673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35417"/>
    <n v="0"/>
    <n v="0"/>
    <n v="135417"/>
    <n v="152044"/>
    <m/>
    <x v="1"/>
    <n v="152044"/>
  </r>
  <r>
    <x v="1"/>
    <x v="17"/>
    <x v="17"/>
    <x v="5"/>
    <s v="Planeación, seguimiento y evaluación de políticas públicas"/>
    <x v="2"/>
    <x v="498"/>
    <x v="135"/>
    <x v="673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2773624"/>
    <n v="0"/>
    <n v="-210819"/>
    <n v="2562805"/>
    <n v="2530497"/>
    <m/>
    <x v="1"/>
    <n v="2530497"/>
  </r>
  <r>
    <x v="1"/>
    <x v="17"/>
    <x v="17"/>
    <x v="5"/>
    <s v="Planeación, seguimiento y evaluación de políticas públicas"/>
    <x v="2"/>
    <x v="498"/>
    <x v="0"/>
    <x v="674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1"/>
    <m/>
    <x v="0"/>
    <x v="0"/>
    <m/>
    <n v="643685"/>
    <n v="0"/>
    <n v="0"/>
    <n v="643685"/>
    <n v="827959"/>
    <m/>
    <x v="1"/>
    <n v="827959"/>
  </r>
  <r>
    <x v="1"/>
    <x v="17"/>
    <x v="17"/>
    <x v="5"/>
    <s v="Planeación, seguimiento y evaluación de políticas públicas"/>
    <x v="2"/>
    <x v="498"/>
    <x v="0"/>
    <x v="674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1"/>
    <m/>
    <x v="0"/>
    <x v="0"/>
    <m/>
    <n v="17370379"/>
    <n v="0"/>
    <n v="-1213244"/>
    <n v="16157135"/>
    <n v="39731088"/>
    <m/>
    <x v="1"/>
    <n v="39731088"/>
  </r>
  <r>
    <x v="1"/>
    <x v="17"/>
    <x v="17"/>
    <x v="5"/>
    <s v="Planeación, seguimiento y evaluación de políticas públicas"/>
    <x v="2"/>
    <x v="498"/>
    <x v="0"/>
    <x v="674"/>
    <n v="3"/>
    <s v="Desarrollo Económico"/>
    <n v="8"/>
    <s v="Temas Agrarios"/>
    <n v="1"/>
    <x v="61"/>
    <x v="0"/>
    <x v="129"/>
    <n v="2"/>
    <s v="Gasto de capital"/>
    <x v="0"/>
    <x v="0"/>
    <x v="0"/>
    <x v="0"/>
    <x v="1"/>
    <x v="0"/>
    <x v="1"/>
    <m/>
    <x v="0"/>
    <x v="0"/>
    <m/>
    <n v="8000000"/>
    <n v="0"/>
    <n v="-3000000"/>
    <n v="5000000"/>
    <m/>
    <m/>
    <x v="1"/>
    <n v="0"/>
  </r>
  <r>
    <x v="1"/>
    <x v="17"/>
    <x v="17"/>
    <x v="5"/>
    <s v="Planeación, seguimiento y evaluación de políticas públicas"/>
    <x v="2"/>
    <x v="498"/>
    <x v="4"/>
    <x v="635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00376"/>
    <n v="0"/>
    <n v="0"/>
    <n v="300376"/>
    <n v="319036"/>
    <m/>
    <x v="1"/>
    <n v="319036"/>
  </r>
  <r>
    <x v="1"/>
    <x v="17"/>
    <x v="17"/>
    <x v="5"/>
    <s v="Planeación, seguimiento y evaluación de políticas públicas"/>
    <x v="2"/>
    <x v="498"/>
    <x v="4"/>
    <x v="635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5518108"/>
    <n v="0"/>
    <n v="-301739"/>
    <n v="5216369"/>
    <n v="8656235"/>
    <m/>
    <x v="1"/>
    <n v="8656235"/>
  </r>
  <r>
    <x v="1"/>
    <x v="17"/>
    <x v="17"/>
    <x v="5"/>
    <s v="Planeación, seguimiento y evaluación de políticas públicas"/>
    <x v="2"/>
    <x v="498"/>
    <x v="5"/>
    <x v="634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594731"/>
    <n v="0"/>
    <n v="0"/>
    <n v="594731"/>
    <n v="733821"/>
    <m/>
    <x v="1"/>
    <n v="733821"/>
  </r>
  <r>
    <x v="1"/>
    <x v="17"/>
    <x v="17"/>
    <x v="5"/>
    <s v="Planeación, seguimiento y evaluación de políticas públicas"/>
    <x v="2"/>
    <x v="498"/>
    <x v="5"/>
    <x v="634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3012839"/>
    <n v="0"/>
    <n v="-870383"/>
    <n v="12142456"/>
    <n v="12622364"/>
    <m/>
    <x v="1"/>
    <n v="12622364"/>
  </r>
  <r>
    <x v="1"/>
    <x v="17"/>
    <x v="17"/>
    <x v="5"/>
    <s v="Planeación, seguimiento y evaluación de políticas públicas"/>
    <x v="2"/>
    <x v="498"/>
    <x v="7"/>
    <x v="675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604547"/>
    <n v="0"/>
    <n v="0"/>
    <n v="604547"/>
    <n v="672554"/>
    <m/>
    <x v="1"/>
    <n v="672554"/>
  </r>
  <r>
    <x v="1"/>
    <x v="17"/>
    <x v="17"/>
    <x v="5"/>
    <s v="Planeación, seguimiento y evaluación de políticas públicas"/>
    <x v="2"/>
    <x v="498"/>
    <x v="7"/>
    <x v="675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6435005"/>
    <n v="0"/>
    <n v="-1254994"/>
    <n v="15180011"/>
    <n v="32485878"/>
    <m/>
    <x v="1"/>
    <n v="32485878"/>
  </r>
  <r>
    <x v="1"/>
    <x v="17"/>
    <x v="17"/>
    <x v="5"/>
    <s v="Planeación, seguimiento y evaluación de políticas públicas"/>
    <x v="2"/>
    <x v="498"/>
    <x v="7"/>
    <x v="675"/>
    <n v="3"/>
    <s v="Desarrollo Económico"/>
    <n v="8"/>
    <s v="Temas Agrarios"/>
    <n v="1"/>
    <x v="61"/>
    <x v="0"/>
    <x v="129"/>
    <n v="2"/>
    <s v="Gasto de capital"/>
    <x v="0"/>
    <x v="0"/>
    <x v="0"/>
    <x v="0"/>
    <x v="1"/>
    <x v="0"/>
    <x v="0"/>
    <m/>
    <x v="0"/>
    <x v="0"/>
    <m/>
    <n v="11914400"/>
    <n v="0"/>
    <n v="-4780306"/>
    <n v="7134094"/>
    <m/>
    <m/>
    <x v="1"/>
    <n v="0"/>
  </r>
  <r>
    <x v="1"/>
    <x v="17"/>
    <x v="17"/>
    <x v="5"/>
    <s v="Planeación, seguimiento y evaluación de políticas públicas"/>
    <x v="2"/>
    <x v="498"/>
    <x v="53"/>
    <x v="676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308807"/>
    <n v="0"/>
    <n v="0"/>
    <n v="308807"/>
    <n v="336305"/>
    <m/>
    <x v="1"/>
    <n v="336305"/>
  </r>
  <r>
    <x v="1"/>
    <x v="17"/>
    <x v="17"/>
    <x v="5"/>
    <s v="Planeación, seguimiento y evaluación de políticas públicas"/>
    <x v="2"/>
    <x v="498"/>
    <x v="53"/>
    <x v="676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2503719"/>
    <n v="0"/>
    <n v="-568418"/>
    <n v="11935301"/>
    <n v="7447592"/>
    <m/>
    <x v="1"/>
    <n v="7447592"/>
  </r>
  <r>
    <x v="1"/>
    <x v="17"/>
    <x v="17"/>
    <x v="5"/>
    <s v="Planeación, seguimiento y evaluación de políticas públicas"/>
    <x v="2"/>
    <x v="498"/>
    <x v="54"/>
    <x v="639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224734"/>
    <n v="0"/>
    <n v="0"/>
    <n v="224734"/>
    <n v="263456"/>
    <m/>
    <x v="1"/>
    <n v="263456"/>
  </r>
  <r>
    <x v="1"/>
    <x v="17"/>
    <x v="17"/>
    <x v="5"/>
    <s v="Planeación, seguimiento y evaluación de políticas públicas"/>
    <x v="2"/>
    <x v="498"/>
    <x v="54"/>
    <x v="639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6328676"/>
    <n v="0"/>
    <n v="-466521"/>
    <n v="5862155"/>
    <n v="5841327"/>
    <m/>
    <x v="1"/>
    <n v="5841327"/>
  </r>
  <r>
    <x v="1"/>
    <x v="17"/>
    <x v="17"/>
    <x v="5"/>
    <s v="Planeación, seguimiento y evaluación de políticas públicas"/>
    <x v="2"/>
    <x v="498"/>
    <x v="31"/>
    <x v="637"/>
    <n v="3"/>
    <s v="Desarrollo Económico"/>
    <n v="8"/>
    <s v="Temas Agrarios"/>
    <n v="1"/>
    <x v="61"/>
    <x v="0"/>
    <x v="129"/>
    <n v="1"/>
    <s v="Gasto corriente"/>
    <x v="0"/>
    <x v="1"/>
    <x v="0"/>
    <x v="0"/>
    <x v="1"/>
    <x v="0"/>
    <x v="0"/>
    <m/>
    <x v="0"/>
    <x v="0"/>
    <m/>
    <n v="10653478"/>
    <n v="0"/>
    <n v="0"/>
    <n v="10653478"/>
    <n v="12284249"/>
    <m/>
    <x v="1"/>
    <n v="12284249"/>
  </r>
  <r>
    <x v="1"/>
    <x v="17"/>
    <x v="17"/>
    <x v="5"/>
    <s v="Planeación, seguimiento y evaluación de políticas públicas"/>
    <x v="2"/>
    <x v="498"/>
    <x v="31"/>
    <x v="637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97704223"/>
    <n v="0"/>
    <n v="-4505732"/>
    <n v="193198491"/>
    <n v="201952670"/>
    <m/>
    <x v="1"/>
    <n v="201952670"/>
  </r>
  <r>
    <x v="1"/>
    <x v="17"/>
    <x v="17"/>
    <x v="5"/>
    <s v="Planeación, seguimiento y evaluación de políticas públicas"/>
    <x v="3"/>
    <x v="499"/>
    <x v="31"/>
    <x v="637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47999999"/>
    <n v="0"/>
    <n v="-7000000"/>
    <n v="40999999"/>
    <n v="50000000"/>
    <m/>
    <x v="1"/>
    <n v="50000000"/>
  </r>
  <r>
    <x v="1"/>
    <x v="17"/>
    <x v="17"/>
    <x v="5"/>
    <s v="Planeación, seguimiento y evaluación de políticas públicas"/>
    <x v="4"/>
    <x v="500"/>
    <x v="31"/>
    <x v="637"/>
    <n v="3"/>
    <s v="Desarrollo Económico"/>
    <n v="8"/>
    <s v="Temas Agrarios"/>
    <n v="1"/>
    <x v="61"/>
    <x v="0"/>
    <x v="129"/>
    <n v="1"/>
    <s v="Gasto corriente"/>
    <x v="0"/>
    <x v="0"/>
    <x v="0"/>
    <x v="0"/>
    <x v="1"/>
    <x v="0"/>
    <x v="0"/>
    <m/>
    <x v="0"/>
    <x v="0"/>
    <m/>
    <n v="191292502"/>
    <n v="0"/>
    <n v="-41000000"/>
    <n v="150292502"/>
    <n v="230000000"/>
    <m/>
    <x v="1"/>
    <n v="230000000"/>
  </r>
  <r>
    <x v="1"/>
    <x v="17"/>
    <x v="17"/>
    <x v="11"/>
    <s v="Sujetos a Reglas de Operación"/>
    <x v="116"/>
    <x v="501"/>
    <x v="53"/>
    <x v="676"/>
    <n v="3"/>
    <s v="Desarrollo Económico"/>
    <n v="8"/>
    <s v="Temas Agrarios"/>
    <n v="1"/>
    <x v="61"/>
    <x v="11"/>
    <x v="131"/>
    <n v="1"/>
    <s v="Gasto corriente"/>
    <x v="0"/>
    <x v="0"/>
    <x v="1"/>
    <x v="0"/>
    <x v="1"/>
    <x v="0"/>
    <x v="1"/>
    <m/>
    <x v="0"/>
    <x v="0"/>
    <m/>
    <n v="566894621"/>
    <n v="150000000"/>
    <n v="0"/>
    <n v="716894621"/>
    <n v="566475000"/>
    <m/>
    <x v="38"/>
    <n v="571475000"/>
  </r>
  <r>
    <x v="1"/>
    <x v="17"/>
    <x v="17"/>
    <x v="11"/>
    <s v="Sujetos a Reglas de Operación"/>
    <x v="116"/>
    <x v="501"/>
    <x v="53"/>
    <x v="676"/>
    <n v="3"/>
    <s v="Desarrollo Económico"/>
    <n v="8"/>
    <s v="Temas Agrarios"/>
    <n v="1"/>
    <x v="61"/>
    <x v="11"/>
    <x v="131"/>
    <n v="1"/>
    <s v="Gasto corriente"/>
    <x v="0"/>
    <x v="0"/>
    <x v="0"/>
    <x v="0"/>
    <x v="1"/>
    <x v="0"/>
    <x v="1"/>
    <m/>
    <x v="0"/>
    <x v="0"/>
    <m/>
    <n v="56066501"/>
    <n v="0"/>
    <n v="0"/>
    <n v="56066501"/>
    <n v="56025000"/>
    <m/>
    <x v="115"/>
    <n v="334025000"/>
  </r>
  <r>
    <x v="1"/>
    <x v="17"/>
    <x v="17"/>
    <x v="11"/>
    <s v="Sujetos a Reglas de Operación"/>
    <x v="117"/>
    <x v="502"/>
    <x v="53"/>
    <x v="676"/>
    <n v="3"/>
    <s v="Desarrollo Económico"/>
    <n v="8"/>
    <s v="Temas Agrarios"/>
    <n v="1"/>
    <x v="61"/>
    <x v="11"/>
    <x v="131"/>
    <n v="1"/>
    <s v="Gasto corriente"/>
    <x v="0"/>
    <x v="0"/>
    <x v="1"/>
    <x v="0"/>
    <x v="1"/>
    <x v="0"/>
    <x v="0"/>
    <m/>
    <x v="0"/>
    <x v="0"/>
    <m/>
    <n v="573327563"/>
    <n v="150000000"/>
    <n v="0"/>
    <n v="723327563"/>
    <n v="318500000"/>
    <m/>
    <x v="116"/>
    <n v="718500000"/>
  </r>
  <r>
    <x v="1"/>
    <x v="17"/>
    <x v="17"/>
    <x v="11"/>
    <s v="Sujetos a Reglas de Operación"/>
    <x v="117"/>
    <x v="502"/>
    <x v="53"/>
    <x v="676"/>
    <n v="3"/>
    <s v="Desarrollo Económico"/>
    <n v="8"/>
    <s v="Temas Agrarios"/>
    <n v="1"/>
    <x v="61"/>
    <x v="11"/>
    <x v="131"/>
    <n v="1"/>
    <s v="Gasto corriente"/>
    <x v="0"/>
    <x v="0"/>
    <x v="0"/>
    <x v="0"/>
    <x v="1"/>
    <x v="0"/>
    <x v="0"/>
    <m/>
    <x v="0"/>
    <x v="0"/>
    <m/>
    <n v="56702726"/>
    <n v="0"/>
    <n v="0"/>
    <n v="56702726"/>
    <n v="31500000"/>
    <m/>
    <x v="1"/>
    <n v="31500000"/>
  </r>
  <r>
    <x v="1"/>
    <x v="17"/>
    <x v="17"/>
    <x v="11"/>
    <s v="Sujetos a Reglas de Operación"/>
    <x v="118"/>
    <x v="503"/>
    <x v="54"/>
    <x v="639"/>
    <n v="3"/>
    <s v="Desarrollo Económico"/>
    <n v="8"/>
    <s v="Temas Agrarios"/>
    <n v="1"/>
    <x v="61"/>
    <x v="11"/>
    <x v="131"/>
    <n v="1"/>
    <s v="Gasto corriente"/>
    <x v="0"/>
    <x v="0"/>
    <x v="1"/>
    <x v="0"/>
    <x v="1"/>
    <x v="0"/>
    <x v="0"/>
    <m/>
    <x v="0"/>
    <x v="0"/>
    <m/>
    <n v="308261800"/>
    <n v="150000000"/>
    <n v="0"/>
    <n v="458261800"/>
    <n v="308000000"/>
    <m/>
    <x v="117"/>
    <n v="350000000"/>
  </r>
  <r>
    <x v="1"/>
    <x v="18"/>
    <x v="18"/>
    <x v="4"/>
    <s v="Prestación de Servicios Públicos"/>
    <x v="2"/>
    <x v="504"/>
    <x v="318"/>
    <x v="677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0"/>
    <x v="0"/>
    <x v="0"/>
    <m/>
    <x v="0"/>
    <x v="1"/>
    <m/>
    <n v="2019326707"/>
    <n v="0"/>
    <n v="-500000000"/>
    <n v="1519326707"/>
    <n v="1558335937"/>
    <n v="689024273"/>
    <x v="1"/>
    <n v="869311664"/>
  </r>
  <r>
    <x v="1"/>
    <x v="18"/>
    <x v="18"/>
    <x v="4"/>
    <s v="Prestación de Servicios Públicos"/>
    <x v="2"/>
    <x v="504"/>
    <x v="318"/>
    <x v="67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n v="685238027"/>
    <n v="0"/>
    <n v="0"/>
    <n v="685238027"/>
    <n v="626625740"/>
    <m/>
    <x v="1"/>
    <n v="626625740"/>
  </r>
  <r>
    <x v="1"/>
    <x v="18"/>
    <x v="18"/>
    <x v="4"/>
    <s v="Prestación de Servicios Públicos"/>
    <x v="3"/>
    <x v="505"/>
    <x v="318"/>
    <x v="677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0"/>
    <x v="0"/>
    <x v="0"/>
    <m/>
    <x v="0"/>
    <x v="1"/>
    <m/>
    <n v="656082714"/>
    <n v="0"/>
    <n v="0"/>
    <n v="656082714"/>
    <n v="696320894"/>
    <m/>
    <x v="1"/>
    <n v="696320894"/>
  </r>
  <r>
    <x v="1"/>
    <x v="18"/>
    <x v="18"/>
    <x v="4"/>
    <s v="Prestación de Servicios Públicos"/>
    <x v="3"/>
    <x v="505"/>
    <x v="318"/>
    <x v="67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n v="247256739"/>
    <n v="0"/>
    <n v="0"/>
    <n v="247256739"/>
    <n v="213784153"/>
    <m/>
    <x v="1"/>
    <n v="213784153"/>
  </r>
  <r>
    <x v="1"/>
    <x v="18"/>
    <x v="18"/>
    <x v="4"/>
    <s v="Prestación de Servicios Públicos"/>
    <x v="5"/>
    <x v="506"/>
    <x v="319"/>
    <x v="678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2959610"/>
    <m/>
    <x v="1"/>
    <n v="12959610"/>
  </r>
  <r>
    <x v="1"/>
    <x v="18"/>
    <x v="18"/>
    <x v="4"/>
    <s v="Prestación de Servicios Públicos"/>
    <x v="6"/>
    <x v="507"/>
    <x v="20"/>
    <x v="679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901271"/>
    <n v="0"/>
    <n v="0"/>
    <n v="901271"/>
    <m/>
    <m/>
    <x v="1"/>
    <n v="0"/>
  </r>
  <r>
    <x v="1"/>
    <x v="18"/>
    <x v="18"/>
    <x v="4"/>
    <s v="Prestación de Servicios Públicos"/>
    <x v="6"/>
    <x v="507"/>
    <x v="20"/>
    <x v="679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38076783"/>
    <n v="3186216"/>
    <n v="-2197558"/>
    <n v="39065441"/>
    <m/>
    <m/>
    <x v="1"/>
    <n v="0"/>
  </r>
  <r>
    <x v="1"/>
    <x v="18"/>
    <x v="18"/>
    <x v="4"/>
    <s v="Prestación de Servicios Públicos"/>
    <x v="6"/>
    <x v="507"/>
    <x v="20"/>
    <x v="679"/>
    <n v="3"/>
    <s v="Desarrollo Económico"/>
    <n v="9"/>
    <s v="Desarrollo Sustentable"/>
    <n v="2"/>
    <x v="63"/>
    <x v="15"/>
    <x v="133"/>
    <n v="2"/>
    <s v="Gasto de capital"/>
    <x v="0"/>
    <x v="0"/>
    <x v="1"/>
    <x v="0"/>
    <x v="0"/>
    <x v="0"/>
    <x v="0"/>
    <m/>
    <x v="0"/>
    <x v="0"/>
    <m/>
    <n v="0"/>
    <n v="68905500"/>
    <n v="0"/>
    <n v="68905500"/>
    <m/>
    <m/>
    <x v="1"/>
    <n v="0"/>
  </r>
  <r>
    <x v="1"/>
    <x v="18"/>
    <x v="18"/>
    <x v="4"/>
    <s v="Prestación de Servicios Públicos"/>
    <x v="6"/>
    <x v="507"/>
    <x v="107"/>
    <x v="680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138239"/>
    <n v="0"/>
    <n v="0"/>
    <n v="138239"/>
    <m/>
    <m/>
    <x v="1"/>
    <n v="0"/>
  </r>
  <r>
    <x v="1"/>
    <x v="18"/>
    <x v="18"/>
    <x v="4"/>
    <s v="Prestación de Servicios Públicos"/>
    <x v="6"/>
    <x v="507"/>
    <x v="108"/>
    <x v="681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36750"/>
    <n v="0"/>
    <n v="0"/>
    <n v="36750"/>
    <m/>
    <m/>
    <x v="1"/>
    <n v="0"/>
  </r>
  <r>
    <x v="1"/>
    <x v="18"/>
    <x v="18"/>
    <x v="4"/>
    <s v="Prestación de Servicios Públicos"/>
    <x v="6"/>
    <x v="507"/>
    <x v="26"/>
    <x v="682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227825"/>
    <n v="0"/>
    <n v="0"/>
    <n v="227825"/>
    <m/>
    <m/>
    <x v="1"/>
    <n v="0"/>
  </r>
  <r>
    <x v="1"/>
    <x v="18"/>
    <x v="18"/>
    <x v="4"/>
    <s v="Prestación de Servicios Públicos"/>
    <x v="6"/>
    <x v="507"/>
    <x v="29"/>
    <x v="683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164450"/>
    <n v="0"/>
    <n v="0"/>
    <n v="164450"/>
    <m/>
    <m/>
    <x v="1"/>
    <n v="0"/>
  </r>
  <r>
    <x v="1"/>
    <x v="18"/>
    <x v="18"/>
    <x v="4"/>
    <s v="Prestación de Servicios Públicos"/>
    <x v="6"/>
    <x v="507"/>
    <x v="111"/>
    <x v="684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50000"/>
    <n v="0"/>
    <n v="0"/>
    <n v="50000"/>
    <m/>
    <m/>
    <x v="1"/>
    <n v="0"/>
  </r>
  <r>
    <x v="1"/>
    <x v="18"/>
    <x v="18"/>
    <x v="4"/>
    <s v="Prestación de Servicios Públicos"/>
    <x v="6"/>
    <x v="507"/>
    <x v="121"/>
    <x v="685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29512"/>
    <n v="0"/>
    <n v="0"/>
    <n v="29512"/>
    <m/>
    <m/>
    <x v="1"/>
    <n v="0"/>
  </r>
  <r>
    <x v="1"/>
    <x v="18"/>
    <x v="18"/>
    <x v="4"/>
    <s v="Prestación de Servicios Públicos"/>
    <x v="6"/>
    <x v="507"/>
    <x v="116"/>
    <x v="686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39053"/>
    <n v="0"/>
    <n v="0"/>
    <n v="39053"/>
    <m/>
    <m/>
    <x v="1"/>
    <n v="0"/>
  </r>
  <r>
    <x v="1"/>
    <x v="18"/>
    <x v="18"/>
    <x v="4"/>
    <s v="Prestación de Servicios Públicos"/>
    <x v="6"/>
    <x v="507"/>
    <x v="117"/>
    <x v="687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98409"/>
    <n v="0"/>
    <n v="0"/>
    <n v="98409"/>
    <m/>
    <m/>
    <x v="1"/>
    <n v="0"/>
  </r>
  <r>
    <x v="1"/>
    <x v="18"/>
    <x v="18"/>
    <x v="4"/>
    <s v="Prestación de Servicios Públicos"/>
    <x v="6"/>
    <x v="507"/>
    <x v="125"/>
    <x v="688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120964"/>
    <n v="0"/>
    <n v="0"/>
    <n v="120964"/>
    <m/>
    <m/>
    <x v="1"/>
    <n v="0"/>
  </r>
  <r>
    <x v="1"/>
    <x v="18"/>
    <x v="18"/>
    <x v="4"/>
    <s v="Prestación de Servicios Públicos"/>
    <x v="6"/>
    <x v="507"/>
    <x v="133"/>
    <x v="689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27873"/>
    <n v="0"/>
    <n v="0"/>
    <n v="27873"/>
    <m/>
    <m/>
    <x v="1"/>
    <n v="0"/>
  </r>
  <r>
    <x v="1"/>
    <x v="18"/>
    <x v="18"/>
    <x v="4"/>
    <s v="Prestación de Servicios Públicos"/>
    <x v="6"/>
    <x v="507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1"/>
    <x v="1"/>
    <x v="0"/>
    <x v="1"/>
    <x v="0"/>
    <x v="0"/>
    <m/>
    <x v="0"/>
    <x v="1"/>
    <m/>
    <m/>
    <m/>
    <m/>
    <m/>
    <n v="1369029"/>
    <m/>
    <x v="1"/>
    <n v="1369029"/>
  </r>
  <r>
    <x v="1"/>
    <x v="18"/>
    <x v="18"/>
    <x v="4"/>
    <s v="Prestación de Servicios Públicos"/>
    <x v="6"/>
    <x v="507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0"/>
    <x v="1"/>
    <x v="0"/>
    <x v="1"/>
    <x v="0"/>
    <x v="0"/>
    <m/>
    <x v="0"/>
    <x v="1"/>
    <m/>
    <m/>
    <m/>
    <m/>
    <m/>
    <n v="44645346"/>
    <m/>
    <x v="1"/>
    <n v="44645346"/>
  </r>
  <r>
    <x v="1"/>
    <x v="18"/>
    <x v="18"/>
    <x v="4"/>
    <s v="Prestación de Servicios Públicos"/>
    <x v="6"/>
    <x v="507"/>
    <x v="320"/>
    <x v="690"/>
    <n v="3"/>
    <s v="Desarrollo Económico"/>
    <n v="2"/>
    <s v="Desarrollo Agropecuario y Forestal"/>
    <n v="6"/>
    <x v="64"/>
    <x v="5"/>
    <x v="135"/>
    <n v="1"/>
    <s v="Gasto corriente"/>
    <x v="0"/>
    <x v="1"/>
    <x v="1"/>
    <x v="0"/>
    <x v="1"/>
    <x v="0"/>
    <x v="0"/>
    <m/>
    <x v="0"/>
    <x v="0"/>
    <m/>
    <n v="1100393"/>
    <n v="0"/>
    <n v="0"/>
    <n v="1100393"/>
    <m/>
    <m/>
    <x v="1"/>
    <n v="0"/>
  </r>
  <r>
    <x v="1"/>
    <x v="18"/>
    <x v="18"/>
    <x v="4"/>
    <s v="Prestación de Servicios Públicos"/>
    <x v="6"/>
    <x v="507"/>
    <x v="320"/>
    <x v="690"/>
    <n v="3"/>
    <s v="Desarrollo Económico"/>
    <n v="2"/>
    <s v="Desarrollo Agropecuario y Forestal"/>
    <n v="6"/>
    <x v="64"/>
    <x v="5"/>
    <x v="135"/>
    <n v="1"/>
    <s v="Gasto corriente"/>
    <x v="0"/>
    <x v="0"/>
    <x v="1"/>
    <x v="0"/>
    <x v="1"/>
    <x v="0"/>
    <x v="0"/>
    <m/>
    <x v="0"/>
    <x v="0"/>
    <m/>
    <n v="98280871"/>
    <n v="0"/>
    <n v="-352190"/>
    <n v="97928681"/>
    <n v="55848879"/>
    <m/>
    <x v="1"/>
    <n v="55848879"/>
  </r>
  <r>
    <x v="1"/>
    <x v="18"/>
    <x v="18"/>
    <x v="4"/>
    <s v="Prestación de Servicios Públicos"/>
    <x v="6"/>
    <x v="507"/>
    <x v="320"/>
    <x v="690"/>
    <n v="3"/>
    <s v="Desarrollo Económico"/>
    <n v="2"/>
    <s v="Desarrollo Agropecuario y Forestal"/>
    <n v="6"/>
    <x v="64"/>
    <x v="5"/>
    <x v="135"/>
    <n v="2"/>
    <s v="Gasto de capital"/>
    <x v="0"/>
    <x v="0"/>
    <x v="1"/>
    <x v="1"/>
    <x v="1"/>
    <x v="0"/>
    <x v="0"/>
    <m/>
    <x v="0"/>
    <x v="0"/>
    <m/>
    <m/>
    <n v="0"/>
    <n v="0"/>
    <m/>
    <n v="20000000"/>
    <m/>
    <x v="1"/>
    <n v="20000000"/>
  </r>
  <r>
    <x v="1"/>
    <x v="18"/>
    <x v="18"/>
    <x v="4"/>
    <s v="Prestación de Servicios Públicos"/>
    <x v="6"/>
    <x v="507"/>
    <x v="320"/>
    <x v="690"/>
    <n v="3"/>
    <s v="Desarrollo Económico"/>
    <n v="2"/>
    <s v="Desarrollo Agropecuario y Forestal"/>
    <n v="6"/>
    <x v="64"/>
    <x v="5"/>
    <x v="135"/>
    <n v="2"/>
    <s v="Gasto de capital"/>
    <x v="0"/>
    <x v="0"/>
    <x v="1"/>
    <x v="0"/>
    <x v="1"/>
    <x v="0"/>
    <x v="0"/>
    <m/>
    <x v="0"/>
    <x v="0"/>
    <m/>
    <n v="1894500"/>
    <n v="0"/>
    <n v="0"/>
    <n v="1894500"/>
    <n v="1800000"/>
    <m/>
    <x v="1"/>
    <n v="1800000"/>
  </r>
  <r>
    <x v="1"/>
    <x v="18"/>
    <x v="18"/>
    <x v="4"/>
    <s v="Prestación de Servicios Públicos"/>
    <x v="7"/>
    <x v="508"/>
    <x v="321"/>
    <x v="69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n v="5557478"/>
    <n v="0"/>
    <n v="0"/>
    <n v="5557478"/>
    <n v="5557478"/>
    <m/>
    <x v="1"/>
    <n v="5557478"/>
  </r>
  <r>
    <x v="1"/>
    <x v="18"/>
    <x v="18"/>
    <x v="4"/>
    <s v="Prestación de Servicios Públicos"/>
    <x v="7"/>
    <x v="508"/>
    <x v="322"/>
    <x v="692"/>
    <n v="3"/>
    <s v="Desarrollo Económico"/>
    <n v="9"/>
    <s v="Desarrollo Sustentable"/>
    <n v="1"/>
    <x v="65"/>
    <x v="1"/>
    <x v="132"/>
    <n v="1"/>
    <s v="Gasto corriente"/>
    <x v="0"/>
    <x v="0"/>
    <x v="0"/>
    <x v="1"/>
    <x v="0"/>
    <x v="0"/>
    <x v="0"/>
    <m/>
    <x v="0"/>
    <x v="1"/>
    <m/>
    <m/>
    <m/>
    <m/>
    <m/>
    <n v="5000000"/>
    <m/>
    <x v="1"/>
    <n v="5000000"/>
  </r>
  <r>
    <x v="1"/>
    <x v="18"/>
    <x v="18"/>
    <x v="4"/>
    <s v="Prestación de Servicios Públicos"/>
    <x v="7"/>
    <x v="508"/>
    <x v="322"/>
    <x v="69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n v="106643746"/>
    <n v="0"/>
    <n v="0"/>
    <n v="106643746"/>
    <n v="122328072"/>
    <m/>
    <x v="1"/>
    <n v="122328072"/>
  </r>
  <r>
    <x v="1"/>
    <x v="18"/>
    <x v="18"/>
    <x v="4"/>
    <s v="Prestación de Servicios Públicos"/>
    <x v="7"/>
    <x v="508"/>
    <x v="322"/>
    <x v="69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n v="42308964"/>
    <n v="0"/>
    <n v="0"/>
    <n v="42308964"/>
    <n v="14650325"/>
    <m/>
    <x v="1"/>
    <n v="14650325"/>
  </r>
  <r>
    <x v="1"/>
    <x v="18"/>
    <x v="18"/>
    <x v="4"/>
    <s v="Prestación de Servicios Públicos"/>
    <x v="7"/>
    <x v="508"/>
    <x v="323"/>
    <x v="69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n v="13350000"/>
    <n v="0"/>
    <n v="0"/>
    <n v="13350000"/>
    <n v="11547176"/>
    <m/>
    <x v="1"/>
    <n v="11547176"/>
  </r>
  <r>
    <x v="1"/>
    <x v="18"/>
    <x v="18"/>
    <x v="4"/>
    <s v="Prestación de Servicios Públicos"/>
    <x v="7"/>
    <x v="508"/>
    <x v="323"/>
    <x v="693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361405"/>
    <m/>
    <x v="1"/>
    <n v="1361405"/>
  </r>
  <r>
    <x v="1"/>
    <x v="18"/>
    <x v="18"/>
    <x v="4"/>
    <s v="Prestación de Servicios Públicos"/>
    <x v="7"/>
    <x v="508"/>
    <x v="324"/>
    <x v="69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n v="103671183"/>
    <n v="0"/>
    <n v="0"/>
    <n v="103671183"/>
    <n v="107059703"/>
    <m/>
    <x v="1"/>
    <n v="107059703"/>
  </r>
  <r>
    <x v="1"/>
    <x v="18"/>
    <x v="18"/>
    <x v="4"/>
    <s v="Prestación de Servicios Públicos"/>
    <x v="7"/>
    <x v="508"/>
    <x v="324"/>
    <x v="694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n v="1058559"/>
    <n v="0"/>
    <n v="0"/>
    <n v="1058559"/>
    <n v="683892"/>
    <m/>
    <x v="1"/>
    <n v="683892"/>
  </r>
  <r>
    <x v="1"/>
    <x v="18"/>
    <x v="18"/>
    <x v="4"/>
    <s v="Prestación de Servicios Públicos"/>
    <x v="7"/>
    <x v="508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4562197"/>
    <m/>
    <x v="1"/>
    <n v="4562197"/>
  </r>
  <r>
    <x v="1"/>
    <x v="18"/>
    <x v="18"/>
    <x v="4"/>
    <s v="Prestación de Servicios Públicos"/>
    <x v="7"/>
    <x v="508"/>
    <x v="318"/>
    <x v="67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1688360"/>
    <m/>
    <x v="1"/>
    <n v="11688360"/>
  </r>
  <r>
    <x v="1"/>
    <x v="18"/>
    <x v="18"/>
    <x v="4"/>
    <s v="Prestación de Servicios Públicos"/>
    <x v="7"/>
    <x v="508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4364314"/>
    <m/>
    <x v="1"/>
    <n v="4364314"/>
  </r>
  <r>
    <x v="1"/>
    <x v="18"/>
    <x v="18"/>
    <x v="4"/>
    <s v="Prestación de Servicios Públicos"/>
    <x v="7"/>
    <x v="508"/>
    <x v="325"/>
    <x v="695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567222"/>
    <m/>
    <x v="1"/>
    <n v="2567222"/>
  </r>
  <r>
    <x v="1"/>
    <x v="18"/>
    <x v="18"/>
    <x v="4"/>
    <s v="Prestación de Servicios Públicos"/>
    <x v="7"/>
    <x v="508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4832452"/>
    <m/>
    <x v="1"/>
    <n v="4832452"/>
  </r>
  <r>
    <x v="1"/>
    <x v="18"/>
    <x v="18"/>
    <x v="4"/>
    <s v="Prestación de Servicios Públicos"/>
    <x v="7"/>
    <x v="508"/>
    <x v="326"/>
    <x v="696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224926"/>
    <m/>
    <x v="1"/>
    <n v="2224926"/>
  </r>
  <r>
    <x v="1"/>
    <x v="18"/>
    <x v="18"/>
    <x v="4"/>
    <s v="Prestación de Servicios Públicos"/>
    <x v="7"/>
    <x v="508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390489"/>
    <m/>
    <x v="1"/>
    <n v="2390489"/>
  </r>
  <r>
    <x v="1"/>
    <x v="18"/>
    <x v="18"/>
    <x v="4"/>
    <s v="Prestación de Servicios Públicos"/>
    <x v="7"/>
    <x v="508"/>
    <x v="327"/>
    <x v="69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926579"/>
    <m/>
    <x v="1"/>
    <n v="2926579"/>
  </r>
  <r>
    <x v="1"/>
    <x v="18"/>
    <x v="18"/>
    <x v="4"/>
    <s v="Prestación de Servicios Públicos"/>
    <x v="7"/>
    <x v="508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6530263"/>
    <m/>
    <x v="1"/>
    <n v="6530263"/>
  </r>
  <r>
    <x v="1"/>
    <x v="18"/>
    <x v="18"/>
    <x v="4"/>
    <s v="Prestación de Servicios Públicos"/>
    <x v="7"/>
    <x v="508"/>
    <x v="328"/>
    <x v="698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3296031"/>
    <m/>
    <x v="1"/>
    <n v="3296031"/>
  </r>
  <r>
    <x v="1"/>
    <x v="18"/>
    <x v="18"/>
    <x v="4"/>
    <s v="Prestación de Servicios Públicos"/>
    <x v="7"/>
    <x v="508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0328007"/>
    <m/>
    <x v="1"/>
    <n v="10328007"/>
  </r>
  <r>
    <x v="1"/>
    <x v="18"/>
    <x v="18"/>
    <x v="4"/>
    <s v="Prestación de Servicios Públicos"/>
    <x v="7"/>
    <x v="508"/>
    <x v="329"/>
    <x v="699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1044274"/>
    <m/>
    <x v="1"/>
    <n v="11044274"/>
  </r>
  <r>
    <x v="1"/>
    <x v="18"/>
    <x v="18"/>
    <x v="4"/>
    <s v="Prestación de Servicios Públicos"/>
    <x v="7"/>
    <x v="508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164331"/>
    <m/>
    <x v="1"/>
    <n v="3164331"/>
  </r>
  <r>
    <x v="1"/>
    <x v="18"/>
    <x v="18"/>
    <x v="4"/>
    <s v="Prestación de Servicios Públicos"/>
    <x v="7"/>
    <x v="508"/>
    <x v="330"/>
    <x v="700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6171773"/>
    <m/>
    <x v="1"/>
    <n v="6171773"/>
  </r>
  <r>
    <x v="1"/>
    <x v="18"/>
    <x v="18"/>
    <x v="4"/>
    <s v="Prestación de Servicios Públicos"/>
    <x v="7"/>
    <x v="508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080487"/>
    <m/>
    <x v="1"/>
    <n v="2080487"/>
  </r>
  <r>
    <x v="1"/>
    <x v="18"/>
    <x v="18"/>
    <x v="4"/>
    <s v="Prestación de Servicios Públicos"/>
    <x v="7"/>
    <x v="508"/>
    <x v="331"/>
    <x v="701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5690676"/>
    <m/>
    <x v="1"/>
    <n v="5690676"/>
  </r>
  <r>
    <x v="1"/>
    <x v="18"/>
    <x v="18"/>
    <x v="4"/>
    <s v="Prestación de Servicios Públicos"/>
    <x v="7"/>
    <x v="508"/>
    <x v="332"/>
    <x v="70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356762"/>
    <m/>
    <x v="1"/>
    <n v="2356762"/>
  </r>
  <r>
    <x v="1"/>
    <x v="18"/>
    <x v="18"/>
    <x v="4"/>
    <s v="Prestación de Servicios Públicos"/>
    <x v="7"/>
    <x v="508"/>
    <x v="332"/>
    <x v="70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233557"/>
    <m/>
    <x v="1"/>
    <n v="2233557"/>
  </r>
  <r>
    <x v="1"/>
    <x v="18"/>
    <x v="18"/>
    <x v="4"/>
    <s v="Prestación de Servicios Públicos"/>
    <x v="7"/>
    <x v="508"/>
    <x v="333"/>
    <x v="70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902544"/>
    <m/>
    <x v="1"/>
    <n v="902544"/>
  </r>
  <r>
    <x v="1"/>
    <x v="18"/>
    <x v="18"/>
    <x v="4"/>
    <s v="Prestación de Servicios Públicos"/>
    <x v="7"/>
    <x v="508"/>
    <x v="334"/>
    <x v="70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7022851"/>
    <m/>
    <x v="1"/>
    <n v="7022851"/>
  </r>
  <r>
    <x v="1"/>
    <x v="18"/>
    <x v="18"/>
    <x v="4"/>
    <s v="Prestación de Servicios Públicos"/>
    <x v="7"/>
    <x v="508"/>
    <x v="334"/>
    <x v="704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4706574"/>
    <m/>
    <x v="1"/>
    <n v="4706574"/>
  </r>
  <r>
    <x v="1"/>
    <x v="18"/>
    <x v="18"/>
    <x v="4"/>
    <s v="Prestación de Servicios Públicos"/>
    <x v="7"/>
    <x v="508"/>
    <x v="335"/>
    <x v="70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767605"/>
    <m/>
    <x v="1"/>
    <n v="767605"/>
  </r>
  <r>
    <x v="1"/>
    <x v="18"/>
    <x v="18"/>
    <x v="4"/>
    <s v="Prestación de Servicios Públicos"/>
    <x v="7"/>
    <x v="508"/>
    <x v="335"/>
    <x v="705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112463"/>
    <m/>
    <x v="1"/>
    <n v="1112463"/>
  </r>
  <r>
    <x v="1"/>
    <x v="18"/>
    <x v="18"/>
    <x v="4"/>
    <s v="Prestación de Servicios Públicos"/>
    <x v="7"/>
    <x v="508"/>
    <x v="336"/>
    <x v="70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388332"/>
    <m/>
    <x v="1"/>
    <n v="1388332"/>
  </r>
  <r>
    <x v="1"/>
    <x v="18"/>
    <x v="18"/>
    <x v="4"/>
    <s v="Prestación de Servicios Públicos"/>
    <x v="7"/>
    <x v="508"/>
    <x v="336"/>
    <x v="706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4578212"/>
    <m/>
    <x v="1"/>
    <n v="4578212"/>
  </r>
  <r>
    <x v="1"/>
    <x v="18"/>
    <x v="18"/>
    <x v="4"/>
    <s v="Prestación de Servicios Públicos"/>
    <x v="7"/>
    <x v="508"/>
    <x v="337"/>
    <x v="70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693642"/>
    <m/>
    <x v="1"/>
    <n v="693642"/>
  </r>
  <r>
    <x v="1"/>
    <x v="18"/>
    <x v="18"/>
    <x v="4"/>
    <s v="Prestación de Servicios Públicos"/>
    <x v="7"/>
    <x v="508"/>
    <x v="338"/>
    <x v="70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628928"/>
    <m/>
    <x v="1"/>
    <n v="628928"/>
  </r>
  <r>
    <x v="1"/>
    <x v="18"/>
    <x v="18"/>
    <x v="4"/>
    <s v="Prestación de Servicios Públicos"/>
    <x v="7"/>
    <x v="508"/>
    <x v="339"/>
    <x v="70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894316"/>
    <m/>
    <x v="1"/>
    <n v="894316"/>
  </r>
  <r>
    <x v="1"/>
    <x v="18"/>
    <x v="18"/>
    <x v="4"/>
    <s v="Prestación de Servicios Públicos"/>
    <x v="7"/>
    <x v="508"/>
    <x v="339"/>
    <x v="709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4449852"/>
    <m/>
    <x v="1"/>
    <n v="4449852"/>
  </r>
  <r>
    <x v="1"/>
    <x v="18"/>
    <x v="18"/>
    <x v="4"/>
    <s v="Prestación de Servicios Públicos"/>
    <x v="7"/>
    <x v="508"/>
    <x v="340"/>
    <x v="71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736361"/>
    <m/>
    <x v="1"/>
    <n v="736361"/>
  </r>
  <r>
    <x v="1"/>
    <x v="18"/>
    <x v="18"/>
    <x v="4"/>
    <s v="Prestación de Servicios Públicos"/>
    <x v="7"/>
    <x v="508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174085"/>
    <m/>
    <x v="1"/>
    <n v="1174085"/>
  </r>
  <r>
    <x v="1"/>
    <x v="18"/>
    <x v="18"/>
    <x v="4"/>
    <s v="Prestación de Servicios Públicos"/>
    <x v="7"/>
    <x v="508"/>
    <x v="341"/>
    <x v="711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224926"/>
    <m/>
    <x v="1"/>
    <n v="2224926"/>
  </r>
  <r>
    <x v="1"/>
    <x v="18"/>
    <x v="18"/>
    <x v="4"/>
    <s v="Prestación de Servicios Públicos"/>
    <x v="7"/>
    <x v="508"/>
    <x v="319"/>
    <x v="67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292212"/>
    <m/>
    <x v="1"/>
    <n v="1292212"/>
  </r>
  <r>
    <x v="1"/>
    <x v="18"/>
    <x v="18"/>
    <x v="4"/>
    <s v="Prestación de Servicios Públicos"/>
    <x v="7"/>
    <x v="508"/>
    <x v="319"/>
    <x v="678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240824"/>
    <m/>
    <x v="1"/>
    <n v="1240824"/>
  </r>
  <r>
    <x v="1"/>
    <x v="18"/>
    <x v="18"/>
    <x v="4"/>
    <s v="Prestación de Servicios Públicos"/>
    <x v="7"/>
    <x v="508"/>
    <x v="342"/>
    <x v="71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6235737"/>
    <m/>
    <x v="1"/>
    <n v="6235737"/>
  </r>
  <r>
    <x v="1"/>
    <x v="18"/>
    <x v="18"/>
    <x v="4"/>
    <s v="Prestación de Servicios Públicos"/>
    <x v="7"/>
    <x v="508"/>
    <x v="343"/>
    <x v="71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258518"/>
    <m/>
    <x v="1"/>
    <n v="1258518"/>
  </r>
  <r>
    <x v="1"/>
    <x v="18"/>
    <x v="18"/>
    <x v="4"/>
    <s v="Prestación de Servicios Públicos"/>
    <x v="7"/>
    <x v="508"/>
    <x v="343"/>
    <x v="713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427870"/>
    <m/>
    <x v="1"/>
    <n v="427870"/>
  </r>
  <r>
    <x v="1"/>
    <x v="18"/>
    <x v="18"/>
    <x v="4"/>
    <s v="Prestación de Servicios Públicos"/>
    <x v="7"/>
    <x v="508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424360"/>
    <m/>
    <x v="1"/>
    <n v="1424360"/>
  </r>
  <r>
    <x v="1"/>
    <x v="18"/>
    <x v="18"/>
    <x v="4"/>
    <s v="Prestación de Servicios Públicos"/>
    <x v="7"/>
    <x v="508"/>
    <x v="344"/>
    <x v="714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599018"/>
    <m/>
    <x v="1"/>
    <n v="599018"/>
  </r>
  <r>
    <x v="1"/>
    <x v="18"/>
    <x v="18"/>
    <x v="4"/>
    <s v="Prestación de Servicios Públicos"/>
    <x v="7"/>
    <x v="508"/>
    <x v="345"/>
    <x v="71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681397"/>
    <m/>
    <x v="1"/>
    <n v="681397"/>
  </r>
  <r>
    <x v="1"/>
    <x v="18"/>
    <x v="18"/>
    <x v="4"/>
    <s v="Prestación de Servicios Públicos"/>
    <x v="7"/>
    <x v="508"/>
    <x v="345"/>
    <x v="715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855740"/>
    <m/>
    <x v="1"/>
    <n v="855740"/>
  </r>
  <r>
    <x v="1"/>
    <x v="18"/>
    <x v="18"/>
    <x v="4"/>
    <s v="Prestación de Servicios Públicos"/>
    <x v="7"/>
    <x v="508"/>
    <x v="346"/>
    <x v="71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915462"/>
    <m/>
    <x v="1"/>
    <n v="1915462"/>
  </r>
  <r>
    <x v="1"/>
    <x v="18"/>
    <x v="18"/>
    <x v="4"/>
    <s v="Prestación de Servicios Públicos"/>
    <x v="7"/>
    <x v="508"/>
    <x v="346"/>
    <x v="716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567222"/>
    <m/>
    <x v="1"/>
    <n v="2567222"/>
  </r>
  <r>
    <x v="1"/>
    <x v="18"/>
    <x v="18"/>
    <x v="4"/>
    <s v="Prestación de Servicios Públicos"/>
    <x v="7"/>
    <x v="508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403319"/>
    <m/>
    <x v="1"/>
    <n v="403319"/>
  </r>
  <r>
    <x v="1"/>
    <x v="18"/>
    <x v="18"/>
    <x v="4"/>
    <s v="Prestación de Servicios Públicos"/>
    <x v="7"/>
    <x v="508"/>
    <x v="347"/>
    <x v="71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283611"/>
    <m/>
    <x v="1"/>
    <n v="1283611"/>
  </r>
  <r>
    <x v="1"/>
    <x v="18"/>
    <x v="18"/>
    <x v="4"/>
    <s v="Prestación de Servicios Públicos"/>
    <x v="7"/>
    <x v="508"/>
    <x v="348"/>
    <x v="71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648529"/>
    <m/>
    <x v="1"/>
    <n v="648529"/>
  </r>
  <r>
    <x v="1"/>
    <x v="18"/>
    <x v="18"/>
    <x v="4"/>
    <s v="Prestación de Servicios Públicos"/>
    <x v="7"/>
    <x v="508"/>
    <x v="349"/>
    <x v="71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578858"/>
    <m/>
    <x v="1"/>
    <n v="578858"/>
  </r>
  <r>
    <x v="1"/>
    <x v="18"/>
    <x v="18"/>
    <x v="4"/>
    <s v="Prestación de Servicios Públicos"/>
    <x v="7"/>
    <x v="508"/>
    <x v="350"/>
    <x v="72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766040"/>
    <m/>
    <x v="1"/>
    <n v="1766040"/>
  </r>
  <r>
    <x v="1"/>
    <x v="18"/>
    <x v="18"/>
    <x v="4"/>
    <s v="Prestación de Servicios Públicos"/>
    <x v="7"/>
    <x v="508"/>
    <x v="350"/>
    <x v="720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336172"/>
    <m/>
    <x v="1"/>
    <n v="2336172"/>
  </r>
  <r>
    <x v="1"/>
    <x v="18"/>
    <x v="18"/>
    <x v="4"/>
    <s v="Prestación de Servicios Públicos"/>
    <x v="7"/>
    <x v="508"/>
    <x v="351"/>
    <x v="72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457775"/>
    <m/>
    <x v="1"/>
    <n v="457775"/>
  </r>
  <r>
    <x v="1"/>
    <x v="18"/>
    <x v="18"/>
    <x v="4"/>
    <s v="Prestación de Servicios Públicos"/>
    <x v="7"/>
    <x v="508"/>
    <x v="352"/>
    <x v="72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482404"/>
    <m/>
    <x v="1"/>
    <n v="2482404"/>
  </r>
  <r>
    <x v="1"/>
    <x v="18"/>
    <x v="18"/>
    <x v="4"/>
    <s v="Prestación de Servicios Públicos"/>
    <x v="7"/>
    <x v="508"/>
    <x v="352"/>
    <x v="72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3950954"/>
    <m/>
    <x v="1"/>
    <n v="3950954"/>
  </r>
  <r>
    <x v="1"/>
    <x v="18"/>
    <x v="18"/>
    <x v="4"/>
    <s v="Prestación de Servicios Públicos"/>
    <x v="8"/>
    <x v="509"/>
    <x v="353"/>
    <x v="72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n v="75754709"/>
    <n v="0"/>
    <n v="0"/>
    <n v="75754709"/>
    <n v="117383858"/>
    <m/>
    <x v="1"/>
    <n v="117383858"/>
  </r>
  <r>
    <x v="1"/>
    <x v="18"/>
    <x v="18"/>
    <x v="4"/>
    <s v="Prestación de Servicios Públicos"/>
    <x v="8"/>
    <x v="509"/>
    <x v="353"/>
    <x v="723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n v="82000000"/>
    <n v="0"/>
    <n v="0"/>
    <n v="82000000"/>
    <n v="146033139"/>
    <m/>
    <x v="1"/>
    <n v="146033139"/>
  </r>
  <r>
    <x v="1"/>
    <x v="18"/>
    <x v="18"/>
    <x v="4"/>
    <s v="Prestación de Servicios Públicos"/>
    <x v="8"/>
    <x v="509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758728"/>
    <m/>
    <x v="1"/>
    <n v="758728"/>
  </r>
  <r>
    <x v="1"/>
    <x v="18"/>
    <x v="18"/>
    <x v="4"/>
    <s v="Prestación de Servicios Públicos"/>
    <x v="8"/>
    <x v="509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892942"/>
    <m/>
    <x v="1"/>
    <n v="892942"/>
  </r>
  <r>
    <x v="1"/>
    <x v="18"/>
    <x v="18"/>
    <x v="4"/>
    <s v="Prestación de Servicios Públicos"/>
    <x v="8"/>
    <x v="509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371763"/>
    <m/>
    <x v="1"/>
    <n v="2371763"/>
  </r>
  <r>
    <x v="1"/>
    <x v="18"/>
    <x v="18"/>
    <x v="4"/>
    <s v="Prestación de Servicios Públicos"/>
    <x v="8"/>
    <x v="509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5339085"/>
    <m/>
    <x v="1"/>
    <n v="5339085"/>
  </r>
  <r>
    <x v="1"/>
    <x v="18"/>
    <x v="18"/>
    <x v="4"/>
    <s v="Prestación de Servicios Públicos"/>
    <x v="8"/>
    <x v="509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786"/>
    <m/>
    <x v="1"/>
    <n v="2786"/>
  </r>
  <r>
    <x v="1"/>
    <x v="18"/>
    <x v="18"/>
    <x v="4"/>
    <s v="Prestación de Servicios Públicos"/>
    <x v="8"/>
    <x v="509"/>
    <x v="333"/>
    <x v="70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47080"/>
    <m/>
    <x v="1"/>
    <n v="247080"/>
  </r>
  <r>
    <x v="1"/>
    <x v="18"/>
    <x v="18"/>
    <x v="4"/>
    <s v="Prestación de Servicios Públicos"/>
    <x v="8"/>
    <x v="509"/>
    <x v="335"/>
    <x v="70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7716"/>
    <m/>
    <x v="1"/>
    <n v="7716"/>
  </r>
  <r>
    <x v="1"/>
    <x v="18"/>
    <x v="18"/>
    <x v="4"/>
    <s v="Prestación de Servicios Públicos"/>
    <x v="8"/>
    <x v="509"/>
    <x v="319"/>
    <x v="67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648220"/>
    <m/>
    <x v="1"/>
    <n v="3648220"/>
  </r>
  <r>
    <x v="1"/>
    <x v="18"/>
    <x v="18"/>
    <x v="4"/>
    <s v="Prestación de Servicios Públicos"/>
    <x v="8"/>
    <x v="509"/>
    <x v="342"/>
    <x v="71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95878"/>
    <m/>
    <x v="1"/>
    <n v="195878"/>
  </r>
  <r>
    <x v="1"/>
    <x v="18"/>
    <x v="18"/>
    <x v="4"/>
    <s v="Prestación de Servicios Públicos"/>
    <x v="8"/>
    <x v="509"/>
    <x v="342"/>
    <x v="71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2996990"/>
    <m/>
    <x v="1"/>
    <n v="12996990"/>
  </r>
  <r>
    <x v="1"/>
    <x v="18"/>
    <x v="18"/>
    <x v="4"/>
    <s v="Prestación de Servicios Públicos"/>
    <x v="8"/>
    <x v="509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6079"/>
    <m/>
    <x v="1"/>
    <n v="36079"/>
  </r>
  <r>
    <x v="1"/>
    <x v="18"/>
    <x v="18"/>
    <x v="4"/>
    <s v="Prestación de Servicios Públicos"/>
    <x v="8"/>
    <x v="509"/>
    <x v="348"/>
    <x v="718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534653"/>
    <m/>
    <x v="1"/>
    <n v="534653"/>
  </r>
  <r>
    <x v="1"/>
    <x v="18"/>
    <x v="18"/>
    <x v="4"/>
    <s v="Prestación de Servicios Públicos"/>
    <x v="8"/>
    <x v="509"/>
    <x v="350"/>
    <x v="72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6210"/>
    <m/>
    <x v="1"/>
    <n v="6210"/>
  </r>
  <r>
    <x v="1"/>
    <x v="18"/>
    <x v="18"/>
    <x v="4"/>
    <s v="Prestación de Servicios Públicos"/>
    <x v="8"/>
    <x v="509"/>
    <x v="350"/>
    <x v="720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567222"/>
    <m/>
    <x v="1"/>
    <n v="2567222"/>
  </r>
  <r>
    <x v="1"/>
    <x v="18"/>
    <x v="18"/>
    <x v="4"/>
    <s v="Prestación de Servicios Públicos"/>
    <x v="8"/>
    <x v="509"/>
    <x v="352"/>
    <x v="72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542910"/>
    <m/>
    <x v="1"/>
    <n v="542910"/>
  </r>
  <r>
    <x v="1"/>
    <x v="18"/>
    <x v="18"/>
    <x v="4"/>
    <s v="Prestación de Servicios Públicos"/>
    <x v="9"/>
    <x v="510"/>
    <x v="354"/>
    <x v="724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n v="12948200"/>
    <n v="0"/>
    <n v="0"/>
    <n v="12948200"/>
    <n v="5688"/>
    <m/>
    <x v="1"/>
    <n v="5688"/>
  </r>
  <r>
    <x v="1"/>
    <x v="18"/>
    <x v="18"/>
    <x v="4"/>
    <s v="Prestación de Servicios Públicos"/>
    <x v="9"/>
    <x v="510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2011123"/>
    <m/>
    <x v="1"/>
    <n v="12011123"/>
  </r>
  <r>
    <x v="1"/>
    <x v="18"/>
    <x v="18"/>
    <x v="4"/>
    <s v="Prestación de Servicios Públicos"/>
    <x v="9"/>
    <x v="510"/>
    <x v="327"/>
    <x v="69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9935314"/>
    <m/>
    <x v="1"/>
    <n v="9935314"/>
  </r>
  <r>
    <x v="1"/>
    <x v="18"/>
    <x v="18"/>
    <x v="4"/>
    <s v="Prestación de Servicios Públicos"/>
    <x v="9"/>
    <x v="510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431802"/>
    <m/>
    <x v="1"/>
    <n v="1431802"/>
  </r>
  <r>
    <x v="1"/>
    <x v="18"/>
    <x v="18"/>
    <x v="4"/>
    <s v="Prestación de Servicios Públicos"/>
    <x v="9"/>
    <x v="510"/>
    <x v="344"/>
    <x v="714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9205234"/>
    <m/>
    <x v="1"/>
    <n v="9205234"/>
  </r>
  <r>
    <x v="1"/>
    <x v="18"/>
    <x v="18"/>
    <x v="4"/>
    <s v="Prestación de Servicios Públicos"/>
    <x v="10"/>
    <x v="511"/>
    <x v="40"/>
    <x v="725"/>
    <n v="3"/>
    <s v="Desarrollo Económico"/>
    <n v="7"/>
    <s v="Ciencia y Tecnología"/>
    <n v="1"/>
    <x v="33"/>
    <x v="4"/>
    <x v="136"/>
    <n v="1"/>
    <s v="Gasto corriente"/>
    <x v="0"/>
    <x v="1"/>
    <x v="0"/>
    <x v="1"/>
    <x v="0"/>
    <x v="0"/>
    <x v="0"/>
    <m/>
    <x v="0"/>
    <x v="0"/>
    <m/>
    <n v="5797913"/>
    <n v="0"/>
    <n v="0"/>
    <n v="5797913"/>
    <n v="5884058"/>
    <m/>
    <x v="1"/>
    <n v="5884058"/>
  </r>
  <r>
    <x v="1"/>
    <x v="18"/>
    <x v="18"/>
    <x v="4"/>
    <s v="Prestación de Servicios Públicos"/>
    <x v="10"/>
    <x v="511"/>
    <x v="40"/>
    <x v="725"/>
    <n v="3"/>
    <s v="Desarrollo Económico"/>
    <n v="7"/>
    <s v="Ciencia y Tecnología"/>
    <n v="1"/>
    <x v="33"/>
    <x v="4"/>
    <x v="136"/>
    <n v="1"/>
    <s v="Gasto corriente"/>
    <x v="0"/>
    <x v="0"/>
    <x v="0"/>
    <x v="1"/>
    <x v="0"/>
    <x v="0"/>
    <x v="0"/>
    <m/>
    <x v="0"/>
    <x v="0"/>
    <m/>
    <n v="204359655"/>
    <n v="11500000"/>
    <n v="-1600000"/>
    <n v="214259655"/>
    <n v="244904107"/>
    <m/>
    <x v="1"/>
    <n v="244904107"/>
  </r>
  <r>
    <x v="1"/>
    <x v="18"/>
    <x v="18"/>
    <x v="4"/>
    <s v="Prestación de Servicios Públicos"/>
    <x v="10"/>
    <x v="511"/>
    <x v="40"/>
    <x v="725"/>
    <n v="3"/>
    <s v="Desarrollo Económico"/>
    <n v="7"/>
    <s v="Ciencia y Tecnología"/>
    <n v="1"/>
    <x v="33"/>
    <x v="4"/>
    <x v="136"/>
    <n v="2"/>
    <s v="Gasto de capital"/>
    <x v="0"/>
    <x v="0"/>
    <x v="0"/>
    <x v="1"/>
    <x v="0"/>
    <x v="0"/>
    <x v="0"/>
    <m/>
    <x v="0"/>
    <x v="0"/>
    <m/>
    <n v="3971652"/>
    <n v="0"/>
    <n v="-1078871"/>
    <n v="2892781"/>
    <n v="6509500"/>
    <m/>
    <x v="1"/>
    <n v="6509500"/>
  </r>
  <r>
    <x v="1"/>
    <x v="18"/>
    <x v="18"/>
    <x v="4"/>
    <s v="Prestación de Servicios Públicos"/>
    <x v="10"/>
    <x v="511"/>
    <x v="355"/>
    <x v="726"/>
    <n v="3"/>
    <s v="Desarrollo Económico"/>
    <n v="7"/>
    <s v="Ciencia y Tecnología"/>
    <n v="2"/>
    <x v="42"/>
    <x v="11"/>
    <x v="137"/>
    <n v="1"/>
    <s v="Gasto corriente"/>
    <x v="0"/>
    <x v="1"/>
    <x v="0"/>
    <x v="1"/>
    <x v="1"/>
    <x v="0"/>
    <x v="0"/>
    <m/>
    <x v="0"/>
    <x v="0"/>
    <m/>
    <n v="6130255"/>
    <n v="0"/>
    <n v="0"/>
    <n v="6130255"/>
    <n v="6191583"/>
    <m/>
    <x v="1"/>
    <n v="6191583"/>
  </r>
  <r>
    <x v="1"/>
    <x v="18"/>
    <x v="18"/>
    <x v="4"/>
    <s v="Prestación de Servicios Públicos"/>
    <x v="10"/>
    <x v="511"/>
    <x v="355"/>
    <x v="726"/>
    <n v="3"/>
    <s v="Desarrollo Económico"/>
    <n v="7"/>
    <s v="Ciencia y Tecnología"/>
    <n v="2"/>
    <x v="42"/>
    <x v="11"/>
    <x v="137"/>
    <n v="1"/>
    <s v="Gasto corriente"/>
    <x v="0"/>
    <x v="0"/>
    <x v="0"/>
    <x v="1"/>
    <x v="1"/>
    <x v="0"/>
    <x v="0"/>
    <m/>
    <x v="0"/>
    <x v="0"/>
    <m/>
    <n v="216643852"/>
    <n v="0"/>
    <n v="-980000"/>
    <n v="215663852"/>
    <n v="233193326"/>
    <m/>
    <x v="1"/>
    <n v="233193326"/>
  </r>
  <r>
    <x v="1"/>
    <x v="18"/>
    <x v="18"/>
    <x v="4"/>
    <s v="Prestación de Servicios Públicos"/>
    <x v="10"/>
    <x v="511"/>
    <x v="355"/>
    <x v="726"/>
    <n v="3"/>
    <s v="Desarrollo Económico"/>
    <n v="7"/>
    <s v="Ciencia y Tecnología"/>
    <n v="2"/>
    <x v="42"/>
    <x v="11"/>
    <x v="137"/>
    <n v="2"/>
    <s v="Gasto de capital"/>
    <x v="0"/>
    <x v="0"/>
    <x v="0"/>
    <x v="1"/>
    <x v="1"/>
    <x v="0"/>
    <x v="0"/>
    <m/>
    <x v="0"/>
    <x v="0"/>
    <m/>
    <n v="1140408"/>
    <n v="0"/>
    <n v="-387560"/>
    <n v="752848"/>
    <n v="752848"/>
    <m/>
    <x v="1"/>
    <n v="752848"/>
  </r>
  <r>
    <x v="1"/>
    <x v="18"/>
    <x v="18"/>
    <x v="4"/>
    <s v="Prestación de Servicios Públicos"/>
    <x v="14"/>
    <x v="512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1"/>
    <x v="0"/>
    <x v="0"/>
    <x v="1"/>
    <x v="0"/>
    <x v="0"/>
    <m/>
    <x v="0"/>
    <x v="1"/>
    <m/>
    <n v="20449213"/>
    <n v="0"/>
    <n v="0"/>
    <n v="20449213"/>
    <n v="25069113"/>
    <m/>
    <x v="1"/>
    <n v="25069113"/>
  </r>
  <r>
    <x v="1"/>
    <x v="18"/>
    <x v="18"/>
    <x v="4"/>
    <s v="Prestación de Servicios Públicos"/>
    <x v="14"/>
    <x v="512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0"/>
    <x v="0"/>
    <x v="0"/>
    <x v="1"/>
    <x v="0"/>
    <x v="0"/>
    <m/>
    <x v="0"/>
    <x v="1"/>
    <m/>
    <n v="587922656"/>
    <n v="39750000"/>
    <n v="-15452012"/>
    <n v="612220644"/>
    <n v="593766708"/>
    <m/>
    <x v="1"/>
    <n v="593766708"/>
  </r>
  <r>
    <x v="1"/>
    <x v="18"/>
    <x v="18"/>
    <x v="4"/>
    <s v="Prestación de Servicios Públicos"/>
    <x v="14"/>
    <x v="512"/>
    <x v="320"/>
    <x v="690"/>
    <n v="3"/>
    <s v="Desarrollo Económico"/>
    <n v="2"/>
    <s v="Desarrollo Agropecuario y Forestal"/>
    <n v="6"/>
    <x v="64"/>
    <x v="0"/>
    <x v="134"/>
    <n v="2"/>
    <s v="Gasto de capital"/>
    <x v="0"/>
    <x v="0"/>
    <x v="0"/>
    <x v="0"/>
    <x v="1"/>
    <x v="0"/>
    <x v="0"/>
    <m/>
    <x v="0"/>
    <x v="1"/>
    <m/>
    <n v="47523300"/>
    <n v="0"/>
    <n v="0"/>
    <n v="47523300"/>
    <n v="7500000"/>
    <m/>
    <x v="1"/>
    <n v="7500000"/>
  </r>
  <r>
    <x v="1"/>
    <x v="18"/>
    <x v="18"/>
    <x v="4"/>
    <s v="Prestación de Servicios Públicos"/>
    <x v="18"/>
    <x v="513"/>
    <x v="353"/>
    <x v="723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n v="20000000"/>
    <n v="0"/>
    <n v="0"/>
    <n v="20000000"/>
    <m/>
    <m/>
    <x v="1"/>
    <n v="0"/>
  </r>
  <r>
    <x v="1"/>
    <x v="18"/>
    <x v="18"/>
    <x v="10"/>
    <s v="Regulación y supervisión"/>
    <x v="2"/>
    <x v="514"/>
    <x v="356"/>
    <x v="72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n v="79105433"/>
    <n v="0"/>
    <n v="0"/>
    <n v="79105433"/>
    <n v="53186274"/>
    <m/>
    <x v="1"/>
    <n v="53186274"/>
  </r>
  <r>
    <x v="1"/>
    <x v="18"/>
    <x v="18"/>
    <x v="10"/>
    <s v="Regulación y supervisión"/>
    <x v="2"/>
    <x v="514"/>
    <x v="356"/>
    <x v="72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n v="14614828"/>
    <n v="0"/>
    <n v="0"/>
    <n v="14614828"/>
    <n v="24640992"/>
    <m/>
    <x v="1"/>
    <n v="24640992"/>
  </r>
  <r>
    <x v="1"/>
    <x v="18"/>
    <x v="18"/>
    <x v="10"/>
    <s v="Regulación y supervisión"/>
    <x v="2"/>
    <x v="514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276302"/>
    <m/>
    <x v="1"/>
    <n v="2276302"/>
  </r>
  <r>
    <x v="1"/>
    <x v="18"/>
    <x v="18"/>
    <x v="10"/>
    <s v="Regulación y supervisión"/>
    <x v="2"/>
    <x v="514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4061752"/>
    <m/>
    <x v="1"/>
    <n v="4061752"/>
  </r>
  <r>
    <x v="1"/>
    <x v="18"/>
    <x v="18"/>
    <x v="10"/>
    <s v="Regulación y supervisión"/>
    <x v="2"/>
    <x v="514"/>
    <x v="357"/>
    <x v="72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467653"/>
    <m/>
    <x v="1"/>
    <n v="1467653"/>
  </r>
  <r>
    <x v="1"/>
    <x v="18"/>
    <x v="18"/>
    <x v="10"/>
    <s v="Regulación y supervisión"/>
    <x v="2"/>
    <x v="514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800349"/>
    <m/>
    <x v="1"/>
    <n v="3800349"/>
  </r>
  <r>
    <x v="1"/>
    <x v="18"/>
    <x v="18"/>
    <x v="10"/>
    <s v="Regulación y supervisión"/>
    <x v="2"/>
    <x v="514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6148029"/>
    <m/>
    <x v="1"/>
    <n v="6148029"/>
  </r>
  <r>
    <x v="1"/>
    <x v="18"/>
    <x v="18"/>
    <x v="10"/>
    <s v="Regulación y supervisión"/>
    <x v="2"/>
    <x v="514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4368825"/>
    <m/>
    <x v="1"/>
    <n v="4368825"/>
  </r>
  <r>
    <x v="1"/>
    <x v="18"/>
    <x v="18"/>
    <x v="10"/>
    <s v="Regulación y supervisión"/>
    <x v="2"/>
    <x v="514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5734694"/>
    <m/>
    <x v="1"/>
    <n v="5734694"/>
  </r>
  <r>
    <x v="1"/>
    <x v="18"/>
    <x v="18"/>
    <x v="10"/>
    <s v="Regulación y supervisión"/>
    <x v="2"/>
    <x v="514"/>
    <x v="358"/>
    <x v="72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085036"/>
    <m/>
    <x v="1"/>
    <n v="3085036"/>
  </r>
  <r>
    <x v="1"/>
    <x v="18"/>
    <x v="18"/>
    <x v="10"/>
    <s v="Regulación y supervisión"/>
    <x v="2"/>
    <x v="514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265042"/>
    <m/>
    <x v="1"/>
    <n v="3265042"/>
  </r>
  <r>
    <x v="1"/>
    <x v="18"/>
    <x v="18"/>
    <x v="10"/>
    <s v="Regulación y supervisión"/>
    <x v="2"/>
    <x v="514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696521"/>
    <m/>
    <x v="1"/>
    <n v="3696521"/>
  </r>
  <r>
    <x v="1"/>
    <x v="18"/>
    <x v="18"/>
    <x v="10"/>
    <s v="Regulación y supervisión"/>
    <x v="2"/>
    <x v="514"/>
    <x v="332"/>
    <x v="70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6219393"/>
    <m/>
    <x v="1"/>
    <n v="6219393"/>
  </r>
  <r>
    <x v="1"/>
    <x v="18"/>
    <x v="18"/>
    <x v="10"/>
    <s v="Regulación y supervisión"/>
    <x v="2"/>
    <x v="514"/>
    <x v="333"/>
    <x v="70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154667"/>
    <m/>
    <x v="1"/>
    <n v="3154667"/>
  </r>
  <r>
    <x v="1"/>
    <x v="18"/>
    <x v="18"/>
    <x v="10"/>
    <s v="Regulación y supervisión"/>
    <x v="2"/>
    <x v="514"/>
    <x v="334"/>
    <x v="70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407579"/>
    <m/>
    <x v="1"/>
    <n v="3407579"/>
  </r>
  <r>
    <x v="1"/>
    <x v="18"/>
    <x v="18"/>
    <x v="10"/>
    <s v="Regulación y supervisión"/>
    <x v="2"/>
    <x v="514"/>
    <x v="335"/>
    <x v="70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243409"/>
    <m/>
    <x v="1"/>
    <n v="1243409"/>
  </r>
  <r>
    <x v="1"/>
    <x v="18"/>
    <x v="18"/>
    <x v="10"/>
    <s v="Regulación y supervisión"/>
    <x v="2"/>
    <x v="514"/>
    <x v="336"/>
    <x v="70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510620"/>
    <m/>
    <x v="1"/>
    <n v="2510620"/>
  </r>
  <r>
    <x v="1"/>
    <x v="18"/>
    <x v="18"/>
    <x v="10"/>
    <s v="Regulación y supervisión"/>
    <x v="2"/>
    <x v="514"/>
    <x v="337"/>
    <x v="70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194437"/>
    <m/>
    <x v="1"/>
    <n v="2194437"/>
  </r>
  <r>
    <x v="1"/>
    <x v="18"/>
    <x v="18"/>
    <x v="10"/>
    <s v="Regulación y supervisión"/>
    <x v="2"/>
    <x v="514"/>
    <x v="338"/>
    <x v="70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211921"/>
    <m/>
    <x v="1"/>
    <n v="3211921"/>
  </r>
  <r>
    <x v="1"/>
    <x v="18"/>
    <x v="18"/>
    <x v="10"/>
    <s v="Regulación y supervisión"/>
    <x v="2"/>
    <x v="514"/>
    <x v="339"/>
    <x v="70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092736"/>
    <m/>
    <x v="1"/>
    <n v="2092736"/>
  </r>
  <r>
    <x v="1"/>
    <x v="18"/>
    <x v="18"/>
    <x v="10"/>
    <s v="Regulación y supervisión"/>
    <x v="2"/>
    <x v="514"/>
    <x v="340"/>
    <x v="71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245474"/>
    <m/>
    <x v="1"/>
    <n v="1245474"/>
  </r>
  <r>
    <x v="1"/>
    <x v="18"/>
    <x v="18"/>
    <x v="10"/>
    <s v="Regulación y supervisión"/>
    <x v="2"/>
    <x v="514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757384"/>
    <m/>
    <x v="1"/>
    <n v="1757384"/>
  </r>
  <r>
    <x v="1"/>
    <x v="18"/>
    <x v="18"/>
    <x v="10"/>
    <s v="Regulación y supervisión"/>
    <x v="2"/>
    <x v="514"/>
    <x v="341"/>
    <x v="711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504313"/>
    <m/>
    <x v="1"/>
    <n v="1504313"/>
  </r>
  <r>
    <x v="1"/>
    <x v="18"/>
    <x v="18"/>
    <x v="10"/>
    <s v="Regulación y supervisión"/>
    <x v="2"/>
    <x v="514"/>
    <x v="359"/>
    <x v="73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108381"/>
    <m/>
    <x v="1"/>
    <n v="2108381"/>
  </r>
  <r>
    <x v="1"/>
    <x v="18"/>
    <x v="18"/>
    <x v="10"/>
    <s v="Regulación y supervisión"/>
    <x v="2"/>
    <x v="514"/>
    <x v="319"/>
    <x v="67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598534"/>
    <m/>
    <x v="1"/>
    <n v="2598534"/>
  </r>
  <r>
    <x v="1"/>
    <x v="18"/>
    <x v="18"/>
    <x v="10"/>
    <s v="Regulación y supervisión"/>
    <x v="2"/>
    <x v="514"/>
    <x v="342"/>
    <x v="71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084680"/>
    <m/>
    <x v="1"/>
    <n v="2084680"/>
  </r>
  <r>
    <x v="1"/>
    <x v="18"/>
    <x v="18"/>
    <x v="10"/>
    <s v="Regulación y supervisión"/>
    <x v="2"/>
    <x v="514"/>
    <x v="342"/>
    <x v="71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155405"/>
    <m/>
    <x v="1"/>
    <n v="1155405"/>
  </r>
  <r>
    <x v="1"/>
    <x v="18"/>
    <x v="18"/>
    <x v="10"/>
    <s v="Regulación y supervisión"/>
    <x v="2"/>
    <x v="514"/>
    <x v="343"/>
    <x v="71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983235"/>
    <m/>
    <x v="1"/>
    <n v="1983235"/>
  </r>
  <r>
    <x v="1"/>
    <x v="18"/>
    <x v="18"/>
    <x v="10"/>
    <s v="Regulación y supervisión"/>
    <x v="2"/>
    <x v="514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727110"/>
    <m/>
    <x v="1"/>
    <n v="3727110"/>
  </r>
  <r>
    <x v="1"/>
    <x v="18"/>
    <x v="18"/>
    <x v="10"/>
    <s v="Regulación y supervisión"/>
    <x v="2"/>
    <x v="514"/>
    <x v="345"/>
    <x v="71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925781"/>
    <m/>
    <x v="1"/>
    <n v="1925781"/>
  </r>
  <r>
    <x v="1"/>
    <x v="18"/>
    <x v="18"/>
    <x v="10"/>
    <s v="Regulación y supervisión"/>
    <x v="2"/>
    <x v="514"/>
    <x v="346"/>
    <x v="71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2478809"/>
    <m/>
    <x v="1"/>
    <n v="2478809"/>
  </r>
  <r>
    <x v="1"/>
    <x v="18"/>
    <x v="18"/>
    <x v="10"/>
    <s v="Regulación y supervisión"/>
    <x v="2"/>
    <x v="514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812687"/>
    <m/>
    <x v="1"/>
    <n v="1812687"/>
  </r>
  <r>
    <x v="1"/>
    <x v="18"/>
    <x v="18"/>
    <x v="10"/>
    <s v="Regulación y supervisión"/>
    <x v="2"/>
    <x v="514"/>
    <x v="348"/>
    <x v="71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675320"/>
    <m/>
    <x v="1"/>
    <n v="1675320"/>
  </r>
  <r>
    <x v="1"/>
    <x v="18"/>
    <x v="18"/>
    <x v="10"/>
    <s v="Regulación y supervisión"/>
    <x v="2"/>
    <x v="514"/>
    <x v="349"/>
    <x v="71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250050"/>
    <m/>
    <x v="1"/>
    <n v="3250050"/>
  </r>
  <r>
    <x v="1"/>
    <x v="18"/>
    <x v="18"/>
    <x v="10"/>
    <s v="Regulación y supervisión"/>
    <x v="2"/>
    <x v="514"/>
    <x v="350"/>
    <x v="72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592766"/>
    <m/>
    <x v="1"/>
    <n v="1592766"/>
  </r>
  <r>
    <x v="1"/>
    <x v="18"/>
    <x v="18"/>
    <x v="10"/>
    <s v="Regulación y supervisión"/>
    <x v="2"/>
    <x v="514"/>
    <x v="350"/>
    <x v="720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658749"/>
    <m/>
    <x v="1"/>
    <n v="1658749"/>
  </r>
  <r>
    <x v="1"/>
    <x v="18"/>
    <x v="18"/>
    <x v="10"/>
    <s v="Regulación y supervisión"/>
    <x v="2"/>
    <x v="514"/>
    <x v="351"/>
    <x v="72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439739"/>
    <m/>
    <x v="1"/>
    <n v="1439739"/>
  </r>
  <r>
    <x v="1"/>
    <x v="18"/>
    <x v="18"/>
    <x v="10"/>
    <s v="Regulación y supervisión"/>
    <x v="2"/>
    <x v="514"/>
    <x v="352"/>
    <x v="72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3223001"/>
    <m/>
    <x v="1"/>
    <n v="3223001"/>
  </r>
  <r>
    <x v="1"/>
    <x v="18"/>
    <x v="18"/>
    <x v="10"/>
    <s v="Regulación y supervisión"/>
    <x v="4"/>
    <x v="515"/>
    <x v="18"/>
    <x v="731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668674"/>
    <n v="0"/>
    <n v="0"/>
    <n v="668674"/>
    <n v="791721"/>
    <m/>
    <x v="1"/>
    <n v="791721"/>
  </r>
  <r>
    <x v="1"/>
    <x v="18"/>
    <x v="18"/>
    <x v="10"/>
    <s v="Regulación y supervisión"/>
    <x v="4"/>
    <x v="515"/>
    <x v="18"/>
    <x v="73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0920246"/>
    <n v="0"/>
    <n v="-183907"/>
    <n v="10736339"/>
    <n v="10939764"/>
    <m/>
    <x v="1"/>
    <n v="10939764"/>
  </r>
  <r>
    <x v="1"/>
    <x v="18"/>
    <x v="18"/>
    <x v="10"/>
    <s v="Regulación y supervisión"/>
    <x v="4"/>
    <x v="515"/>
    <x v="107"/>
    <x v="680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244903"/>
    <n v="0"/>
    <n v="0"/>
    <n v="1244903"/>
    <n v="1482493"/>
    <m/>
    <x v="1"/>
    <n v="1482493"/>
  </r>
  <r>
    <x v="1"/>
    <x v="18"/>
    <x v="18"/>
    <x v="10"/>
    <s v="Regulación y supervisión"/>
    <x v="4"/>
    <x v="515"/>
    <x v="107"/>
    <x v="680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6447965"/>
    <n v="0"/>
    <n v="-268502"/>
    <n v="16179463"/>
    <n v="16408520"/>
    <m/>
    <x v="1"/>
    <n v="16408520"/>
  </r>
  <r>
    <x v="1"/>
    <x v="18"/>
    <x v="18"/>
    <x v="10"/>
    <s v="Regulación y supervisión"/>
    <x v="4"/>
    <x v="515"/>
    <x v="83"/>
    <x v="732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974714"/>
    <n v="0"/>
    <n v="0"/>
    <n v="974714"/>
    <n v="1228524"/>
    <m/>
    <x v="1"/>
    <n v="1228524"/>
  </r>
  <r>
    <x v="1"/>
    <x v="18"/>
    <x v="18"/>
    <x v="10"/>
    <s v="Regulación y supervisión"/>
    <x v="4"/>
    <x v="515"/>
    <x v="83"/>
    <x v="73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3781147"/>
    <n v="0"/>
    <n v="-204434"/>
    <n v="13576713"/>
    <n v="14339539"/>
    <m/>
    <x v="1"/>
    <n v="14339539"/>
  </r>
  <r>
    <x v="1"/>
    <x v="18"/>
    <x v="18"/>
    <x v="10"/>
    <s v="Regulación y supervisión"/>
    <x v="4"/>
    <x v="515"/>
    <x v="108"/>
    <x v="681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189665"/>
    <n v="0"/>
    <n v="0"/>
    <n v="1189665"/>
    <n v="1380089"/>
    <m/>
    <x v="1"/>
    <n v="1380089"/>
  </r>
  <r>
    <x v="1"/>
    <x v="18"/>
    <x v="18"/>
    <x v="10"/>
    <s v="Regulación y supervisión"/>
    <x v="4"/>
    <x v="515"/>
    <x v="108"/>
    <x v="68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5695686"/>
    <n v="0"/>
    <n v="-248146"/>
    <n v="15447540"/>
    <n v="15483136"/>
    <m/>
    <x v="1"/>
    <n v="15483136"/>
  </r>
  <r>
    <x v="1"/>
    <x v="18"/>
    <x v="18"/>
    <x v="10"/>
    <s v="Regulación y supervisión"/>
    <x v="4"/>
    <x v="515"/>
    <x v="109"/>
    <x v="733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859576"/>
    <n v="0"/>
    <n v="0"/>
    <n v="859576"/>
    <n v="1066751"/>
    <m/>
    <x v="1"/>
    <n v="1066751"/>
  </r>
  <r>
    <x v="1"/>
    <x v="18"/>
    <x v="18"/>
    <x v="10"/>
    <s v="Regulación y supervisión"/>
    <x v="4"/>
    <x v="515"/>
    <x v="109"/>
    <x v="733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2637695"/>
    <n v="0"/>
    <n v="-209871"/>
    <n v="12427824"/>
    <n v="12802528"/>
    <m/>
    <x v="1"/>
    <n v="12802528"/>
  </r>
  <r>
    <x v="1"/>
    <x v="18"/>
    <x v="18"/>
    <x v="10"/>
    <s v="Regulación y supervisión"/>
    <x v="4"/>
    <x v="515"/>
    <x v="110"/>
    <x v="734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754914"/>
    <n v="0"/>
    <n v="0"/>
    <n v="754914"/>
    <n v="878702"/>
    <m/>
    <x v="1"/>
    <n v="878702"/>
  </r>
  <r>
    <x v="1"/>
    <x v="18"/>
    <x v="18"/>
    <x v="10"/>
    <s v="Regulación y supervisión"/>
    <x v="4"/>
    <x v="515"/>
    <x v="110"/>
    <x v="734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2157857"/>
    <n v="0"/>
    <n v="-210923"/>
    <n v="11946934"/>
    <n v="12015093"/>
    <m/>
    <x v="1"/>
    <n v="12015093"/>
  </r>
  <r>
    <x v="1"/>
    <x v="18"/>
    <x v="18"/>
    <x v="10"/>
    <s v="Regulación y supervisión"/>
    <x v="4"/>
    <x v="515"/>
    <x v="26"/>
    <x v="682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326980"/>
    <n v="0"/>
    <n v="0"/>
    <n v="1326980"/>
    <n v="1570169"/>
    <m/>
    <x v="1"/>
    <n v="1570169"/>
  </r>
  <r>
    <x v="1"/>
    <x v="18"/>
    <x v="18"/>
    <x v="10"/>
    <s v="Regulación y supervisión"/>
    <x v="4"/>
    <x v="515"/>
    <x v="26"/>
    <x v="68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9219125"/>
    <n v="0"/>
    <n v="-308733"/>
    <n v="18910392"/>
    <n v="18788962"/>
    <m/>
    <x v="1"/>
    <n v="18788962"/>
  </r>
  <r>
    <x v="1"/>
    <x v="18"/>
    <x v="18"/>
    <x v="10"/>
    <s v="Regulación y supervisión"/>
    <x v="4"/>
    <x v="515"/>
    <x v="27"/>
    <x v="735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178559"/>
    <n v="0"/>
    <n v="0"/>
    <n v="1178559"/>
    <n v="1384015"/>
    <m/>
    <x v="1"/>
    <n v="1384015"/>
  </r>
  <r>
    <x v="1"/>
    <x v="18"/>
    <x v="18"/>
    <x v="10"/>
    <s v="Regulación y supervisión"/>
    <x v="4"/>
    <x v="515"/>
    <x v="27"/>
    <x v="735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5425528"/>
    <n v="0"/>
    <n v="-243503"/>
    <n v="15182025"/>
    <n v="15158643"/>
    <m/>
    <x v="1"/>
    <n v="15158643"/>
  </r>
  <r>
    <x v="1"/>
    <x v="18"/>
    <x v="18"/>
    <x v="10"/>
    <s v="Regulación y supervisión"/>
    <x v="4"/>
    <x v="515"/>
    <x v="28"/>
    <x v="736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412883"/>
    <n v="0"/>
    <n v="0"/>
    <n v="1412883"/>
    <n v="1759310"/>
    <m/>
    <x v="1"/>
    <n v="1759310"/>
  </r>
  <r>
    <x v="1"/>
    <x v="18"/>
    <x v="18"/>
    <x v="10"/>
    <s v="Regulación y supervisión"/>
    <x v="4"/>
    <x v="515"/>
    <x v="28"/>
    <x v="736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7932483"/>
    <n v="0"/>
    <n v="-270505"/>
    <n v="17661978"/>
    <n v="18040579"/>
    <m/>
    <x v="1"/>
    <n v="18040579"/>
  </r>
  <r>
    <x v="1"/>
    <x v="18"/>
    <x v="18"/>
    <x v="10"/>
    <s v="Regulación y supervisión"/>
    <x v="4"/>
    <x v="515"/>
    <x v="29"/>
    <x v="683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536024"/>
    <n v="0"/>
    <n v="0"/>
    <n v="536024"/>
    <n v="643456"/>
    <m/>
    <x v="1"/>
    <n v="643456"/>
  </r>
  <r>
    <x v="1"/>
    <x v="18"/>
    <x v="18"/>
    <x v="10"/>
    <s v="Regulación y supervisión"/>
    <x v="4"/>
    <x v="515"/>
    <x v="29"/>
    <x v="683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0374715"/>
    <n v="0"/>
    <n v="-187005"/>
    <n v="10187710"/>
    <n v="10333404"/>
    <m/>
    <x v="1"/>
    <n v="10333404"/>
  </r>
  <r>
    <x v="1"/>
    <x v="18"/>
    <x v="18"/>
    <x v="10"/>
    <s v="Regulación y supervisión"/>
    <x v="4"/>
    <x v="515"/>
    <x v="111"/>
    <x v="684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2949572"/>
    <n v="0"/>
    <n v="0"/>
    <n v="2949572"/>
    <n v="3590307"/>
    <m/>
    <x v="1"/>
    <n v="3590307"/>
  </r>
  <r>
    <x v="1"/>
    <x v="18"/>
    <x v="18"/>
    <x v="10"/>
    <s v="Regulación y supervisión"/>
    <x v="4"/>
    <x v="515"/>
    <x v="111"/>
    <x v="684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29759417"/>
    <n v="0"/>
    <n v="-406307"/>
    <n v="29353110"/>
    <n v="29426211"/>
    <m/>
    <x v="1"/>
    <n v="29426211"/>
  </r>
  <r>
    <x v="1"/>
    <x v="18"/>
    <x v="18"/>
    <x v="10"/>
    <s v="Regulación y supervisión"/>
    <x v="4"/>
    <x v="515"/>
    <x v="121"/>
    <x v="685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655759"/>
    <n v="0"/>
    <n v="0"/>
    <n v="655759"/>
    <n v="757564"/>
    <m/>
    <x v="1"/>
    <n v="757564"/>
  </r>
  <r>
    <x v="1"/>
    <x v="18"/>
    <x v="18"/>
    <x v="10"/>
    <s v="Regulación y supervisión"/>
    <x v="4"/>
    <x v="515"/>
    <x v="121"/>
    <x v="685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1111264"/>
    <n v="0"/>
    <n v="-196578"/>
    <n v="10914686"/>
    <n v="10763620"/>
    <m/>
    <x v="1"/>
    <n v="10763620"/>
  </r>
  <r>
    <x v="1"/>
    <x v="18"/>
    <x v="18"/>
    <x v="10"/>
    <s v="Regulación y supervisión"/>
    <x v="4"/>
    <x v="515"/>
    <x v="122"/>
    <x v="737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512722"/>
    <n v="0"/>
    <n v="0"/>
    <n v="1512722"/>
    <n v="1896137"/>
    <m/>
    <x v="1"/>
    <n v="1896137"/>
  </r>
  <r>
    <x v="1"/>
    <x v="18"/>
    <x v="18"/>
    <x v="10"/>
    <s v="Regulación y supervisión"/>
    <x v="4"/>
    <x v="515"/>
    <x v="122"/>
    <x v="737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9466725"/>
    <n v="0"/>
    <n v="-316967"/>
    <n v="19149758"/>
    <n v="19312724"/>
    <m/>
    <x v="1"/>
    <n v="19312724"/>
  </r>
  <r>
    <x v="1"/>
    <x v="18"/>
    <x v="18"/>
    <x v="10"/>
    <s v="Regulación y supervisión"/>
    <x v="4"/>
    <x v="515"/>
    <x v="113"/>
    <x v="738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425494"/>
    <n v="0"/>
    <n v="0"/>
    <n v="1425494"/>
    <n v="1673067"/>
    <m/>
    <x v="1"/>
    <n v="1673067"/>
  </r>
  <r>
    <x v="1"/>
    <x v="18"/>
    <x v="18"/>
    <x v="10"/>
    <s v="Regulación y supervisión"/>
    <x v="4"/>
    <x v="515"/>
    <x v="113"/>
    <x v="738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8733353"/>
    <n v="0"/>
    <n v="-317679"/>
    <n v="18415674"/>
    <n v="18426233"/>
    <m/>
    <x v="1"/>
    <n v="18426233"/>
  </r>
  <r>
    <x v="1"/>
    <x v="18"/>
    <x v="18"/>
    <x v="10"/>
    <s v="Regulación y supervisión"/>
    <x v="4"/>
    <x v="515"/>
    <x v="112"/>
    <x v="739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848200"/>
    <n v="0"/>
    <n v="0"/>
    <n v="1848200"/>
    <n v="2238666"/>
    <m/>
    <x v="1"/>
    <n v="2238666"/>
  </r>
  <r>
    <x v="1"/>
    <x v="18"/>
    <x v="18"/>
    <x v="10"/>
    <s v="Regulación y supervisión"/>
    <x v="4"/>
    <x v="515"/>
    <x v="112"/>
    <x v="739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21686486"/>
    <n v="0"/>
    <n v="-334503"/>
    <n v="21351983"/>
    <n v="21329939"/>
    <m/>
    <x v="1"/>
    <n v="21329939"/>
  </r>
  <r>
    <x v="1"/>
    <x v="18"/>
    <x v="18"/>
    <x v="10"/>
    <s v="Regulación y supervisión"/>
    <x v="4"/>
    <x v="515"/>
    <x v="123"/>
    <x v="740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650637"/>
    <n v="0"/>
    <n v="0"/>
    <n v="650637"/>
    <n v="788009"/>
    <m/>
    <x v="1"/>
    <n v="788009"/>
  </r>
  <r>
    <x v="1"/>
    <x v="18"/>
    <x v="18"/>
    <x v="10"/>
    <s v="Regulación y supervisión"/>
    <x v="4"/>
    <x v="515"/>
    <x v="123"/>
    <x v="740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0735517"/>
    <n v="0"/>
    <n v="-177192"/>
    <n v="10558325"/>
    <n v="10661606"/>
    <m/>
    <x v="1"/>
    <n v="10661606"/>
  </r>
  <r>
    <x v="1"/>
    <x v="18"/>
    <x v="18"/>
    <x v="10"/>
    <s v="Regulación y supervisión"/>
    <x v="4"/>
    <x v="515"/>
    <x v="116"/>
    <x v="686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012835"/>
    <n v="0"/>
    <n v="0"/>
    <n v="1012835"/>
    <n v="1270035"/>
    <m/>
    <x v="1"/>
    <n v="1270035"/>
  </r>
  <r>
    <x v="1"/>
    <x v="18"/>
    <x v="18"/>
    <x v="10"/>
    <s v="Regulación y supervisión"/>
    <x v="4"/>
    <x v="515"/>
    <x v="116"/>
    <x v="686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4297394"/>
    <n v="0"/>
    <n v="-234118"/>
    <n v="14063276"/>
    <n v="14259039"/>
    <m/>
    <x v="1"/>
    <n v="14259039"/>
  </r>
  <r>
    <x v="1"/>
    <x v="18"/>
    <x v="18"/>
    <x v="10"/>
    <s v="Regulación y supervisión"/>
    <x v="4"/>
    <x v="515"/>
    <x v="114"/>
    <x v="741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691636"/>
    <n v="0"/>
    <n v="0"/>
    <n v="691636"/>
    <n v="819820"/>
    <m/>
    <x v="1"/>
    <n v="819820"/>
  </r>
  <r>
    <x v="1"/>
    <x v="18"/>
    <x v="18"/>
    <x v="10"/>
    <s v="Regulación y supervisión"/>
    <x v="4"/>
    <x v="515"/>
    <x v="114"/>
    <x v="74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0999650"/>
    <n v="0"/>
    <n v="-194146"/>
    <n v="10805504"/>
    <n v="10701819"/>
    <m/>
    <x v="1"/>
    <n v="10701819"/>
  </r>
  <r>
    <x v="1"/>
    <x v="18"/>
    <x v="18"/>
    <x v="10"/>
    <s v="Regulación y supervisión"/>
    <x v="4"/>
    <x v="515"/>
    <x v="117"/>
    <x v="687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320612"/>
    <n v="0"/>
    <n v="0"/>
    <n v="1320612"/>
    <n v="1659737"/>
    <m/>
    <x v="1"/>
    <n v="1659737"/>
  </r>
  <r>
    <x v="1"/>
    <x v="18"/>
    <x v="18"/>
    <x v="10"/>
    <s v="Regulación y supervisión"/>
    <x v="4"/>
    <x v="515"/>
    <x v="117"/>
    <x v="687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8012274"/>
    <n v="0"/>
    <n v="-291961"/>
    <n v="17720313"/>
    <n v="17872873"/>
    <m/>
    <x v="1"/>
    <n v="17872873"/>
  </r>
  <r>
    <x v="1"/>
    <x v="18"/>
    <x v="18"/>
    <x v="10"/>
    <s v="Regulación y supervisión"/>
    <x v="4"/>
    <x v="515"/>
    <x v="124"/>
    <x v="742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975698"/>
    <n v="0"/>
    <n v="0"/>
    <n v="975698"/>
    <n v="1136909"/>
    <m/>
    <x v="1"/>
    <n v="1136909"/>
  </r>
  <r>
    <x v="1"/>
    <x v="18"/>
    <x v="18"/>
    <x v="10"/>
    <s v="Regulación y supervisión"/>
    <x v="4"/>
    <x v="515"/>
    <x v="124"/>
    <x v="74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3238509"/>
    <n v="0"/>
    <n v="-219257"/>
    <n v="13019252"/>
    <n v="12759947"/>
    <m/>
    <x v="1"/>
    <n v="12759947"/>
  </r>
  <r>
    <x v="1"/>
    <x v="18"/>
    <x v="18"/>
    <x v="10"/>
    <s v="Regulación y supervisión"/>
    <x v="4"/>
    <x v="515"/>
    <x v="125"/>
    <x v="688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707163"/>
    <n v="0"/>
    <n v="0"/>
    <n v="707163"/>
    <n v="858324"/>
    <m/>
    <x v="1"/>
    <n v="858324"/>
  </r>
  <r>
    <x v="1"/>
    <x v="18"/>
    <x v="18"/>
    <x v="10"/>
    <s v="Regulación y supervisión"/>
    <x v="4"/>
    <x v="515"/>
    <x v="125"/>
    <x v="688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0854737"/>
    <n v="0"/>
    <n v="-180952"/>
    <n v="10673785"/>
    <n v="10713692"/>
    <m/>
    <x v="1"/>
    <n v="10713692"/>
  </r>
  <r>
    <x v="1"/>
    <x v="18"/>
    <x v="18"/>
    <x v="10"/>
    <s v="Regulación y supervisión"/>
    <x v="4"/>
    <x v="515"/>
    <x v="126"/>
    <x v="743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942226"/>
    <n v="0"/>
    <n v="0"/>
    <n v="942226"/>
    <n v="1109199"/>
    <m/>
    <x v="1"/>
    <n v="1109199"/>
  </r>
  <r>
    <x v="1"/>
    <x v="18"/>
    <x v="18"/>
    <x v="10"/>
    <s v="Regulación y supervisión"/>
    <x v="4"/>
    <x v="515"/>
    <x v="126"/>
    <x v="743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4646120"/>
    <n v="0"/>
    <n v="-240344"/>
    <n v="14405776"/>
    <n v="14225496"/>
    <m/>
    <x v="1"/>
    <n v="14225496"/>
  </r>
  <r>
    <x v="1"/>
    <x v="18"/>
    <x v="18"/>
    <x v="10"/>
    <s v="Regulación y supervisión"/>
    <x v="4"/>
    <x v="515"/>
    <x v="127"/>
    <x v="744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777464"/>
    <n v="0"/>
    <n v="0"/>
    <n v="777464"/>
    <n v="923463"/>
    <m/>
    <x v="1"/>
    <n v="923463"/>
  </r>
  <r>
    <x v="1"/>
    <x v="18"/>
    <x v="18"/>
    <x v="10"/>
    <s v="Regulación y supervisión"/>
    <x v="4"/>
    <x v="515"/>
    <x v="127"/>
    <x v="744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2191290"/>
    <n v="0"/>
    <n v="-214333"/>
    <n v="11976957"/>
    <n v="11947134"/>
    <m/>
    <x v="1"/>
    <n v="11947134"/>
  </r>
  <r>
    <x v="1"/>
    <x v="18"/>
    <x v="18"/>
    <x v="10"/>
    <s v="Regulación y supervisión"/>
    <x v="4"/>
    <x v="515"/>
    <x v="128"/>
    <x v="745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221663"/>
    <n v="0"/>
    <n v="0"/>
    <n v="1221663"/>
    <n v="1355185"/>
    <m/>
    <x v="1"/>
    <n v="1355185"/>
  </r>
  <r>
    <x v="1"/>
    <x v="18"/>
    <x v="18"/>
    <x v="10"/>
    <s v="Regulación y supervisión"/>
    <x v="4"/>
    <x v="515"/>
    <x v="128"/>
    <x v="745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6090359"/>
    <n v="0"/>
    <n v="-246466"/>
    <n v="15843893"/>
    <n v="14971333"/>
    <m/>
    <x v="1"/>
    <n v="14971333"/>
  </r>
  <r>
    <x v="1"/>
    <x v="18"/>
    <x v="18"/>
    <x v="10"/>
    <s v="Regulación y supervisión"/>
    <x v="4"/>
    <x v="515"/>
    <x v="129"/>
    <x v="746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779914"/>
    <n v="0"/>
    <n v="0"/>
    <n v="779914"/>
    <n v="907191"/>
    <m/>
    <x v="1"/>
    <n v="907191"/>
  </r>
  <r>
    <x v="1"/>
    <x v="18"/>
    <x v="18"/>
    <x v="10"/>
    <s v="Regulación y supervisión"/>
    <x v="4"/>
    <x v="515"/>
    <x v="129"/>
    <x v="746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3275497"/>
    <n v="0"/>
    <n v="-228677"/>
    <n v="13046820"/>
    <n v="12907030"/>
    <m/>
    <x v="1"/>
    <n v="12907030"/>
  </r>
  <r>
    <x v="1"/>
    <x v="18"/>
    <x v="18"/>
    <x v="10"/>
    <s v="Regulación y supervisión"/>
    <x v="4"/>
    <x v="515"/>
    <x v="130"/>
    <x v="747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695526"/>
    <n v="0"/>
    <n v="0"/>
    <n v="695526"/>
    <n v="837772"/>
    <m/>
    <x v="1"/>
    <n v="837772"/>
  </r>
  <r>
    <x v="1"/>
    <x v="18"/>
    <x v="18"/>
    <x v="10"/>
    <s v="Regulación y supervisión"/>
    <x v="4"/>
    <x v="515"/>
    <x v="130"/>
    <x v="747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1321610"/>
    <n v="0"/>
    <n v="-194522"/>
    <n v="11127088"/>
    <n v="11122692"/>
    <m/>
    <x v="1"/>
    <n v="11122692"/>
  </r>
  <r>
    <x v="1"/>
    <x v="18"/>
    <x v="18"/>
    <x v="10"/>
    <s v="Regulación y supervisión"/>
    <x v="4"/>
    <x v="515"/>
    <x v="131"/>
    <x v="748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344303"/>
    <n v="0"/>
    <n v="0"/>
    <n v="1344303"/>
    <n v="1608368"/>
    <m/>
    <x v="1"/>
    <n v="1608368"/>
  </r>
  <r>
    <x v="1"/>
    <x v="18"/>
    <x v="18"/>
    <x v="10"/>
    <s v="Regulación y supervisión"/>
    <x v="4"/>
    <x v="515"/>
    <x v="131"/>
    <x v="748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7320384"/>
    <n v="0"/>
    <n v="-267156"/>
    <n v="17053228"/>
    <n v="16777061"/>
    <m/>
    <x v="1"/>
    <n v="16777061"/>
  </r>
  <r>
    <x v="1"/>
    <x v="18"/>
    <x v="18"/>
    <x v="10"/>
    <s v="Regulación y supervisión"/>
    <x v="4"/>
    <x v="515"/>
    <x v="132"/>
    <x v="749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683569"/>
    <n v="0"/>
    <n v="0"/>
    <n v="683569"/>
    <n v="808415"/>
    <m/>
    <x v="1"/>
    <n v="808415"/>
  </r>
  <r>
    <x v="1"/>
    <x v="18"/>
    <x v="18"/>
    <x v="10"/>
    <s v="Regulación y supervisión"/>
    <x v="4"/>
    <x v="515"/>
    <x v="132"/>
    <x v="749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1558485"/>
    <n v="0"/>
    <n v="-200875"/>
    <n v="11357610"/>
    <n v="11234190"/>
    <m/>
    <x v="1"/>
    <n v="11234190"/>
  </r>
  <r>
    <x v="1"/>
    <x v="18"/>
    <x v="18"/>
    <x v="10"/>
    <s v="Regulación y supervisión"/>
    <x v="4"/>
    <x v="515"/>
    <x v="133"/>
    <x v="689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2239095"/>
    <n v="0"/>
    <n v="0"/>
    <n v="2239095"/>
    <n v="2480881"/>
    <m/>
    <x v="1"/>
    <n v="2480881"/>
  </r>
  <r>
    <x v="1"/>
    <x v="18"/>
    <x v="18"/>
    <x v="10"/>
    <s v="Regulación y supervisión"/>
    <x v="4"/>
    <x v="515"/>
    <x v="133"/>
    <x v="689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25594857"/>
    <n v="0"/>
    <n v="-383679"/>
    <n v="25211178"/>
    <n v="23496094"/>
    <m/>
    <x v="1"/>
    <n v="23496094"/>
  </r>
  <r>
    <x v="1"/>
    <x v="18"/>
    <x v="18"/>
    <x v="10"/>
    <s v="Regulación y supervisión"/>
    <x v="4"/>
    <x v="515"/>
    <x v="134"/>
    <x v="750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1026119"/>
    <n v="0"/>
    <n v="0"/>
    <n v="1026119"/>
    <n v="1227996"/>
    <m/>
    <x v="1"/>
    <n v="1227996"/>
  </r>
  <r>
    <x v="1"/>
    <x v="18"/>
    <x v="18"/>
    <x v="10"/>
    <s v="Regulación y supervisión"/>
    <x v="4"/>
    <x v="515"/>
    <x v="134"/>
    <x v="750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4732577"/>
    <n v="0"/>
    <n v="-246563"/>
    <n v="14486014"/>
    <n v="14360992"/>
    <m/>
    <x v="1"/>
    <n v="14360992"/>
  </r>
  <r>
    <x v="1"/>
    <x v="18"/>
    <x v="18"/>
    <x v="10"/>
    <s v="Regulación y supervisión"/>
    <x v="4"/>
    <x v="515"/>
    <x v="135"/>
    <x v="751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699043"/>
    <n v="0"/>
    <n v="0"/>
    <n v="699043"/>
    <n v="813576"/>
    <m/>
    <x v="1"/>
    <n v="813576"/>
  </r>
  <r>
    <x v="1"/>
    <x v="18"/>
    <x v="18"/>
    <x v="10"/>
    <s v="Regulación y supervisión"/>
    <x v="4"/>
    <x v="515"/>
    <x v="135"/>
    <x v="75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1777314"/>
    <n v="0"/>
    <n v="-197248"/>
    <n v="11580066"/>
    <n v="11357728"/>
    <m/>
    <x v="1"/>
    <n v="11357728"/>
  </r>
  <r>
    <x v="1"/>
    <x v="18"/>
    <x v="18"/>
    <x v="10"/>
    <s v="Regulación y supervisión"/>
    <x v="4"/>
    <x v="515"/>
    <x v="84"/>
    <x v="75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3597400"/>
    <n v="0"/>
    <n v="0"/>
    <n v="3597400"/>
    <n v="3597400"/>
    <m/>
    <x v="1"/>
    <n v="3597400"/>
  </r>
  <r>
    <x v="1"/>
    <x v="18"/>
    <x v="18"/>
    <x v="10"/>
    <s v="Regulación y supervisión"/>
    <x v="4"/>
    <x v="515"/>
    <x v="61"/>
    <x v="753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0"/>
    <x v="0"/>
    <x v="0"/>
    <m/>
    <x v="0"/>
    <x v="0"/>
    <m/>
    <n v="848738"/>
    <n v="0"/>
    <n v="0"/>
    <n v="848738"/>
    <n v="1022262"/>
    <m/>
    <x v="1"/>
    <n v="1022262"/>
  </r>
  <r>
    <x v="1"/>
    <x v="18"/>
    <x v="18"/>
    <x v="10"/>
    <s v="Regulación y supervisión"/>
    <x v="4"/>
    <x v="515"/>
    <x v="61"/>
    <x v="753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21174387"/>
    <n v="0"/>
    <n v="-336390"/>
    <n v="20837997"/>
    <n v="21629068"/>
    <m/>
    <x v="1"/>
    <n v="21629068"/>
  </r>
  <r>
    <x v="1"/>
    <x v="18"/>
    <x v="18"/>
    <x v="10"/>
    <s v="Regulación y supervisión"/>
    <x v="4"/>
    <x v="515"/>
    <x v="62"/>
    <x v="754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0"/>
    <x v="0"/>
    <x v="0"/>
    <m/>
    <x v="0"/>
    <x v="0"/>
    <m/>
    <n v="1829224"/>
    <n v="0"/>
    <n v="0"/>
    <n v="1829224"/>
    <n v="2081778"/>
    <m/>
    <x v="1"/>
    <n v="2081778"/>
  </r>
  <r>
    <x v="1"/>
    <x v="18"/>
    <x v="18"/>
    <x v="10"/>
    <s v="Regulación y supervisión"/>
    <x v="4"/>
    <x v="515"/>
    <x v="62"/>
    <x v="754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32037181"/>
    <n v="0"/>
    <n v="-593199"/>
    <n v="31443982"/>
    <n v="33114776"/>
    <m/>
    <x v="1"/>
    <n v="33114776"/>
  </r>
  <r>
    <x v="1"/>
    <x v="18"/>
    <x v="18"/>
    <x v="10"/>
    <s v="Regulación y supervisión"/>
    <x v="4"/>
    <x v="515"/>
    <x v="63"/>
    <x v="755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0"/>
    <x v="0"/>
    <x v="0"/>
    <m/>
    <x v="0"/>
    <x v="0"/>
    <m/>
    <n v="2046947"/>
    <n v="0"/>
    <n v="0"/>
    <n v="2046947"/>
    <n v="2416612"/>
    <m/>
    <x v="1"/>
    <n v="2416612"/>
  </r>
  <r>
    <x v="1"/>
    <x v="18"/>
    <x v="18"/>
    <x v="10"/>
    <s v="Regulación y supervisión"/>
    <x v="4"/>
    <x v="515"/>
    <x v="63"/>
    <x v="755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38083583"/>
    <n v="0"/>
    <n v="-888154"/>
    <n v="37195429"/>
    <n v="37624007"/>
    <m/>
    <x v="1"/>
    <n v="37624007"/>
  </r>
  <r>
    <x v="1"/>
    <x v="18"/>
    <x v="18"/>
    <x v="10"/>
    <s v="Regulación y supervisión"/>
    <x v="4"/>
    <x v="515"/>
    <x v="64"/>
    <x v="756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1"/>
    <m/>
    <n v="3263429"/>
    <n v="0"/>
    <n v="0"/>
    <n v="3263429"/>
    <n v="3738767"/>
    <m/>
    <x v="1"/>
    <n v="3738767"/>
  </r>
  <r>
    <x v="1"/>
    <x v="18"/>
    <x v="18"/>
    <x v="10"/>
    <s v="Regulación y supervisión"/>
    <x v="4"/>
    <x v="515"/>
    <x v="64"/>
    <x v="756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1"/>
    <m/>
    <n v="43556599"/>
    <n v="14050000"/>
    <n v="-539841"/>
    <n v="57066758"/>
    <n v="57690996"/>
    <m/>
    <x v="1"/>
    <n v="57690996"/>
  </r>
  <r>
    <x v="1"/>
    <x v="18"/>
    <x v="18"/>
    <x v="10"/>
    <s v="Regulación y supervisión"/>
    <x v="4"/>
    <x v="515"/>
    <x v="64"/>
    <x v="756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1"/>
    <x v="0"/>
    <x v="0"/>
    <m/>
    <x v="0"/>
    <x v="1"/>
    <m/>
    <n v="0"/>
    <n v="143216433"/>
    <n v="0"/>
    <n v="143216433"/>
    <m/>
    <m/>
    <x v="1"/>
    <n v="0"/>
  </r>
  <r>
    <x v="1"/>
    <x v="18"/>
    <x v="18"/>
    <x v="10"/>
    <s v="Regulación y supervisión"/>
    <x v="4"/>
    <x v="515"/>
    <x v="87"/>
    <x v="757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1"/>
    <x v="0"/>
    <x v="0"/>
    <m/>
    <x v="0"/>
    <x v="0"/>
    <m/>
    <n v="2186769"/>
    <n v="0"/>
    <n v="0"/>
    <n v="2186769"/>
    <n v="2698729"/>
    <m/>
    <x v="1"/>
    <n v="2698729"/>
  </r>
  <r>
    <x v="1"/>
    <x v="18"/>
    <x v="18"/>
    <x v="10"/>
    <s v="Regulación y supervisión"/>
    <x v="4"/>
    <x v="515"/>
    <x v="87"/>
    <x v="757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41325692"/>
    <n v="0"/>
    <n v="-553005"/>
    <n v="40772687"/>
    <n v="74573696"/>
    <m/>
    <x v="1"/>
    <n v="74573696"/>
  </r>
  <r>
    <x v="1"/>
    <x v="18"/>
    <x v="18"/>
    <x v="10"/>
    <s v="Regulación y supervisión"/>
    <x v="4"/>
    <x v="515"/>
    <x v="87"/>
    <x v="757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1"/>
    <x v="0"/>
    <x v="0"/>
    <m/>
    <x v="0"/>
    <x v="0"/>
    <m/>
    <n v="170800"/>
    <n v="0"/>
    <n v="0"/>
    <n v="170800"/>
    <m/>
    <m/>
    <x v="1"/>
    <n v="0"/>
  </r>
  <r>
    <x v="1"/>
    <x v="18"/>
    <x v="18"/>
    <x v="10"/>
    <s v="Regulación y supervisión"/>
    <x v="4"/>
    <x v="515"/>
    <x v="280"/>
    <x v="758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0"/>
    <x v="0"/>
    <x v="0"/>
    <m/>
    <x v="0"/>
    <x v="0"/>
    <m/>
    <n v="1576720"/>
    <n v="0"/>
    <n v="0"/>
    <n v="1576720"/>
    <n v="1909035"/>
    <m/>
    <x v="1"/>
    <n v="1909035"/>
  </r>
  <r>
    <x v="1"/>
    <x v="18"/>
    <x v="18"/>
    <x v="10"/>
    <s v="Regulación y supervisión"/>
    <x v="4"/>
    <x v="515"/>
    <x v="280"/>
    <x v="758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31072671"/>
    <n v="0"/>
    <n v="-920450"/>
    <n v="30152221"/>
    <n v="32443711"/>
    <m/>
    <x v="1"/>
    <n v="32443711"/>
  </r>
  <r>
    <x v="1"/>
    <x v="18"/>
    <x v="18"/>
    <x v="10"/>
    <s v="Regulación y supervisión"/>
    <x v="4"/>
    <x v="515"/>
    <x v="90"/>
    <x v="759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0"/>
    <x v="0"/>
    <x v="0"/>
    <m/>
    <x v="0"/>
    <x v="0"/>
    <m/>
    <n v="908926"/>
    <n v="0"/>
    <n v="0"/>
    <n v="908926"/>
    <n v="1150922"/>
    <m/>
    <x v="1"/>
    <n v="1150922"/>
  </r>
  <r>
    <x v="1"/>
    <x v="18"/>
    <x v="18"/>
    <x v="10"/>
    <s v="Regulación y supervisión"/>
    <x v="4"/>
    <x v="515"/>
    <x v="90"/>
    <x v="759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22085353"/>
    <n v="5190000"/>
    <n v="-266100"/>
    <n v="27009253"/>
    <n v="22461041"/>
    <m/>
    <x v="1"/>
    <n v="22461041"/>
  </r>
  <r>
    <x v="1"/>
    <x v="18"/>
    <x v="18"/>
    <x v="10"/>
    <s v="Regulación y supervisión"/>
    <x v="4"/>
    <x v="515"/>
    <x v="90"/>
    <x v="759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0"/>
    <x v="0"/>
    <x v="0"/>
    <m/>
    <x v="0"/>
    <x v="0"/>
    <m/>
    <n v="250000"/>
    <n v="144075734"/>
    <n v="0"/>
    <n v="144325734"/>
    <n v="250000"/>
    <m/>
    <x v="1"/>
    <n v="250000"/>
  </r>
  <r>
    <x v="1"/>
    <x v="18"/>
    <x v="18"/>
    <x v="10"/>
    <s v="Regulación y supervisión"/>
    <x v="6"/>
    <x v="516"/>
    <x v="92"/>
    <x v="760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62411679"/>
    <n v="0"/>
    <n v="0"/>
    <n v="162411679"/>
    <n v="364729581"/>
    <m/>
    <x v="1"/>
    <n v="364729581"/>
  </r>
  <r>
    <x v="1"/>
    <x v="18"/>
    <x v="18"/>
    <x v="10"/>
    <s v="Regulación y supervisión"/>
    <x v="6"/>
    <x v="516"/>
    <x v="92"/>
    <x v="760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1"/>
    <x v="0"/>
    <x v="0"/>
    <m/>
    <x v="0"/>
    <x v="0"/>
    <m/>
    <n v="16511185"/>
    <n v="0"/>
    <n v="0"/>
    <n v="16511185"/>
    <n v="15000000"/>
    <m/>
    <x v="1"/>
    <n v="15000000"/>
  </r>
  <r>
    <x v="1"/>
    <x v="18"/>
    <x v="18"/>
    <x v="10"/>
    <s v="Regulación y supervisión"/>
    <x v="6"/>
    <x v="516"/>
    <x v="92"/>
    <x v="760"/>
    <n v="3"/>
    <s v="Desarrollo Económico"/>
    <n v="9"/>
    <s v="Desarrollo Sustentable"/>
    <n v="2"/>
    <x v="63"/>
    <x v="9"/>
    <x v="138"/>
    <n v="1"/>
    <s v="Gasto corriente"/>
    <x v="0"/>
    <x v="0"/>
    <x v="0"/>
    <x v="0"/>
    <x v="1"/>
    <x v="0"/>
    <x v="0"/>
    <m/>
    <x v="0"/>
    <x v="0"/>
    <m/>
    <n v="2819874"/>
    <n v="0"/>
    <n v="0"/>
    <n v="2819874"/>
    <m/>
    <m/>
    <x v="1"/>
    <n v="0"/>
  </r>
  <r>
    <x v="1"/>
    <x v="18"/>
    <x v="18"/>
    <x v="10"/>
    <s v="Regulación y supervisión"/>
    <x v="11"/>
    <x v="517"/>
    <x v="356"/>
    <x v="72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239492"/>
    <n v="0"/>
    <n v="0"/>
    <n v="1239492"/>
    <n v="21466184"/>
    <m/>
    <x v="118"/>
    <n v="7556466183.9983597"/>
  </r>
  <r>
    <x v="1"/>
    <x v="18"/>
    <x v="18"/>
    <x v="10"/>
    <s v="Regulación y supervisión"/>
    <x v="11"/>
    <x v="517"/>
    <x v="321"/>
    <x v="691"/>
    <n v="2"/>
    <s v="Desarrollo Social"/>
    <n v="4"/>
    <s v="Agua Potable y Alcantarillado"/>
    <n v="1"/>
    <x v="62"/>
    <x v="1"/>
    <x v="132"/>
    <n v="1"/>
    <s v="Gasto corriente"/>
    <x v="0"/>
    <x v="1"/>
    <x v="0"/>
    <x v="0"/>
    <x v="1"/>
    <x v="0"/>
    <x v="0"/>
    <m/>
    <x v="0"/>
    <x v="0"/>
    <m/>
    <n v="42236063"/>
    <n v="0"/>
    <n v="0"/>
    <n v="42236063"/>
    <n v="58631621"/>
    <m/>
    <x v="1"/>
    <n v="58631621"/>
  </r>
  <r>
    <x v="1"/>
    <x v="18"/>
    <x v="18"/>
    <x v="10"/>
    <s v="Regulación y supervisión"/>
    <x v="11"/>
    <x v="517"/>
    <x v="321"/>
    <x v="691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1"/>
    <x v="0"/>
    <x v="0"/>
    <m/>
    <x v="0"/>
    <x v="0"/>
    <m/>
    <n v="685333213"/>
    <n v="0"/>
    <n v="0"/>
    <n v="685333213"/>
    <n v="612705036"/>
    <m/>
    <x v="1"/>
    <n v="612705036"/>
  </r>
  <r>
    <x v="1"/>
    <x v="18"/>
    <x v="18"/>
    <x v="10"/>
    <s v="Regulación y supervisión"/>
    <x v="11"/>
    <x v="517"/>
    <x v="321"/>
    <x v="691"/>
    <n v="3"/>
    <s v="Desarrollo Económico"/>
    <n v="2"/>
    <s v="Desarrollo Agropecuario y Forestal"/>
    <n v="5"/>
    <x v="66"/>
    <x v="1"/>
    <x v="132"/>
    <n v="1"/>
    <s v="Gasto corriente"/>
    <x v="0"/>
    <x v="1"/>
    <x v="0"/>
    <x v="0"/>
    <x v="1"/>
    <x v="0"/>
    <x v="0"/>
    <m/>
    <x v="0"/>
    <x v="0"/>
    <m/>
    <n v="50974933"/>
    <n v="0"/>
    <n v="0"/>
    <n v="50974933"/>
    <n v="60163641"/>
    <m/>
    <x v="1"/>
    <n v="60163641"/>
  </r>
  <r>
    <x v="1"/>
    <x v="18"/>
    <x v="18"/>
    <x v="10"/>
    <s v="Regulación y supervisión"/>
    <x v="11"/>
    <x v="517"/>
    <x v="321"/>
    <x v="69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654138134"/>
    <n v="0"/>
    <n v="0"/>
    <n v="654138134"/>
    <n v="582393177"/>
    <m/>
    <x v="1"/>
    <n v="582393177"/>
  </r>
  <r>
    <x v="1"/>
    <x v="18"/>
    <x v="18"/>
    <x v="10"/>
    <s v="Regulación y supervisión"/>
    <x v="11"/>
    <x v="517"/>
    <x v="321"/>
    <x v="691"/>
    <n v="3"/>
    <s v="Desarrollo Económico"/>
    <n v="9"/>
    <s v="Desarrollo Sustentable"/>
    <n v="1"/>
    <x v="65"/>
    <x v="1"/>
    <x v="132"/>
    <n v="1"/>
    <s v="Gasto corriente"/>
    <x v="0"/>
    <x v="1"/>
    <x v="0"/>
    <x v="0"/>
    <x v="1"/>
    <x v="0"/>
    <x v="0"/>
    <m/>
    <x v="0"/>
    <x v="0"/>
    <m/>
    <n v="91241348"/>
    <n v="0"/>
    <n v="0"/>
    <n v="91241348"/>
    <n v="145827193"/>
    <m/>
    <x v="1"/>
    <n v="145827193"/>
  </r>
  <r>
    <x v="1"/>
    <x v="18"/>
    <x v="18"/>
    <x v="10"/>
    <s v="Regulación y supervisión"/>
    <x v="11"/>
    <x v="517"/>
    <x v="321"/>
    <x v="69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3176746669"/>
    <n v="18000000"/>
    <n v="0"/>
    <n v="3194746669"/>
    <n v="3447679297"/>
    <m/>
    <x v="1"/>
    <n v="3447679297"/>
  </r>
  <r>
    <x v="1"/>
    <x v="18"/>
    <x v="18"/>
    <x v="10"/>
    <s v="Regulación y supervisión"/>
    <x v="11"/>
    <x v="517"/>
    <x v="321"/>
    <x v="691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83815474"/>
    <m/>
    <x v="1"/>
    <n v="83815474"/>
  </r>
  <r>
    <x v="1"/>
    <x v="18"/>
    <x v="18"/>
    <x v="10"/>
    <s v="Regulación y supervisión"/>
    <x v="11"/>
    <x v="517"/>
    <x v="354"/>
    <x v="724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1"/>
    <x v="0"/>
    <x v="0"/>
    <m/>
    <x v="0"/>
    <x v="0"/>
    <m/>
    <n v="17495657"/>
    <n v="0"/>
    <n v="0"/>
    <n v="17495657"/>
    <n v="10404113"/>
    <m/>
    <x v="1"/>
    <n v="10404113"/>
  </r>
  <r>
    <x v="1"/>
    <x v="18"/>
    <x v="18"/>
    <x v="10"/>
    <s v="Regulación y supervisión"/>
    <x v="11"/>
    <x v="517"/>
    <x v="354"/>
    <x v="72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n v="929918"/>
    <n v="0"/>
    <n v="0"/>
    <n v="929918"/>
    <n v="2512228"/>
    <m/>
    <x v="1"/>
    <n v="2512228"/>
  </r>
  <r>
    <x v="1"/>
    <x v="18"/>
    <x v="18"/>
    <x v="10"/>
    <s v="Regulación y supervisión"/>
    <x v="11"/>
    <x v="517"/>
    <x v="360"/>
    <x v="76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10127386"/>
    <n v="0"/>
    <n v="0"/>
    <n v="110127386"/>
    <n v="39683165"/>
    <m/>
    <x v="1"/>
    <n v="39683165"/>
  </r>
  <r>
    <x v="1"/>
    <x v="18"/>
    <x v="18"/>
    <x v="10"/>
    <s v="Regulación y supervisión"/>
    <x v="11"/>
    <x v="517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1624650"/>
    <n v="0"/>
    <n v="0"/>
    <n v="1624650"/>
    <n v="3234781"/>
    <m/>
    <x v="1"/>
    <n v="3234781"/>
  </r>
  <r>
    <x v="1"/>
    <x v="18"/>
    <x v="18"/>
    <x v="10"/>
    <s v="Regulación y supervisión"/>
    <x v="11"/>
    <x v="517"/>
    <x v="361"/>
    <x v="76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347037"/>
    <m/>
    <x v="1"/>
    <n v="347037"/>
  </r>
  <r>
    <x v="1"/>
    <x v="18"/>
    <x v="18"/>
    <x v="10"/>
    <s v="Regulación y supervisión"/>
    <x v="11"/>
    <x v="517"/>
    <x v="362"/>
    <x v="76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9843012"/>
    <n v="0"/>
    <n v="0"/>
    <n v="19843012"/>
    <n v="14835760"/>
    <m/>
    <x v="1"/>
    <n v="14835760"/>
  </r>
  <r>
    <x v="1"/>
    <x v="18"/>
    <x v="18"/>
    <x v="10"/>
    <s v="Regulación y supervisión"/>
    <x v="11"/>
    <x v="517"/>
    <x v="362"/>
    <x v="763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n v="548800"/>
    <n v="0"/>
    <n v="0"/>
    <n v="548800"/>
    <n v="11202497"/>
    <m/>
    <x v="1"/>
    <n v="11202497"/>
  </r>
  <r>
    <x v="1"/>
    <x v="18"/>
    <x v="18"/>
    <x v="10"/>
    <s v="Regulación y supervisión"/>
    <x v="11"/>
    <x v="517"/>
    <x v="322"/>
    <x v="69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9142897"/>
    <n v="0"/>
    <n v="0"/>
    <n v="9142897"/>
    <n v="4801180"/>
    <m/>
    <x v="1"/>
    <n v="4801180"/>
  </r>
  <r>
    <x v="1"/>
    <x v="18"/>
    <x v="18"/>
    <x v="10"/>
    <s v="Regulación y supervisión"/>
    <x v="11"/>
    <x v="517"/>
    <x v="322"/>
    <x v="69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n v="275000"/>
    <n v="0"/>
    <n v="0"/>
    <n v="275000"/>
    <n v="1330751"/>
    <m/>
    <x v="1"/>
    <n v="1330751"/>
  </r>
  <r>
    <x v="1"/>
    <x v="18"/>
    <x v="18"/>
    <x v="10"/>
    <s v="Regulación y supervisión"/>
    <x v="11"/>
    <x v="517"/>
    <x v="323"/>
    <x v="69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12606651"/>
    <n v="0"/>
    <n v="0"/>
    <n v="112606651"/>
    <n v="2719178"/>
    <m/>
    <x v="1"/>
    <n v="2719178"/>
  </r>
  <r>
    <x v="1"/>
    <x v="18"/>
    <x v="18"/>
    <x v="10"/>
    <s v="Regulación y supervisión"/>
    <x v="11"/>
    <x v="517"/>
    <x v="324"/>
    <x v="69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8941949"/>
    <n v="0"/>
    <n v="0"/>
    <n v="8941949"/>
    <n v="9151859"/>
    <m/>
    <x v="1"/>
    <n v="9151859"/>
  </r>
  <r>
    <x v="1"/>
    <x v="18"/>
    <x v="18"/>
    <x v="10"/>
    <s v="Regulación y supervisión"/>
    <x v="11"/>
    <x v="517"/>
    <x v="363"/>
    <x v="4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2857330"/>
    <m/>
    <x v="1"/>
    <n v="2857330"/>
  </r>
  <r>
    <x v="1"/>
    <x v="18"/>
    <x v="18"/>
    <x v="10"/>
    <s v="Regulación y supervisión"/>
    <x v="11"/>
    <x v="517"/>
    <x v="318"/>
    <x v="677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1"/>
    <x v="0"/>
    <x v="0"/>
    <m/>
    <x v="0"/>
    <x v="0"/>
    <m/>
    <n v="57588580"/>
    <n v="0"/>
    <n v="0"/>
    <n v="57588580"/>
    <n v="52417984"/>
    <m/>
    <x v="1"/>
    <n v="52417984"/>
  </r>
  <r>
    <x v="1"/>
    <x v="18"/>
    <x v="18"/>
    <x v="10"/>
    <s v="Regulación y supervisión"/>
    <x v="11"/>
    <x v="517"/>
    <x v="318"/>
    <x v="677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27482887"/>
    <n v="0"/>
    <n v="0"/>
    <n v="27482887"/>
    <n v="21194179"/>
    <m/>
    <x v="1"/>
    <n v="21194179"/>
  </r>
  <r>
    <x v="1"/>
    <x v="18"/>
    <x v="18"/>
    <x v="10"/>
    <s v="Regulación y supervisión"/>
    <x v="11"/>
    <x v="517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50444543"/>
    <n v="0"/>
    <n v="0"/>
    <n v="50444543"/>
    <n v="58654935"/>
    <m/>
    <x v="1"/>
    <n v="58654935"/>
  </r>
  <r>
    <x v="1"/>
    <x v="18"/>
    <x v="18"/>
    <x v="10"/>
    <s v="Regulación y supervisión"/>
    <x v="11"/>
    <x v="517"/>
    <x v="325"/>
    <x v="695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3195981"/>
    <n v="0"/>
    <n v="0"/>
    <n v="3195981"/>
    <n v="3945643"/>
    <m/>
    <x v="1"/>
    <n v="3945643"/>
  </r>
  <r>
    <x v="1"/>
    <x v="18"/>
    <x v="18"/>
    <x v="10"/>
    <s v="Regulación y supervisión"/>
    <x v="11"/>
    <x v="517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3346579"/>
    <n v="0"/>
    <n v="0"/>
    <n v="13346579"/>
    <n v="15813866"/>
    <m/>
    <x v="1"/>
    <n v="15813866"/>
  </r>
  <r>
    <x v="1"/>
    <x v="18"/>
    <x v="18"/>
    <x v="10"/>
    <s v="Regulación y supervisión"/>
    <x v="11"/>
    <x v="517"/>
    <x v="357"/>
    <x v="728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5177913"/>
    <n v="0"/>
    <n v="0"/>
    <n v="15177913"/>
    <n v="9981843"/>
    <m/>
    <x v="1"/>
    <n v="9981843"/>
  </r>
  <r>
    <x v="1"/>
    <x v="18"/>
    <x v="18"/>
    <x v="10"/>
    <s v="Regulación y supervisión"/>
    <x v="11"/>
    <x v="517"/>
    <x v="357"/>
    <x v="72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4850383"/>
    <n v="0"/>
    <n v="0"/>
    <n v="14850383"/>
    <n v="15863640"/>
    <m/>
    <x v="1"/>
    <n v="15863640"/>
  </r>
  <r>
    <x v="1"/>
    <x v="18"/>
    <x v="18"/>
    <x v="10"/>
    <s v="Regulación y supervisión"/>
    <x v="11"/>
    <x v="517"/>
    <x v="326"/>
    <x v="696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3218570"/>
    <n v="0"/>
    <n v="0"/>
    <n v="3218570"/>
    <n v="12801974"/>
    <m/>
    <x v="1"/>
    <n v="12801974"/>
  </r>
  <r>
    <x v="1"/>
    <x v="18"/>
    <x v="18"/>
    <x v="10"/>
    <s v="Regulación y supervisión"/>
    <x v="11"/>
    <x v="517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20143392"/>
    <n v="0"/>
    <n v="0"/>
    <n v="20143392"/>
    <n v="24166752"/>
    <m/>
    <x v="1"/>
    <n v="24166752"/>
  </r>
  <r>
    <x v="1"/>
    <x v="18"/>
    <x v="18"/>
    <x v="10"/>
    <s v="Regulación y supervisión"/>
    <x v="11"/>
    <x v="517"/>
    <x v="326"/>
    <x v="696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573065"/>
    <m/>
    <x v="1"/>
    <n v="3573065"/>
  </r>
  <r>
    <x v="1"/>
    <x v="18"/>
    <x v="18"/>
    <x v="10"/>
    <s v="Regulación y supervisión"/>
    <x v="11"/>
    <x v="517"/>
    <x v="327"/>
    <x v="697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7055326"/>
    <n v="0"/>
    <n v="0"/>
    <n v="7055326"/>
    <n v="9815404"/>
    <m/>
    <x v="1"/>
    <n v="9815404"/>
  </r>
  <r>
    <x v="1"/>
    <x v="18"/>
    <x v="18"/>
    <x v="10"/>
    <s v="Regulación y supervisión"/>
    <x v="11"/>
    <x v="517"/>
    <x v="327"/>
    <x v="69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171742"/>
    <m/>
    <x v="1"/>
    <n v="1171742"/>
  </r>
  <r>
    <x v="1"/>
    <x v="18"/>
    <x v="18"/>
    <x v="10"/>
    <s v="Regulación y supervisión"/>
    <x v="11"/>
    <x v="517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8477645"/>
    <n v="0"/>
    <n v="0"/>
    <n v="18477645"/>
    <n v="18562474"/>
    <m/>
    <x v="1"/>
    <n v="18562474"/>
  </r>
  <r>
    <x v="1"/>
    <x v="18"/>
    <x v="18"/>
    <x v="10"/>
    <s v="Regulación y supervisión"/>
    <x v="11"/>
    <x v="517"/>
    <x v="327"/>
    <x v="69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191002"/>
    <m/>
    <x v="1"/>
    <n v="1191002"/>
  </r>
  <r>
    <x v="1"/>
    <x v="18"/>
    <x v="18"/>
    <x v="10"/>
    <s v="Regulación y supervisión"/>
    <x v="11"/>
    <x v="517"/>
    <x v="328"/>
    <x v="698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6228066"/>
    <n v="0"/>
    <n v="0"/>
    <n v="6228066"/>
    <n v="6960801"/>
    <m/>
    <x v="1"/>
    <n v="6960801"/>
  </r>
  <r>
    <x v="1"/>
    <x v="18"/>
    <x v="18"/>
    <x v="10"/>
    <s v="Regulación y supervisión"/>
    <x v="11"/>
    <x v="517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9508341"/>
    <n v="0"/>
    <n v="0"/>
    <n v="19508341"/>
    <n v="23290832"/>
    <m/>
    <x v="1"/>
    <n v="23290832"/>
  </r>
  <r>
    <x v="1"/>
    <x v="18"/>
    <x v="18"/>
    <x v="10"/>
    <s v="Regulación y supervisión"/>
    <x v="11"/>
    <x v="517"/>
    <x v="328"/>
    <x v="698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595686"/>
    <m/>
    <x v="1"/>
    <n v="1595686"/>
  </r>
  <r>
    <x v="1"/>
    <x v="18"/>
    <x v="18"/>
    <x v="10"/>
    <s v="Regulación y supervisión"/>
    <x v="11"/>
    <x v="517"/>
    <x v="329"/>
    <x v="699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1"/>
    <x v="0"/>
    <x v="0"/>
    <m/>
    <x v="0"/>
    <x v="0"/>
    <m/>
    <m/>
    <m/>
    <m/>
    <m/>
    <n v="135530"/>
    <m/>
    <x v="1"/>
    <n v="135530"/>
  </r>
  <r>
    <x v="1"/>
    <x v="18"/>
    <x v="18"/>
    <x v="10"/>
    <s v="Regulación y supervisión"/>
    <x v="11"/>
    <x v="517"/>
    <x v="329"/>
    <x v="699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4334954"/>
    <n v="0"/>
    <n v="0"/>
    <n v="4334954"/>
    <n v="5757998"/>
    <m/>
    <x v="1"/>
    <n v="5757998"/>
  </r>
  <r>
    <x v="1"/>
    <x v="18"/>
    <x v="18"/>
    <x v="10"/>
    <s v="Regulación y supervisión"/>
    <x v="11"/>
    <x v="517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2593482"/>
    <n v="0"/>
    <n v="0"/>
    <n v="12593482"/>
    <n v="16786465"/>
    <m/>
    <x v="1"/>
    <n v="16786465"/>
  </r>
  <r>
    <x v="1"/>
    <x v="18"/>
    <x v="18"/>
    <x v="10"/>
    <s v="Regulación y supervisión"/>
    <x v="11"/>
    <x v="517"/>
    <x v="329"/>
    <x v="699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219451"/>
    <m/>
    <x v="1"/>
    <n v="1219451"/>
  </r>
  <r>
    <x v="1"/>
    <x v="18"/>
    <x v="18"/>
    <x v="10"/>
    <s v="Regulación y supervisión"/>
    <x v="11"/>
    <x v="517"/>
    <x v="358"/>
    <x v="729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5179757"/>
    <n v="0"/>
    <n v="0"/>
    <n v="15179757"/>
    <n v="9011576"/>
    <m/>
    <x v="1"/>
    <n v="9011576"/>
  </r>
  <r>
    <x v="1"/>
    <x v="18"/>
    <x v="18"/>
    <x v="10"/>
    <s v="Regulación y supervisión"/>
    <x v="11"/>
    <x v="517"/>
    <x v="358"/>
    <x v="72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31509638"/>
    <n v="0"/>
    <n v="0"/>
    <n v="31509638"/>
    <n v="34299479"/>
    <m/>
    <x v="1"/>
    <n v="34299479"/>
  </r>
  <r>
    <x v="1"/>
    <x v="18"/>
    <x v="18"/>
    <x v="10"/>
    <s v="Regulación y supervisión"/>
    <x v="11"/>
    <x v="517"/>
    <x v="358"/>
    <x v="729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2097729"/>
    <m/>
    <x v="1"/>
    <n v="12097729"/>
  </r>
  <r>
    <x v="1"/>
    <x v="18"/>
    <x v="18"/>
    <x v="10"/>
    <s v="Regulación y supervisión"/>
    <x v="11"/>
    <x v="517"/>
    <x v="330"/>
    <x v="700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34069873"/>
    <n v="0"/>
    <n v="0"/>
    <n v="34069873"/>
    <n v="1121089"/>
    <m/>
    <x v="1"/>
    <n v="1121089"/>
  </r>
  <r>
    <x v="1"/>
    <x v="18"/>
    <x v="18"/>
    <x v="10"/>
    <s v="Regulación y supervisión"/>
    <x v="11"/>
    <x v="517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21694468"/>
    <n v="0"/>
    <n v="0"/>
    <n v="21694468"/>
    <n v="46335994"/>
    <m/>
    <x v="1"/>
    <n v="46335994"/>
  </r>
  <r>
    <x v="1"/>
    <x v="18"/>
    <x v="18"/>
    <x v="10"/>
    <s v="Regulación y supervisión"/>
    <x v="11"/>
    <x v="517"/>
    <x v="330"/>
    <x v="700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081993"/>
    <m/>
    <x v="1"/>
    <n v="17081993"/>
  </r>
  <r>
    <x v="1"/>
    <x v="18"/>
    <x v="18"/>
    <x v="10"/>
    <s v="Regulación y supervisión"/>
    <x v="11"/>
    <x v="517"/>
    <x v="331"/>
    <x v="70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2574320"/>
    <n v="0"/>
    <n v="0"/>
    <n v="2574320"/>
    <n v="3924771"/>
    <m/>
    <x v="1"/>
    <n v="3924771"/>
  </r>
  <r>
    <x v="1"/>
    <x v="18"/>
    <x v="18"/>
    <x v="10"/>
    <s v="Regulación y supervisión"/>
    <x v="11"/>
    <x v="517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7797795"/>
    <n v="0"/>
    <n v="0"/>
    <n v="17797795"/>
    <n v="20130008"/>
    <m/>
    <x v="1"/>
    <n v="20130008"/>
  </r>
  <r>
    <x v="1"/>
    <x v="18"/>
    <x v="18"/>
    <x v="10"/>
    <s v="Regulación y supervisión"/>
    <x v="11"/>
    <x v="517"/>
    <x v="332"/>
    <x v="702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26003922"/>
    <n v="0"/>
    <n v="0"/>
    <n v="26003922"/>
    <n v="16681537"/>
    <m/>
    <x v="1"/>
    <n v="16681537"/>
  </r>
  <r>
    <x v="1"/>
    <x v="18"/>
    <x v="18"/>
    <x v="10"/>
    <s v="Regulación y supervisión"/>
    <x v="11"/>
    <x v="517"/>
    <x v="332"/>
    <x v="70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9561037"/>
    <n v="0"/>
    <n v="0"/>
    <n v="19561037"/>
    <n v="27557945"/>
    <m/>
    <x v="1"/>
    <n v="27557945"/>
  </r>
  <r>
    <x v="1"/>
    <x v="18"/>
    <x v="18"/>
    <x v="10"/>
    <s v="Regulación y supervisión"/>
    <x v="11"/>
    <x v="517"/>
    <x v="333"/>
    <x v="703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2797813"/>
    <n v="0"/>
    <n v="0"/>
    <n v="2797813"/>
    <n v="5283940"/>
    <m/>
    <x v="1"/>
    <n v="5283940"/>
  </r>
  <r>
    <x v="1"/>
    <x v="18"/>
    <x v="18"/>
    <x v="10"/>
    <s v="Regulación y supervisión"/>
    <x v="11"/>
    <x v="517"/>
    <x v="333"/>
    <x v="70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2725790"/>
    <n v="0"/>
    <n v="0"/>
    <n v="12725790"/>
    <n v="13018435"/>
    <m/>
    <x v="1"/>
    <n v="13018435"/>
  </r>
  <r>
    <x v="1"/>
    <x v="18"/>
    <x v="18"/>
    <x v="10"/>
    <s v="Regulación y supervisión"/>
    <x v="11"/>
    <x v="517"/>
    <x v="334"/>
    <x v="704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888664"/>
    <n v="0"/>
    <n v="0"/>
    <n v="888664"/>
    <n v="2605729"/>
    <m/>
    <x v="1"/>
    <n v="2605729"/>
  </r>
  <r>
    <x v="1"/>
    <x v="18"/>
    <x v="18"/>
    <x v="10"/>
    <s v="Regulación y supervisión"/>
    <x v="11"/>
    <x v="517"/>
    <x v="334"/>
    <x v="70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5482792"/>
    <n v="0"/>
    <n v="0"/>
    <n v="15482792"/>
    <n v="17811151"/>
    <m/>
    <x v="1"/>
    <n v="17811151"/>
  </r>
  <r>
    <x v="1"/>
    <x v="18"/>
    <x v="18"/>
    <x v="10"/>
    <s v="Regulación y supervisión"/>
    <x v="11"/>
    <x v="517"/>
    <x v="335"/>
    <x v="705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330679"/>
    <n v="0"/>
    <n v="0"/>
    <n v="330679"/>
    <n v="707357"/>
    <m/>
    <x v="1"/>
    <n v="707357"/>
  </r>
  <r>
    <x v="1"/>
    <x v="18"/>
    <x v="18"/>
    <x v="10"/>
    <s v="Regulación y supervisión"/>
    <x v="11"/>
    <x v="517"/>
    <x v="335"/>
    <x v="70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7208075"/>
    <n v="0"/>
    <n v="0"/>
    <n v="7208075"/>
    <n v="8043188"/>
    <m/>
    <x v="1"/>
    <n v="8043188"/>
  </r>
  <r>
    <x v="1"/>
    <x v="18"/>
    <x v="18"/>
    <x v="10"/>
    <s v="Regulación y supervisión"/>
    <x v="11"/>
    <x v="517"/>
    <x v="336"/>
    <x v="706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838260"/>
    <n v="0"/>
    <n v="0"/>
    <n v="838260"/>
    <n v="1016354"/>
    <m/>
    <x v="1"/>
    <n v="1016354"/>
  </r>
  <r>
    <x v="1"/>
    <x v="18"/>
    <x v="18"/>
    <x v="10"/>
    <s v="Regulación y supervisión"/>
    <x v="11"/>
    <x v="517"/>
    <x v="336"/>
    <x v="70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6553131"/>
    <n v="0"/>
    <n v="0"/>
    <n v="6553131"/>
    <n v="8258600"/>
    <m/>
    <x v="1"/>
    <n v="8258600"/>
  </r>
  <r>
    <x v="1"/>
    <x v="18"/>
    <x v="18"/>
    <x v="10"/>
    <s v="Regulación y supervisión"/>
    <x v="11"/>
    <x v="517"/>
    <x v="337"/>
    <x v="707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769583"/>
    <n v="0"/>
    <n v="0"/>
    <n v="769583"/>
    <n v="2759197"/>
    <m/>
    <x v="1"/>
    <n v="2759197"/>
  </r>
  <r>
    <x v="1"/>
    <x v="18"/>
    <x v="18"/>
    <x v="10"/>
    <s v="Regulación y supervisión"/>
    <x v="11"/>
    <x v="517"/>
    <x v="337"/>
    <x v="70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6519709"/>
    <n v="0"/>
    <n v="0"/>
    <n v="6519709"/>
    <n v="7190099"/>
    <m/>
    <x v="1"/>
    <n v="7190099"/>
  </r>
  <r>
    <x v="1"/>
    <x v="18"/>
    <x v="18"/>
    <x v="10"/>
    <s v="Regulación y supervisión"/>
    <x v="11"/>
    <x v="517"/>
    <x v="338"/>
    <x v="708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7286918"/>
    <n v="0"/>
    <n v="0"/>
    <n v="7286918"/>
    <n v="7525237"/>
    <m/>
    <x v="1"/>
    <n v="7525237"/>
  </r>
  <r>
    <x v="1"/>
    <x v="18"/>
    <x v="18"/>
    <x v="10"/>
    <s v="Regulación y supervisión"/>
    <x v="11"/>
    <x v="517"/>
    <x v="338"/>
    <x v="70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0012002"/>
    <n v="0"/>
    <n v="0"/>
    <n v="10012002"/>
    <n v="11507757"/>
    <m/>
    <x v="1"/>
    <n v="11507757"/>
  </r>
  <r>
    <x v="1"/>
    <x v="18"/>
    <x v="18"/>
    <x v="10"/>
    <s v="Regulación y supervisión"/>
    <x v="11"/>
    <x v="517"/>
    <x v="339"/>
    <x v="709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59254"/>
    <n v="0"/>
    <n v="0"/>
    <n v="59254"/>
    <n v="202462"/>
    <m/>
    <x v="1"/>
    <n v="202462"/>
  </r>
  <r>
    <x v="1"/>
    <x v="18"/>
    <x v="18"/>
    <x v="10"/>
    <s v="Regulación y supervisión"/>
    <x v="11"/>
    <x v="517"/>
    <x v="339"/>
    <x v="70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5363274"/>
    <n v="0"/>
    <n v="0"/>
    <n v="5363274"/>
    <n v="8768112"/>
    <m/>
    <x v="1"/>
    <n v="8768112"/>
  </r>
  <r>
    <x v="1"/>
    <x v="18"/>
    <x v="18"/>
    <x v="10"/>
    <s v="Regulación y supervisión"/>
    <x v="11"/>
    <x v="517"/>
    <x v="340"/>
    <x v="710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185819"/>
    <n v="0"/>
    <n v="0"/>
    <n v="1185819"/>
    <n v="3312992"/>
    <m/>
    <x v="1"/>
    <n v="3312992"/>
  </r>
  <r>
    <x v="1"/>
    <x v="18"/>
    <x v="18"/>
    <x v="10"/>
    <s v="Regulación y supervisión"/>
    <x v="11"/>
    <x v="517"/>
    <x v="340"/>
    <x v="71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4295801"/>
    <n v="0"/>
    <n v="0"/>
    <n v="4295801"/>
    <n v="4880866"/>
    <m/>
    <x v="1"/>
    <n v="4880866"/>
  </r>
  <r>
    <x v="1"/>
    <x v="18"/>
    <x v="18"/>
    <x v="10"/>
    <s v="Regulación y supervisión"/>
    <x v="11"/>
    <x v="517"/>
    <x v="341"/>
    <x v="71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m/>
    <m/>
    <m/>
    <m/>
    <n v="1300921"/>
    <m/>
    <x v="1"/>
    <n v="1300921"/>
  </r>
  <r>
    <x v="1"/>
    <x v="18"/>
    <x v="18"/>
    <x v="10"/>
    <s v="Regulación y supervisión"/>
    <x v="11"/>
    <x v="517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5101130"/>
    <n v="0"/>
    <n v="0"/>
    <n v="5101130"/>
    <n v="4320749"/>
    <m/>
    <x v="1"/>
    <n v="4320749"/>
  </r>
  <r>
    <x v="1"/>
    <x v="18"/>
    <x v="18"/>
    <x v="10"/>
    <s v="Regulación y supervisión"/>
    <x v="11"/>
    <x v="517"/>
    <x v="359"/>
    <x v="730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5483831"/>
    <n v="0"/>
    <n v="0"/>
    <n v="5483831"/>
    <n v="4363622"/>
    <m/>
    <x v="1"/>
    <n v="4363622"/>
  </r>
  <r>
    <x v="1"/>
    <x v="18"/>
    <x v="18"/>
    <x v="10"/>
    <s v="Regulación y supervisión"/>
    <x v="11"/>
    <x v="517"/>
    <x v="359"/>
    <x v="73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43460"/>
    <m/>
    <x v="1"/>
    <n v="143460"/>
  </r>
  <r>
    <x v="1"/>
    <x v="18"/>
    <x v="18"/>
    <x v="10"/>
    <s v="Regulación y supervisión"/>
    <x v="11"/>
    <x v="517"/>
    <x v="359"/>
    <x v="73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6499314"/>
    <n v="0"/>
    <n v="0"/>
    <n v="6499314"/>
    <n v="8808965"/>
    <m/>
    <x v="1"/>
    <n v="8808965"/>
  </r>
  <r>
    <x v="1"/>
    <x v="18"/>
    <x v="18"/>
    <x v="10"/>
    <s v="Regulación y supervisión"/>
    <x v="11"/>
    <x v="517"/>
    <x v="319"/>
    <x v="678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3918234"/>
    <n v="0"/>
    <n v="0"/>
    <n v="3918234"/>
    <n v="5653538"/>
    <m/>
    <x v="1"/>
    <n v="5653538"/>
  </r>
  <r>
    <x v="1"/>
    <x v="18"/>
    <x v="18"/>
    <x v="10"/>
    <s v="Regulación y supervisión"/>
    <x v="11"/>
    <x v="517"/>
    <x v="319"/>
    <x v="67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7170769"/>
    <n v="0"/>
    <n v="0"/>
    <n v="7170769"/>
    <n v="9541558"/>
    <m/>
    <x v="1"/>
    <n v="9541558"/>
  </r>
  <r>
    <x v="1"/>
    <x v="18"/>
    <x v="18"/>
    <x v="10"/>
    <s v="Regulación y supervisión"/>
    <x v="11"/>
    <x v="517"/>
    <x v="342"/>
    <x v="712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2710221"/>
    <n v="0"/>
    <n v="0"/>
    <n v="2710221"/>
    <n v="21503117"/>
    <m/>
    <x v="1"/>
    <n v="21503117"/>
  </r>
  <r>
    <x v="1"/>
    <x v="18"/>
    <x v="18"/>
    <x v="10"/>
    <s v="Regulación y supervisión"/>
    <x v="11"/>
    <x v="517"/>
    <x v="342"/>
    <x v="71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583287"/>
    <m/>
    <x v="1"/>
    <n v="3583287"/>
  </r>
  <r>
    <x v="1"/>
    <x v="18"/>
    <x v="18"/>
    <x v="10"/>
    <s v="Regulación y supervisión"/>
    <x v="11"/>
    <x v="517"/>
    <x v="342"/>
    <x v="71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29853175"/>
    <n v="0"/>
    <n v="0"/>
    <n v="29853175"/>
    <n v="591032"/>
    <m/>
    <x v="1"/>
    <n v="591032"/>
  </r>
  <r>
    <x v="1"/>
    <x v="18"/>
    <x v="18"/>
    <x v="10"/>
    <s v="Regulación y supervisión"/>
    <x v="11"/>
    <x v="517"/>
    <x v="342"/>
    <x v="71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55358"/>
    <m/>
    <x v="1"/>
    <n v="455358"/>
  </r>
  <r>
    <x v="1"/>
    <x v="18"/>
    <x v="18"/>
    <x v="10"/>
    <s v="Regulación y supervisión"/>
    <x v="11"/>
    <x v="517"/>
    <x v="343"/>
    <x v="713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1"/>
    <x v="0"/>
    <x v="0"/>
    <m/>
    <x v="0"/>
    <x v="0"/>
    <m/>
    <n v="32276707"/>
    <n v="0"/>
    <n v="0"/>
    <n v="32276707"/>
    <n v="18234417"/>
    <m/>
    <x v="1"/>
    <n v="18234417"/>
  </r>
  <r>
    <x v="1"/>
    <x v="18"/>
    <x v="18"/>
    <x v="10"/>
    <s v="Regulación y supervisión"/>
    <x v="11"/>
    <x v="517"/>
    <x v="343"/>
    <x v="713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5140444"/>
    <n v="0"/>
    <n v="0"/>
    <n v="15140444"/>
    <n v="3919870"/>
    <m/>
    <x v="1"/>
    <n v="3919870"/>
  </r>
  <r>
    <x v="1"/>
    <x v="18"/>
    <x v="18"/>
    <x v="10"/>
    <s v="Regulación y supervisión"/>
    <x v="11"/>
    <x v="517"/>
    <x v="343"/>
    <x v="71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28341025"/>
    <n v="0"/>
    <n v="0"/>
    <n v="28341025"/>
    <n v="24794913"/>
    <m/>
    <x v="1"/>
    <n v="24794913"/>
  </r>
  <r>
    <x v="1"/>
    <x v="18"/>
    <x v="18"/>
    <x v="10"/>
    <s v="Regulación y supervisión"/>
    <x v="11"/>
    <x v="517"/>
    <x v="344"/>
    <x v="714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1"/>
    <x v="0"/>
    <x v="0"/>
    <m/>
    <x v="0"/>
    <x v="0"/>
    <m/>
    <m/>
    <m/>
    <m/>
    <m/>
    <n v="117856"/>
    <m/>
    <x v="1"/>
    <n v="117856"/>
  </r>
  <r>
    <x v="1"/>
    <x v="18"/>
    <x v="18"/>
    <x v="10"/>
    <s v="Regulación y supervisión"/>
    <x v="11"/>
    <x v="517"/>
    <x v="344"/>
    <x v="714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6743388"/>
    <n v="0"/>
    <n v="0"/>
    <n v="6743388"/>
    <n v="7506255"/>
    <m/>
    <x v="1"/>
    <n v="7506255"/>
  </r>
  <r>
    <x v="1"/>
    <x v="18"/>
    <x v="18"/>
    <x v="10"/>
    <s v="Regulación y supervisión"/>
    <x v="11"/>
    <x v="517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8551826"/>
    <n v="0"/>
    <n v="0"/>
    <n v="8551826"/>
    <n v="13456643"/>
    <m/>
    <x v="1"/>
    <n v="13456643"/>
  </r>
  <r>
    <x v="1"/>
    <x v="18"/>
    <x v="18"/>
    <x v="10"/>
    <s v="Regulación y supervisión"/>
    <x v="11"/>
    <x v="517"/>
    <x v="345"/>
    <x v="715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2289666"/>
    <n v="0"/>
    <n v="0"/>
    <n v="2289666"/>
    <n v="3355760"/>
    <m/>
    <x v="1"/>
    <n v="3355760"/>
  </r>
  <r>
    <x v="1"/>
    <x v="18"/>
    <x v="18"/>
    <x v="10"/>
    <s v="Regulación y supervisión"/>
    <x v="11"/>
    <x v="517"/>
    <x v="345"/>
    <x v="71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0338770"/>
    <n v="0"/>
    <n v="0"/>
    <n v="10338770"/>
    <n v="10888888"/>
    <m/>
    <x v="1"/>
    <n v="10888888"/>
  </r>
  <r>
    <x v="1"/>
    <x v="18"/>
    <x v="18"/>
    <x v="10"/>
    <s v="Regulación y supervisión"/>
    <x v="11"/>
    <x v="517"/>
    <x v="346"/>
    <x v="716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149352"/>
    <n v="0"/>
    <n v="0"/>
    <n v="1149352"/>
    <n v="2504679"/>
    <m/>
    <x v="1"/>
    <n v="2504679"/>
  </r>
  <r>
    <x v="1"/>
    <x v="18"/>
    <x v="18"/>
    <x v="10"/>
    <s v="Regulación y supervisión"/>
    <x v="11"/>
    <x v="517"/>
    <x v="346"/>
    <x v="71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32390594"/>
    <n v="0"/>
    <n v="0"/>
    <n v="32390594"/>
    <n v="58460761"/>
    <m/>
    <x v="1"/>
    <n v="58460761"/>
  </r>
  <r>
    <x v="1"/>
    <x v="18"/>
    <x v="18"/>
    <x v="10"/>
    <s v="Regulación y supervisión"/>
    <x v="11"/>
    <x v="517"/>
    <x v="347"/>
    <x v="717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746617"/>
    <n v="0"/>
    <n v="0"/>
    <n v="1746617"/>
    <n v="2022284"/>
    <m/>
    <x v="1"/>
    <n v="2022284"/>
  </r>
  <r>
    <x v="1"/>
    <x v="18"/>
    <x v="18"/>
    <x v="10"/>
    <s v="Regulación y supervisión"/>
    <x v="11"/>
    <x v="517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22741301"/>
    <n v="0"/>
    <n v="0"/>
    <n v="22741301"/>
    <n v="18622650"/>
    <m/>
    <x v="1"/>
    <n v="18622650"/>
  </r>
  <r>
    <x v="1"/>
    <x v="18"/>
    <x v="18"/>
    <x v="10"/>
    <s v="Regulación y supervisión"/>
    <x v="11"/>
    <x v="517"/>
    <x v="348"/>
    <x v="718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289304"/>
    <n v="0"/>
    <n v="0"/>
    <n v="1289304"/>
    <n v="2668043"/>
    <m/>
    <x v="1"/>
    <n v="2668043"/>
  </r>
  <r>
    <x v="1"/>
    <x v="18"/>
    <x v="18"/>
    <x v="10"/>
    <s v="Regulación y supervisión"/>
    <x v="11"/>
    <x v="517"/>
    <x v="348"/>
    <x v="71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32127407"/>
    <n v="0"/>
    <n v="0"/>
    <n v="32127407"/>
    <n v="22895634"/>
    <m/>
    <x v="1"/>
    <n v="22895634"/>
  </r>
  <r>
    <x v="1"/>
    <x v="18"/>
    <x v="18"/>
    <x v="10"/>
    <s v="Regulación y supervisión"/>
    <x v="11"/>
    <x v="517"/>
    <x v="348"/>
    <x v="718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0210473"/>
    <m/>
    <x v="1"/>
    <n v="10210473"/>
  </r>
  <r>
    <x v="1"/>
    <x v="18"/>
    <x v="18"/>
    <x v="10"/>
    <s v="Regulación y supervisión"/>
    <x v="11"/>
    <x v="517"/>
    <x v="349"/>
    <x v="719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2345949"/>
    <n v="0"/>
    <n v="0"/>
    <n v="2345949"/>
    <n v="3386796"/>
    <m/>
    <x v="1"/>
    <n v="3386796"/>
  </r>
  <r>
    <x v="1"/>
    <x v="18"/>
    <x v="18"/>
    <x v="10"/>
    <s v="Regulación y supervisión"/>
    <x v="11"/>
    <x v="517"/>
    <x v="349"/>
    <x v="71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5576598"/>
    <n v="0"/>
    <n v="0"/>
    <n v="15576598"/>
    <n v="15442717"/>
    <m/>
    <x v="1"/>
    <n v="15442717"/>
  </r>
  <r>
    <x v="1"/>
    <x v="18"/>
    <x v="18"/>
    <x v="10"/>
    <s v="Regulación y supervisión"/>
    <x v="11"/>
    <x v="517"/>
    <x v="350"/>
    <x v="720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1938972"/>
    <n v="0"/>
    <n v="0"/>
    <n v="1938972"/>
    <n v="9730371"/>
    <m/>
    <x v="1"/>
    <n v="9730371"/>
  </r>
  <r>
    <x v="1"/>
    <x v="18"/>
    <x v="18"/>
    <x v="10"/>
    <s v="Regulación y supervisión"/>
    <x v="11"/>
    <x v="517"/>
    <x v="350"/>
    <x v="72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15091698"/>
    <n v="0"/>
    <n v="0"/>
    <n v="15091698"/>
    <n v="39193584"/>
    <m/>
    <x v="1"/>
    <n v="39193584"/>
  </r>
  <r>
    <x v="1"/>
    <x v="18"/>
    <x v="18"/>
    <x v="10"/>
    <s v="Regulación y supervisión"/>
    <x v="11"/>
    <x v="517"/>
    <x v="350"/>
    <x v="720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355182"/>
    <m/>
    <x v="1"/>
    <n v="4355182"/>
  </r>
  <r>
    <x v="1"/>
    <x v="18"/>
    <x v="18"/>
    <x v="10"/>
    <s v="Regulación y supervisión"/>
    <x v="11"/>
    <x v="517"/>
    <x v="351"/>
    <x v="72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64130"/>
    <n v="0"/>
    <n v="0"/>
    <n v="64130"/>
    <n v="500148"/>
    <m/>
    <x v="1"/>
    <n v="500148"/>
  </r>
  <r>
    <x v="1"/>
    <x v="18"/>
    <x v="18"/>
    <x v="10"/>
    <s v="Regulación y supervisión"/>
    <x v="11"/>
    <x v="517"/>
    <x v="351"/>
    <x v="72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5345256"/>
    <n v="0"/>
    <n v="0"/>
    <n v="5345256"/>
    <n v="5939722"/>
    <m/>
    <x v="1"/>
    <n v="5939722"/>
  </r>
  <r>
    <x v="1"/>
    <x v="18"/>
    <x v="18"/>
    <x v="10"/>
    <s v="Regulación y supervisión"/>
    <x v="11"/>
    <x v="517"/>
    <x v="352"/>
    <x v="722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2558219"/>
    <n v="0"/>
    <n v="0"/>
    <n v="2558219"/>
    <n v="618382"/>
    <m/>
    <x v="1"/>
    <n v="618382"/>
  </r>
  <r>
    <x v="1"/>
    <x v="18"/>
    <x v="18"/>
    <x v="10"/>
    <s v="Regulación y supervisión"/>
    <x v="11"/>
    <x v="517"/>
    <x v="352"/>
    <x v="72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7831807"/>
    <n v="0"/>
    <n v="0"/>
    <n v="7831807"/>
    <n v="11196149"/>
    <m/>
    <x v="1"/>
    <n v="11196149"/>
  </r>
  <r>
    <x v="1"/>
    <x v="18"/>
    <x v="18"/>
    <x v="10"/>
    <s v="Regulación y supervisión"/>
    <x v="11"/>
    <x v="517"/>
    <x v="352"/>
    <x v="72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935638"/>
    <m/>
    <x v="1"/>
    <n v="1935638"/>
  </r>
  <r>
    <x v="1"/>
    <x v="18"/>
    <x v="18"/>
    <x v="10"/>
    <s v="Regulación y supervisión"/>
    <x v="13"/>
    <x v="518"/>
    <x v="360"/>
    <x v="76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435200"/>
    <n v="0"/>
    <n v="0"/>
    <n v="435200"/>
    <m/>
    <m/>
    <x v="1"/>
    <n v="0"/>
  </r>
  <r>
    <x v="1"/>
    <x v="18"/>
    <x v="18"/>
    <x v="10"/>
    <s v="Regulación y supervisión"/>
    <x v="13"/>
    <x v="518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12362960"/>
    <n v="0"/>
    <n v="0"/>
    <n v="12362960"/>
    <m/>
    <m/>
    <x v="1"/>
    <n v="0"/>
  </r>
  <r>
    <x v="1"/>
    <x v="18"/>
    <x v="18"/>
    <x v="10"/>
    <s v="Regulación y supervisión"/>
    <x v="13"/>
    <x v="518"/>
    <x v="322"/>
    <x v="69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n v="2815000"/>
    <n v="0"/>
    <n v="0"/>
    <n v="2815000"/>
    <n v="206191"/>
    <m/>
    <x v="1"/>
    <n v="206191"/>
  </r>
  <r>
    <x v="1"/>
    <x v="18"/>
    <x v="18"/>
    <x v="10"/>
    <s v="Regulación y supervisión"/>
    <x v="13"/>
    <x v="518"/>
    <x v="322"/>
    <x v="69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n v="2290000"/>
    <n v="0"/>
    <n v="0"/>
    <n v="2290000"/>
    <m/>
    <m/>
    <x v="1"/>
    <n v="0"/>
  </r>
  <r>
    <x v="1"/>
    <x v="18"/>
    <x v="18"/>
    <x v="10"/>
    <s v="Regulación y supervisión"/>
    <x v="13"/>
    <x v="518"/>
    <x v="329"/>
    <x v="69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402409"/>
    <m/>
    <x v="1"/>
    <n v="13402409"/>
  </r>
  <r>
    <x v="1"/>
    <x v="18"/>
    <x v="18"/>
    <x v="10"/>
    <s v="Regulación y supervisión"/>
    <x v="13"/>
    <x v="518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273204"/>
    <m/>
    <x v="1"/>
    <n v="273204"/>
  </r>
  <r>
    <x v="1"/>
    <x v="18"/>
    <x v="18"/>
    <x v="10"/>
    <s v="Regulación y supervisión"/>
    <x v="13"/>
    <x v="518"/>
    <x v="329"/>
    <x v="699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00014"/>
    <m/>
    <x v="1"/>
    <n v="500014"/>
  </r>
  <r>
    <x v="1"/>
    <x v="18"/>
    <x v="18"/>
    <x v="10"/>
    <s v="Regulación y supervisión"/>
    <x v="13"/>
    <x v="518"/>
    <x v="359"/>
    <x v="73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36083"/>
    <m/>
    <x v="1"/>
    <n v="36083"/>
  </r>
  <r>
    <x v="1"/>
    <x v="18"/>
    <x v="18"/>
    <x v="10"/>
    <s v="Regulación y supervisión"/>
    <x v="13"/>
    <x v="518"/>
    <x v="343"/>
    <x v="71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36083"/>
    <m/>
    <x v="1"/>
    <n v="36083"/>
  </r>
  <r>
    <x v="1"/>
    <x v="18"/>
    <x v="18"/>
    <x v="10"/>
    <s v="Regulación y supervisión"/>
    <x v="13"/>
    <x v="518"/>
    <x v="344"/>
    <x v="71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5464317"/>
    <m/>
    <x v="1"/>
    <n v="15464317"/>
  </r>
  <r>
    <x v="1"/>
    <x v="18"/>
    <x v="18"/>
    <x v="10"/>
    <s v="Regulación y supervisión"/>
    <x v="13"/>
    <x v="518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36083"/>
    <m/>
    <x v="1"/>
    <n v="36083"/>
  </r>
  <r>
    <x v="1"/>
    <x v="18"/>
    <x v="18"/>
    <x v="10"/>
    <s v="Regulación y supervisión"/>
    <x v="13"/>
    <x v="518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20620"/>
    <m/>
    <x v="1"/>
    <n v="20620"/>
  </r>
  <r>
    <x v="1"/>
    <x v="18"/>
    <x v="18"/>
    <x v="10"/>
    <s v="Regulación y supervisión"/>
    <x v="14"/>
    <x v="519"/>
    <x v="36"/>
    <x v="764"/>
    <n v="3"/>
    <s v="Desarrollo Económico"/>
    <n v="9"/>
    <s v="Desarrollo Sustentable"/>
    <n v="2"/>
    <x v="63"/>
    <x v="9"/>
    <x v="138"/>
    <n v="1"/>
    <s v="Gasto corriente"/>
    <x v="0"/>
    <x v="0"/>
    <x v="0"/>
    <x v="0"/>
    <x v="1"/>
    <x v="0"/>
    <x v="0"/>
    <m/>
    <x v="0"/>
    <x v="1"/>
    <m/>
    <n v="174351747"/>
    <n v="4975000"/>
    <n v="0"/>
    <n v="179326747"/>
    <n v="226298526"/>
    <m/>
    <x v="1"/>
    <n v="226298526"/>
  </r>
  <r>
    <x v="1"/>
    <x v="18"/>
    <x v="18"/>
    <x v="10"/>
    <s v="Regulación y supervisión"/>
    <x v="14"/>
    <x v="519"/>
    <x v="36"/>
    <x v="764"/>
    <n v="3"/>
    <s v="Desarrollo Económico"/>
    <n v="9"/>
    <s v="Desarrollo Sustentable"/>
    <n v="2"/>
    <x v="63"/>
    <x v="9"/>
    <x v="138"/>
    <n v="2"/>
    <s v="Gasto de capital"/>
    <x v="0"/>
    <x v="0"/>
    <x v="0"/>
    <x v="0"/>
    <x v="1"/>
    <x v="0"/>
    <x v="0"/>
    <m/>
    <x v="0"/>
    <x v="1"/>
    <m/>
    <n v="0"/>
    <n v="47460000"/>
    <n v="0"/>
    <n v="47460000"/>
    <n v="7735469"/>
    <m/>
    <x v="1"/>
    <n v="7735469"/>
  </r>
  <r>
    <x v="1"/>
    <x v="18"/>
    <x v="18"/>
    <x v="10"/>
    <s v="Regulación y supervisión"/>
    <x v="18"/>
    <x v="520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1"/>
    <x v="0"/>
    <x v="0"/>
    <x v="1"/>
    <x v="0"/>
    <x v="0"/>
    <m/>
    <x v="0"/>
    <x v="1"/>
    <n v="1"/>
    <n v="1185356"/>
    <n v="0"/>
    <n v="0"/>
    <n v="1185356"/>
    <n v="7435235"/>
    <m/>
    <x v="1"/>
    <n v="7435235"/>
  </r>
  <r>
    <x v="1"/>
    <x v="18"/>
    <x v="18"/>
    <x v="10"/>
    <s v="Regulación y supervisión"/>
    <x v="18"/>
    <x v="520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0"/>
    <x v="0"/>
    <x v="0"/>
    <x v="1"/>
    <x v="0"/>
    <x v="0"/>
    <m/>
    <x v="0"/>
    <x v="1"/>
    <n v="1"/>
    <n v="345233688"/>
    <n v="67694000"/>
    <n v="-2698600"/>
    <n v="410229088"/>
    <n v="909273412"/>
    <m/>
    <x v="1"/>
    <n v="909273412"/>
  </r>
  <r>
    <x v="1"/>
    <x v="18"/>
    <x v="18"/>
    <x v="10"/>
    <s v="Regulación y supervisión"/>
    <x v="18"/>
    <x v="520"/>
    <x v="320"/>
    <x v="690"/>
    <n v="3"/>
    <s v="Desarrollo Económico"/>
    <n v="2"/>
    <s v="Desarrollo Agropecuario y Forestal"/>
    <n v="6"/>
    <x v="64"/>
    <x v="0"/>
    <x v="134"/>
    <n v="2"/>
    <s v="Gasto de capital"/>
    <x v="0"/>
    <x v="0"/>
    <x v="0"/>
    <x v="0"/>
    <x v="1"/>
    <x v="0"/>
    <x v="0"/>
    <m/>
    <x v="0"/>
    <x v="1"/>
    <n v="1"/>
    <n v="67692069"/>
    <n v="63137000"/>
    <n v="-2500000"/>
    <n v="128329069"/>
    <n v="143819582"/>
    <m/>
    <x v="1"/>
    <n v="143819582"/>
  </r>
  <r>
    <x v="1"/>
    <x v="18"/>
    <x v="18"/>
    <x v="10"/>
    <s v="Regulación y supervisión"/>
    <x v="18"/>
    <x v="520"/>
    <x v="320"/>
    <x v="690"/>
    <n v="3"/>
    <s v="Desarrollo Económico"/>
    <n v="2"/>
    <s v="Desarrollo Agropecuario y Forestal"/>
    <n v="6"/>
    <x v="64"/>
    <x v="5"/>
    <x v="135"/>
    <n v="1"/>
    <s v="Gasto corriente"/>
    <x v="0"/>
    <x v="0"/>
    <x v="0"/>
    <x v="0"/>
    <x v="1"/>
    <x v="0"/>
    <x v="0"/>
    <m/>
    <x v="0"/>
    <x v="1"/>
    <n v="1"/>
    <n v="92019669"/>
    <n v="0"/>
    <n v="0"/>
    <n v="92019669"/>
    <m/>
    <m/>
    <x v="1"/>
    <n v="0"/>
  </r>
  <r>
    <x v="1"/>
    <x v="18"/>
    <x v="18"/>
    <x v="10"/>
    <s v="Regulación y supervisión"/>
    <x v="18"/>
    <x v="520"/>
    <x v="320"/>
    <x v="690"/>
    <n v="3"/>
    <s v="Desarrollo Económico"/>
    <n v="2"/>
    <s v="Desarrollo Agropecuario y Forestal"/>
    <n v="6"/>
    <x v="64"/>
    <x v="5"/>
    <x v="135"/>
    <n v="2"/>
    <s v="Gasto de capital"/>
    <x v="0"/>
    <x v="0"/>
    <x v="0"/>
    <x v="0"/>
    <x v="1"/>
    <x v="0"/>
    <x v="0"/>
    <m/>
    <x v="0"/>
    <x v="1"/>
    <n v="1"/>
    <n v="7255029"/>
    <n v="0"/>
    <n v="-1000000"/>
    <n v="6255029"/>
    <m/>
    <m/>
    <x v="1"/>
    <n v="0"/>
  </r>
  <r>
    <x v="1"/>
    <x v="18"/>
    <x v="18"/>
    <x v="10"/>
    <s v="Regulación y supervisión"/>
    <x v="24"/>
    <x v="521"/>
    <x v="356"/>
    <x v="72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363900"/>
    <n v="0"/>
    <n v="0"/>
    <n v="363900"/>
    <n v="109946"/>
    <m/>
    <x v="1"/>
    <n v="109946"/>
  </r>
  <r>
    <x v="1"/>
    <x v="18"/>
    <x v="18"/>
    <x v="10"/>
    <s v="Regulación y supervisión"/>
    <x v="24"/>
    <x v="521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7862"/>
    <m/>
    <x v="1"/>
    <n v="17862"/>
  </r>
  <r>
    <x v="1"/>
    <x v="18"/>
    <x v="18"/>
    <x v="10"/>
    <s v="Regulación y supervisión"/>
    <x v="24"/>
    <x v="521"/>
    <x v="357"/>
    <x v="72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4635"/>
    <m/>
    <x v="1"/>
    <n v="14635"/>
  </r>
  <r>
    <x v="1"/>
    <x v="18"/>
    <x v="18"/>
    <x v="10"/>
    <s v="Regulación y supervisión"/>
    <x v="24"/>
    <x v="521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8668"/>
    <m/>
    <x v="1"/>
    <n v="28668"/>
  </r>
  <r>
    <x v="1"/>
    <x v="18"/>
    <x v="18"/>
    <x v="10"/>
    <s v="Regulación y supervisión"/>
    <x v="24"/>
    <x v="521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25230"/>
    <m/>
    <x v="1"/>
    <n v="525230"/>
  </r>
  <r>
    <x v="1"/>
    <x v="18"/>
    <x v="18"/>
    <x v="10"/>
    <s v="Regulación y supervisión"/>
    <x v="24"/>
    <x v="521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1076"/>
    <m/>
    <x v="1"/>
    <n v="21076"/>
  </r>
  <r>
    <x v="1"/>
    <x v="18"/>
    <x v="18"/>
    <x v="10"/>
    <s v="Regulación y supervisión"/>
    <x v="24"/>
    <x v="521"/>
    <x v="358"/>
    <x v="72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0338"/>
    <m/>
    <x v="1"/>
    <n v="20338"/>
  </r>
  <r>
    <x v="1"/>
    <x v="18"/>
    <x v="18"/>
    <x v="10"/>
    <s v="Regulación y supervisión"/>
    <x v="24"/>
    <x v="521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2122"/>
    <m/>
    <x v="1"/>
    <n v="32122"/>
  </r>
  <r>
    <x v="1"/>
    <x v="18"/>
    <x v="18"/>
    <x v="10"/>
    <s v="Regulación y supervisión"/>
    <x v="24"/>
    <x v="521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8668"/>
    <m/>
    <x v="1"/>
    <n v="28668"/>
  </r>
  <r>
    <x v="1"/>
    <x v="18"/>
    <x v="18"/>
    <x v="10"/>
    <s v="Regulación y supervisión"/>
    <x v="24"/>
    <x v="521"/>
    <x v="332"/>
    <x v="70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2852"/>
    <m/>
    <x v="1"/>
    <n v="42852"/>
  </r>
  <r>
    <x v="1"/>
    <x v="18"/>
    <x v="18"/>
    <x v="10"/>
    <s v="Regulación y supervisión"/>
    <x v="24"/>
    <x v="521"/>
    <x v="333"/>
    <x v="70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7862"/>
    <m/>
    <x v="1"/>
    <n v="17862"/>
  </r>
  <r>
    <x v="1"/>
    <x v="18"/>
    <x v="18"/>
    <x v="10"/>
    <s v="Regulación y supervisión"/>
    <x v="24"/>
    <x v="521"/>
    <x v="334"/>
    <x v="70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9774"/>
    <m/>
    <x v="1"/>
    <n v="39774"/>
  </r>
  <r>
    <x v="1"/>
    <x v="18"/>
    <x v="18"/>
    <x v="10"/>
    <s v="Regulación y supervisión"/>
    <x v="20"/>
    <x v="522"/>
    <x v="322"/>
    <x v="69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4200000"/>
    <n v="0"/>
    <n v="0"/>
    <n v="4200000"/>
    <m/>
    <m/>
    <x v="1"/>
    <n v="0"/>
  </r>
  <r>
    <x v="1"/>
    <x v="18"/>
    <x v="18"/>
    <x v="10"/>
    <s v="Regulación y supervisión"/>
    <x v="20"/>
    <x v="522"/>
    <x v="322"/>
    <x v="69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n v="73800000"/>
    <n v="0"/>
    <n v="0"/>
    <n v="73800000"/>
    <m/>
    <m/>
    <x v="1"/>
    <n v="0"/>
  </r>
  <r>
    <x v="1"/>
    <x v="18"/>
    <x v="18"/>
    <x v="10"/>
    <s v="Regulación y supervisión"/>
    <x v="20"/>
    <x v="522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46184"/>
    <m/>
    <x v="1"/>
    <n v="246184"/>
  </r>
  <r>
    <x v="1"/>
    <x v="18"/>
    <x v="18"/>
    <x v="10"/>
    <s v="Regulación y supervisión"/>
    <x v="20"/>
    <x v="522"/>
    <x v="318"/>
    <x v="67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4320767"/>
    <m/>
    <x v="1"/>
    <n v="4320767"/>
  </r>
  <r>
    <x v="1"/>
    <x v="18"/>
    <x v="18"/>
    <x v="10"/>
    <s v="Regulación y supervisión"/>
    <x v="20"/>
    <x v="522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04150"/>
    <m/>
    <x v="1"/>
    <n v="204150"/>
  </r>
  <r>
    <x v="1"/>
    <x v="18"/>
    <x v="18"/>
    <x v="10"/>
    <s v="Regulación y supervisión"/>
    <x v="20"/>
    <x v="522"/>
    <x v="325"/>
    <x v="695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200965"/>
    <m/>
    <x v="1"/>
    <n v="2200965"/>
  </r>
  <r>
    <x v="1"/>
    <x v="18"/>
    <x v="18"/>
    <x v="10"/>
    <s v="Regulación y supervisión"/>
    <x v="20"/>
    <x v="522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62198"/>
    <m/>
    <x v="1"/>
    <n v="162198"/>
  </r>
  <r>
    <x v="1"/>
    <x v="18"/>
    <x v="18"/>
    <x v="10"/>
    <s v="Regulación y supervisión"/>
    <x v="20"/>
    <x v="522"/>
    <x v="326"/>
    <x v="696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1453758"/>
    <m/>
    <x v="1"/>
    <n v="1453758"/>
  </r>
  <r>
    <x v="1"/>
    <x v="18"/>
    <x v="18"/>
    <x v="10"/>
    <s v="Regulación y supervisión"/>
    <x v="20"/>
    <x v="522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07857"/>
    <m/>
    <x v="1"/>
    <n v="107857"/>
  </r>
  <r>
    <x v="1"/>
    <x v="18"/>
    <x v="18"/>
    <x v="10"/>
    <s v="Regulación y supervisión"/>
    <x v="20"/>
    <x v="522"/>
    <x v="327"/>
    <x v="69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127940"/>
    <m/>
    <x v="1"/>
    <n v="2127940"/>
  </r>
  <r>
    <x v="1"/>
    <x v="18"/>
    <x v="18"/>
    <x v="10"/>
    <s v="Regulación y supervisión"/>
    <x v="20"/>
    <x v="522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37183"/>
    <m/>
    <x v="1"/>
    <n v="237183"/>
  </r>
  <r>
    <x v="1"/>
    <x v="18"/>
    <x v="18"/>
    <x v="10"/>
    <s v="Regulación y supervisión"/>
    <x v="20"/>
    <x v="522"/>
    <x v="329"/>
    <x v="699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1209814"/>
    <m/>
    <x v="1"/>
    <n v="1209814"/>
  </r>
  <r>
    <x v="1"/>
    <x v="18"/>
    <x v="18"/>
    <x v="10"/>
    <s v="Regulación y supervisión"/>
    <x v="20"/>
    <x v="522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46185"/>
    <m/>
    <x v="1"/>
    <n v="246185"/>
  </r>
  <r>
    <x v="1"/>
    <x v="18"/>
    <x v="18"/>
    <x v="10"/>
    <s v="Regulación y supervisión"/>
    <x v="20"/>
    <x v="522"/>
    <x v="330"/>
    <x v="700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3150560"/>
    <m/>
    <x v="1"/>
    <n v="3150560"/>
  </r>
  <r>
    <x v="1"/>
    <x v="18"/>
    <x v="18"/>
    <x v="10"/>
    <s v="Regulación y supervisión"/>
    <x v="20"/>
    <x v="522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37183"/>
    <m/>
    <x v="1"/>
    <n v="237183"/>
  </r>
  <r>
    <x v="1"/>
    <x v="18"/>
    <x v="18"/>
    <x v="10"/>
    <s v="Regulación y supervisión"/>
    <x v="20"/>
    <x v="522"/>
    <x v="331"/>
    <x v="701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1865131"/>
    <m/>
    <x v="1"/>
    <n v="1865131"/>
  </r>
  <r>
    <x v="1"/>
    <x v="18"/>
    <x v="18"/>
    <x v="10"/>
    <s v="Regulación y supervisión"/>
    <x v="20"/>
    <x v="522"/>
    <x v="332"/>
    <x v="70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03251"/>
    <m/>
    <x v="1"/>
    <n v="303251"/>
  </r>
  <r>
    <x v="1"/>
    <x v="18"/>
    <x v="18"/>
    <x v="10"/>
    <s v="Regulación y supervisión"/>
    <x v="20"/>
    <x v="522"/>
    <x v="332"/>
    <x v="70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1440256"/>
    <m/>
    <x v="1"/>
    <n v="1440256"/>
  </r>
  <r>
    <x v="1"/>
    <x v="18"/>
    <x v="18"/>
    <x v="10"/>
    <s v="Regulación y supervisión"/>
    <x v="20"/>
    <x v="522"/>
    <x v="334"/>
    <x v="70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12338"/>
    <m/>
    <x v="1"/>
    <n v="312338"/>
  </r>
  <r>
    <x v="1"/>
    <x v="18"/>
    <x v="18"/>
    <x v="10"/>
    <s v="Regulación y supervisión"/>
    <x v="20"/>
    <x v="522"/>
    <x v="334"/>
    <x v="704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1386246"/>
    <m/>
    <x v="1"/>
    <n v="1386246"/>
  </r>
  <r>
    <x v="1"/>
    <x v="18"/>
    <x v="18"/>
    <x v="10"/>
    <s v="Regulación y supervisión"/>
    <x v="20"/>
    <x v="522"/>
    <x v="335"/>
    <x v="70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70217"/>
    <m/>
    <x v="1"/>
    <n v="270217"/>
  </r>
  <r>
    <x v="1"/>
    <x v="18"/>
    <x v="18"/>
    <x v="10"/>
    <s v="Regulación y supervisión"/>
    <x v="20"/>
    <x v="522"/>
    <x v="335"/>
    <x v="705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160384"/>
    <m/>
    <x v="1"/>
    <n v="2160384"/>
  </r>
  <r>
    <x v="1"/>
    <x v="18"/>
    <x v="18"/>
    <x v="10"/>
    <s v="Regulación y supervisión"/>
    <x v="20"/>
    <x v="522"/>
    <x v="336"/>
    <x v="70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03252"/>
    <m/>
    <x v="1"/>
    <n v="303252"/>
  </r>
  <r>
    <x v="1"/>
    <x v="18"/>
    <x v="18"/>
    <x v="10"/>
    <s v="Regulación y supervisión"/>
    <x v="20"/>
    <x v="522"/>
    <x v="336"/>
    <x v="706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160384"/>
    <m/>
    <x v="1"/>
    <n v="2160384"/>
  </r>
  <r>
    <x v="1"/>
    <x v="18"/>
    <x v="18"/>
    <x v="10"/>
    <s v="Regulación y supervisión"/>
    <x v="20"/>
    <x v="522"/>
    <x v="337"/>
    <x v="70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98204"/>
    <m/>
    <x v="1"/>
    <n v="198204"/>
  </r>
  <r>
    <x v="1"/>
    <x v="18"/>
    <x v="18"/>
    <x v="10"/>
    <s v="Regulación y supervisión"/>
    <x v="20"/>
    <x v="522"/>
    <x v="337"/>
    <x v="70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327093"/>
    <m/>
    <x v="1"/>
    <n v="2327093"/>
  </r>
  <r>
    <x v="1"/>
    <x v="18"/>
    <x v="18"/>
    <x v="10"/>
    <s v="Regulación y supervisión"/>
    <x v="20"/>
    <x v="522"/>
    <x v="338"/>
    <x v="70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70217"/>
    <m/>
    <x v="1"/>
    <n v="270217"/>
  </r>
  <r>
    <x v="1"/>
    <x v="18"/>
    <x v="18"/>
    <x v="10"/>
    <s v="Regulación y supervisión"/>
    <x v="20"/>
    <x v="522"/>
    <x v="339"/>
    <x v="70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46185"/>
    <m/>
    <x v="1"/>
    <n v="246185"/>
  </r>
  <r>
    <x v="1"/>
    <x v="18"/>
    <x v="18"/>
    <x v="10"/>
    <s v="Regulación y supervisión"/>
    <x v="20"/>
    <x v="522"/>
    <x v="339"/>
    <x v="709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4511601"/>
    <m/>
    <x v="1"/>
    <n v="4511601"/>
  </r>
  <r>
    <x v="1"/>
    <x v="18"/>
    <x v="18"/>
    <x v="10"/>
    <s v="Regulación y supervisión"/>
    <x v="20"/>
    <x v="522"/>
    <x v="340"/>
    <x v="71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65170"/>
    <m/>
    <x v="1"/>
    <n v="165170"/>
  </r>
  <r>
    <x v="1"/>
    <x v="18"/>
    <x v="18"/>
    <x v="10"/>
    <s v="Regulación y supervisión"/>
    <x v="20"/>
    <x v="522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30804"/>
    <m/>
    <x v="1"/>
    <n v="530804"/>
  </r>
  <r>
    <x v="1"/>
    <x v="18"/>
    <x v="18"/>
    <x v="10"/>
    <s v="Regulación y supervisión"/>
    <x v="20"/>
    <x v="522"/>
    <x v="341"/>
    <x v="711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6385518"/>
    <m/>
    <x v="1"/>
    <n v="6385518"/>
  </r>
  <r>
    <x v="1"/>
    <x v="18"/>
    <x v="18"/>
    <x v="10"/>
    <s v="Regulación y supervisión"/>
    <x v="20"/>
    <x v="522"/>
    <x v="319"/>
    <x v="67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61047"/>
    <m/>
    <x v="1"/>
    <n v="261047"/>
  </r>
  <r>
    <x v="1"/>
    <x v="18"/>
    <x v="18"/>
    <x v="10"/>
    <s v="Regulación y supervisión"/>
    <x v="20"/>
    <x v="522"/>
    <x v="319"/>
    <x v="678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485341"/>
    <m/>
    <x v="1"/>
    <n v="2485341"/>
  </r>
  <r>
    <x v="1"/>
    <x v="18"/>
    <x v="18"/>
    <x v="10"/>
    <s v="Regulación y supervisión"/>
    <x v="20"/>
    <x v="522"/>
    <x v="342"/>
    <x v="71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8964694"/>
    <m/>
    <x v="1"/>
    <n v="8964694"/>
  </r>
  <r>
    <x v="1"/>
    <x v="18"/>
    <x v="18"/>
    <x v="10"/>
    <s v="Regulación y supervisión"/>
    <x v="20"/>
    <x v="522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36496"/>
    <m/>
    <x v="1"/>
    <n v="236496"/>
  </r>
  <r>
    <x v="1"/>
    <x v="18"/>
    <x v="18"/>
    <x v="10"/>
    <s v="Regulación y supervisión"/>
    <x v="20"/>
    <x v="522"/>
    <x v="344"/>
    <x v="714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1350240"/>
    <m/>
    <x v="1"/>
    <n v="1350240"/>
  </r>
  <r>
    <x v="1"/>
    <x v="18"/>
    <x v="18"/>
    <x v="10"/>
    <s v="Regulación y supervisión"/>
    <x v="20"/>
    <x v="522"/>
    <x v="345"/>
    <x v="71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23257"/>
    <m/>
    <x v="1"/>
    <n v="223257"/>
  </r>
  <r>
    <x v="1"/>
    <x v="18"/>
    <x v="18"/>
    <x v="10"/>
    <s v="Regulación y supervisión"/>
    <x v="20"/>
    <x v="522"/>
    <x v="345"/>
    <x v="715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4050719"/>
    <m/>
    <x v="1"/>
    <n v="4050719"/>
  </r>
  <r>
    <x v="1"/>
    <x v="18"/>
    <x v="18"/>
    <x v="10"/>
    <s v="Regulación y supervisión"/>
    <x v="20"/>
    <x v="522"/>
    <x v="346"/>
    <x v="71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80032"/>
    <m/>
    <x v="1"/>
    <n v="180032"/>
  </r>
  <r>
    <x v="1"/>
    <x v="18"/>
    <x v="18"/>
    <x v="10"/>
    <s v="Regulación y supervisión"/>
    <x v="20"/>
    <x v="522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37183"/>
    <m/>
    <x v="1"/>
    <n v="237183"/>
  </r>
  <r>
    <x v="1"/>
    <x v="18"/>
    <x v="18"/>
    <x v="10"/>
    <s v="Regulación y supervisión"/>
    <x v="20"/>
    <x v="522"/>
    <x v="347"/>
    <x v="71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286406"/>
    <m/>
    <x v="1"/>
    <n v="2286406"/>
  </r>
  <r>
    <x v="1"/>
    <x v="18"/>
    <x v="18"/>
    <x v="10"/>
    <s v="Regulación y supervisión"/>
    <x v="20"/>
    <x v="522"/>
    <x v="348"/>
    <x v="71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47167"/>
    <m/>
    <x v="1"/>
    <n v="147167"/>
  </r>
  <r>
    <x v="1"/>
    <x v="18"/>
    <x v="18"/>
    <x v="10"/>
    <s v="Regulación y supervisión"/>
    <x v="20"/>
    <x v="522"/>
    <x v="348"/>
    <x v="718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057339"/>
    <m/>
    <x v="1"/>
    <n v="2057339"/>
  </r>
  <r>
    <x v="1"/>
    <x v="18"/>
    <x v="18"/>
    <x v="10"/>
    <s v="Regulación y supervisión"/>
    <x v="20"/>
    <x v="522"/>
    <x v="349"/>
    <x v="71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37183"/>
    <m/>
    <x v="1"/>
    <n v="237183"/>
  </r>
  <r>
    <x v="1"/>
    <x v="18"/>
    <x v="18"/>
    <x v="10"/>
    <s v="Regulación y supervisión"/>
    <x v="20"/>
    <x v="522"/>
    <x v="350"/>
    <x v="72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37183"/>
    <m/>
    <x v="1"/>
    <n v="237183"/>
  </r>
  <r>
    <x v="1"/>
    <x v="18"/>
    <x v="18"/>
    <x v="10"/>
    <s v="Regulación y supervisión"/>
    <x v="20"/>
    <x v="522"/>
    <x v="352"/>
    <x v="72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88938"/>
    <m/>
    <x v="1"/>
    <n v="388938"/>
  </r>
  <r>
    <x v="1"/>
    <x v="18"/>
    <x v="18"/>
    <x v="10"/>
    <s v="Regulación y supervisión"/>
    <x v="20"/>
    <x v="522"/>
    <x v="352"/>
    <x v="72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8928866"/>
    <m/>
    <x v="1"/>
    <n v="8928866"/>
  </r>
  <r>
    <x v="1"/>
    <x v="18"/>
    <x v="18"/>
    <x v="10"/>
    <s v="Regulación y supervisión"/>
    <x v="21"/>
    <x v="523"/>
    <x v="356"/>
    <x v="72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5361500"/>
    <n v="0"/>
    <n v="0"/>
    <n v="5361500"/>
    <n v="9657568"/>
    <m/>
    <x v="1"/>
    <n v="9657568"/>
  </r>
  <r>
    <x v="1"/>
    <x v="18"/>
    <x v="18"/>
    <x v="10"/>
    <s v="Regulación y supervisión"/>
    <x v="21"/>
    <x v="523"/>
    <x v="356"/>
    <x v="72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n v="2042000"/>
    <n v="0"/>
    <n v="0"/>
    <n v="2042000"/>
    <n v="1673144"/>
    <m/>
    <x v="1"/>
    <n v="1673144"/>
  </r>
  <r>
    <x v="1"/>
    <x v="18"/>
    <x v="18"/>
    <x v="10"/>
    <s v="Regulación y supervisión"/>
    <x v="21"/>
    <x v="523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15992"/>
    <m/>
    <x v="1"/>
    <n v="115992"/>
  </r>
  <r>
    <x v="1"/>
    <x v="18"/>
    <x v="18"/>
    <x v="10"/>
    <s v="Regulación y supervisión"/>
    <x v="21"/>
    <x v="523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49383"/>
    <m/>
    <x v="1"/>
    <n v="249383"/>
  </r>
  <r>
    <x v="1"/>
    <x v="18"/>
    <x v="18"/>
    <x v="10"/>
    <s v="Regulación y supervisión"/>
    <x v="21"/>
    <x v="523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7069"/>
    <m/>
    <x v="1"/>
    <n v="17069"/>
  </r>
  <r>
    <x v="1"/>
    <x v="18"/>
    <x v="18"/>
    <x v="10"/>
    <s v="Regulación y supervisión"/>
    <x v="21"/>
    <x v="523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6397"/>
    <m/>
    <x v="1"/>
    <n v="46397"/>
  </r>
  <r>
    <x v="1"/>
    <x v="18"/>
    <x v="18"/>
    <x v="10"/>
    <s v="Regulación y supervisión"/>
    <x v="21"/>
    <x v="523"/>
    <x v="333"/>
    <x v="70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60189"/>
    <m/>
    <x v="1"/>
    <n v="160189"/>
  </r>
  <r>
    <x v="1"/>
    <x v="18"/>
    <x v="18"/>
    <x v="10"/>
    <s v="Regulación y supervisión"/>
    <x v="21"/>
    <x v="523"/>
    <x v="338"/>
    <x v="70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2249"/>
    <m/>
    <x v="1"/>
    <n v="62249"/>
  </r>
  <r>
    <x v="1"/>
    <x v="18"/>
    <x v="18"/>
    <x v="10"/>
    <s v="Regulación y supervisión"/>
    <x v="21"/>
    <x v="523"/>
    <x v="342"/>
    <x v="71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310500"/>
    <m/>
    <x v="1"/>
    <n v="2310500"/>
  </r>
  <r>
    <x v="1"/>
    <x v="18"/>
    <x v="18"/>
    <x v="10"/>
    <s v="Regulación y supervisión"/>
    <x v="21"/>
    <x v="523"/>
    <x v="352"/>
    <x v="72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6694"/>
    <m/>
    <x v="1"/>
    <n v="56694"/>
  </r>
  <r>
    <x v="1"/>
    <x v="18"/>
    <x v="18"/>
    <x v="10"/>
    <s v="Regulación y supervisión"/>
    <x v="47"/>
    <x v="524"/>
    <x v="356"/>
    <x v="72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15269100"/>
    <n v="0"/>
    <n v="0"/>
    <n v="15269100"/>
    <n v="30877293"/>
    <m/>
    <x v="1"/>
    <n v="30877293"/>
  </r>
  <r>
    <x v="1"/>
    <x v="18"/>
    <x v="18"/>
    <x v="10"/>
    <s v="Regulación y supervisión"/>
    <x v="47"/>
    <x v="524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3038"/>
    <m/>
    <x v="1"/>
    <n v="43038"/>
  </r>
  <r>
    <x v="1"/>
    <x v="18"/>
    <x v="18"/>
    <x v="10"/>
    <s v="Regulación y supervisión"/>
    <x v="47"/>
    <x v="524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8804"/>
    <m/>
    <x v="1"/>
    <n v="68804"/>
  </r>
  <r>
    <x v="1"/>
    <x v="18"/>
    <x v="18"/>
    <x v="10"/>
    <s v="Regulación y supervisión"/>
    <x v="47"/>
    <x v="524"/>
    <x v="357"/>
    <x v="72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85574"/>
    <m/>
    <x v="1"/>
    <n v="85574"/>
  </r>
  <r>
    <x v="1"/>
    <x v="18"/>
    <x v="18"/>
    <x v="10"/>
    <s v="Regulación y supervisión"/>
    <x v="47"/>
    <x v="524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0457"/>
    <m/>
    <x v="1"/>
    <n v="50457"/>
  </r>
  <r>
    <x v="1"/>
    <x v="18"/>
    <x v="18"/>
    <x v="10"/>
    <s v="Regulación y supervisión"/>
    <x v="47"/>
    <x v="524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81010"/>
    <m/>
    <x v="1"/>
    <n v="81010"/>
  </r>
  <r>
    <x v="1"/>
    <x v="18"/>
    <x v="18"/>
    <x v="10"/>
    <s v="Regulación y supervisión"/>
    <x v="47"/>
    <x v="524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1442"/>
    <m/>
    <x v="1"/>
    <n v="41442"/>
  </r>
  <r>
    <x v="1"/>
    <x v="18"/>
    <x v="18"/>
    <x v="10"/>
    <s v="Regulación y supervisión"/>
    <x v="47"/>
    <x v="524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06579"/>
    <m/>
    <x v="1"/>
    <n v="206579"/>
  </r>
  <r>
    <x v="1"/>
    <x v="18"/>
    <x v="18"/>
    <x v="10"/>
    <s v="Regulación y supervisión"/>
    <x v="47"/>
    <x v="524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1730"/>
    <m/>
    <x v="1"/>
    <n v="11730"/>
  </r>
  <r>
    <x v="1"/>
    <x v="18"/>
    <x v="18"/>
    <x v="10"/>
    <s v="Regulación y supervisión"/>
    <x v="47"/>
    <x v="524"/>
    <x v="332"/>
    <x v="70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15388"/>
    <m/>
    <x v="1"/>
    <n v="115388"/>
  </r>
  <r>
    <x v="1"/>
    <x v="18"/>
    <x v="18"/>
    <x v="10"/>
    <s v="Regulación y supervisión"/>
    <x v="47"/>
    <x v="524"/>
    <x v="334"/>
    <x v="70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80641"/>
    <m/>
    <x v="1"/>
    <n v="580641"/>
  </r>
  <r>
    <x v="1"/>
    <x v="18"/>
    <x v="18"/>
    <x v="10"/>
    <s v="Regulación y supervisión"/>
    <x v="47"/>
    <x v="524"/>
    <x v="335"/>
    <x v="70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6572"/>
    <m/>
    <x v="1"/>
    <n v="66572"/>
  </r>
  <r>
    <x v="1"/>
    <x v="18"/>
    <x v="18"/>
    <x v="10"/>
    <s v="Regulación y supervisión"/>
    <x v="47"/>
    <x v="524"/>
    <x v="338"/>
    <x v="70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4205"/>
    <m/>
    <x v="1"/>
    <n v="54205"/>
  </r>
  <r>
    <x v="1"/>
    <x v="18"/>
    <x v="18"/>
    <x v="10"/>
    <s v="Regulación y supervisión"/>
    <x v="47"/>
    <x v="524"/>
    <x v="339"/>
    <x v="70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9495"/>
    <m/>
    <x v="1"/>
    <n v="29495"/>
  </r>
  <r>
    <x v="1"/>
    <x v="18"/>
    <x v="18"/>
    <x v="10"/>
    <s v="Regulación y supervisión"/>
    <x v="47"/>
    <x v="524"/>
    <x v="340"/>
    <x v="71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5598"/>
    <m/>
    <x v="1"/>
    <n v="45598"/>
  </r>
  <r>
    <x v="1"/>
    <x v="18"/>
    <x v="18"/>
    <x v="10"/>
    <s v="Regulación y supervisión"/>
    <x v="47"/>
    <x v="524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9690"/>
    <m/>
    <x v="1"/>
    <n v="39690"/>
  </r>
  <r>
    <x v="1"/>
    <x v="18"/>
    <x v="18"/>
    <x v="10"/>
    <s v="Regulación y supervisión"/>
    <x v="47"/>
    <x v="524"/>
    <x v="359"/>
    <x v="73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6820"/>
    <m/>
    <x v="1"/>
    <n v="76820"/>
  </r>
  <r>
    <x v="1"/>
    <x v="18"/>
    <x v="18"/>
    <x v="10"/>
    <s v="Regulación y supervisión"/>
    <x v="47"/>
    <x v="524"/>
    <x v="319"/>
    <x v="67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9964"/>
    <m/>
    <x v="1"/>
    <n v="59964"/>
  </r>
  <r>
    <x v="1"/>
    <x v="18"/>
    <x v="18"/>
    <x v="10"/>
    <s v="Regulación y supervisión"/>
    <x v="47"/>
    <x v="524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86972"/>
    <m/>
    <x v="1"/>
    <n v="86972"/>
  </r>
  <r>
    <x v="1"/>
    <x v="18"/>
    <x v="18"/>
    <x v="10"/>
    <s v="Regulación y supervisión"/>
    <x v="47"/>
    <x v="524"/>
    <x v="345"/>
    <x v="71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5479"/>
    <m/>
    <x v="1"/>
    <n v="45479"/>
  </r>
  <r>
    <x v="1"/>
    <x v="18"/>
    <x v="18"/>
    <x v="10"/>
    <s v="Regulación y supervisión"/>
    <x v="47"/>
    <x v="524"/>
    <x v="346"/>
    <x v="71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61932"/>
    <m/>
    <x v="1"/>
    <n v="361932"/>
  </r>
  <r>
    <x v="1"/>
    <x v="18"/>
    <x v="18"/>
    <x v="10"/>
    <s v="Regulación y supervisión"/>
    <x v="47"/>
    <x v="524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1238"/>
    <m/>
    <x v="1"/>
    <n v="41238"/>
  </r>
  <r>
    <x v="1"/>
    <x v="18"/>
    <x v="18"/>
    <x v="10"/>
    <s v="Regulación y supervisión"/>
    <x v="47"/>
    <x v="524"/>
    <x v="349"/>
    <x v="71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8714"/>
    <m/>
    <x v="1"/>
    <n v="78714"/>
  </r>
  <r>
    <x v="1"/>
    <x v="18"/>
    <x v="18"/>
    <x v="10"/>
    <s v="Regulación y supervisión"/>
    <x v="47"/>
    <x v="524"/>
    <x v="350"/>
    <x v="72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9322"/>
    <m/>
    <x v="1"/>
    <n v="49322"/>
  </r>
  <r>
    <x v="1"/>
    <x v="18"/>
    <x v="18"/>
    <x v="10"/>
    <s v="Regulación y supervisión"/>
    <x v="47"/>
    <x v="524"/>
    <x v="352"/>
    <x v="72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12275"/>
    <m/>
    <x v="1"/>
    <n v="212275"/>
  </r>
  <r>
    <x v="1"/>
    <x v="18"/>
    <x v="18"/>
    <x v="10"/>
    <s v="Regulación y supervisión"/>
    <x v="0"/>
    <x v="525"/>
    <x v="364"/>
    <x v="76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15433600"/>
    <n v="0"/>
    <n v="0"/>
    <n v="15433600"/>
    <n v="31917285"/>
    <m/>
    <x v="1"/>
    <n v="31917285"/>
  </r>
  <r>
    <x v="1"/>
    <x v="18"/>
    <x v="18"/>
    <x v="10"/>
    <s v="Regulación y supervisión"/>
    <x v="0"/>
    <x v="525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1452"/>
    <m/>
    <x v="1"/>
    <n v="71452"/>
  </r>
  <r>
    <x v="1"/>
    <x v="18"/>
    <x v="18"/>
    <x v="10"/>
    <s v="Regulación y supervisión"/>
    <x v="0"/>
    <x v="525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16134"/>
    <m/>
    <x v="1"/>
    <n v="116134"/>
  </r>
  <r>
    <x v="1"/>
    <x v="18"/>
    <x v="18"/>
    <x v="10"/>
    <s v="Regulación y supervisión"/>
    <x v="0"/>
    <x v="525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20570"/>
    <m/>
    <x v="1"/>
    <n v="120570"/>
  </r>
  <r>
    <x v="1"/>
    <x v="18"/>
    <x v="18"/>
    <x v="10"/>
    <s v="Regulación y supervisión"/>
    <x v="0"/>
    <x v="525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06531"/>
    <m/>
    <x v="1"/>
    <n v="106531"/>
  </r>
  <r>
    <x v="1"/>
    <x v="18"/>
    <x v="18"/>
    <x v="10"/>
    <s v="Regulación y supervisión"/>
    <x v="0"/>
    <x v="525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08352"/>
    <m/>
    <x v="1"/>
    <n v="108352"/>
  </r>
  <r>
    <x v="1"/>
    <x v="18"/>
    <x v="18"/>
    <x v="10"/>
    <s v="Regulación y supervisión"/>
    <x v="0"/>
    <x v="525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40923"/>
    <m/>
    <x v="1"/>
    <n v="240923"/>
  </r>
  <r>
    <x v="1"/>
    <x v="18"/>
    <x v="18"/>
    <x v="10"/>
    <s v="Regulación y supervisión"/>
    <x v="0"/>
    <x v="525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62574"/>
    <m/>
    <x v="1"/>
    <n v="162574"/>
  </r>
  <r>
    <x v="1"/>
    <x v="18"/>
    <x v="18"/>
    <x v="10"/>
    <s v="Regulación y supervisión"/>
    <x v="0"/>
    <x v="525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42814"/>
    <m/>
    <x v="1"/>
    <n v="242814"/>
  </r>
  <r>
    <x v="1"/>
    <x v="18"/>
    <x v="18"/>
    <x v="10"/>
    <s v="Regulación y supervisión"/>
    <x v="0"/>
    <x v="525"/>
    <x v="332"/>
    <x v="70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13935"/>
    <m/>
    <x v="1"/>
    <n v="113935"/>
  </r>
  <r>
    <x v="1"/>
    <x v="18"/>
    <x v="18"/>
    <x v="10"/>
    <s v="Regulación y supervisión"/>
    <x v="0"/>
    <x v="525"/>
    <x v="333"/>
    <x v="70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91984"/>
    <m/>
    <x v="1"/>
    <n v="91984"/>
  </r>
  <r>
    <x v="1"/>
    <x v="18"/>
    <x v="18"/>
    <x v="10"/>
    <s v="Regulación y supervisión"/>
    <x v="0"/>
    <x v="525"/>
    <x v="334"/>
    <x v="70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36341"/>
    <m/>
    <x v="1"/>
    <n v="336341"/>
  </r>
  <r>
    <x v="1"/>
    <x v="18"/>
    <x v="18"/>
    <x v="10"/>
    <s v="Regulación y supervisión"/>
    <x v="0"/>
    <x v="525"/>
    <x v="335"/>
    <x v="70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1559"/>
    <m/>
    <x v="1"/>
    <n v="21559"/>
  </r>
  <r>
    <x v="1"/>
    <x v="18"/>
    <x v="18"/>
    <x v="10"/>
    <s v="Regulación y supervisión"/>
    <x v="0"/>
    <x v="525"/>
    <x v="336"/>
    <x v="70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4271"/>
    <m/>
    <x v="1"/>
    <n v="74271"/>
  </r>
  <r>
    <x v="1"/>
    <x v="18"/>
    <x v="18"/>
    <x v="10"/>
    <s v="Regulación y supervisión"/>
    <x v="0"/>
    <x v="525"/>
    <x v="337"/>
    <x v="70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1692"/>
    <m/>
    <x v="1"/>
    <n v="61692"/>
  </r>
  <r>
    <x v="1"/>
    <x v="18"/>
    <x v="18"/>
    <x v="10"/>
    <s v="Regulación y supervisión"/>
    <x v="0"/>
    <x v="525"/>
    <x v="338"/>
    <x v="70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1392"/>
    <m/>
    <x v="1"/>
    <n v="51392"/>
  </r>
  <r>
    <x v="1"/>
    <x v="18"/>
    <x v="18"/>
    <x v="10"/>
    <s v="Regulación y supervisión"/>
    <x v="0"/>
    <x v="525"/>
    <x v="339"/>
    <x v="70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1404"/>
    <m/>
    <x v="1"/>
    <n v="51404"/>
  </r>
  <r>
    <x v="1"/>
    <x v="18"/>
    <x v="18"/>
    <x v="10"/>
    <s v="Regulación y supervisión"/>
    <x v="0"/>
    <x v="525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5522"/>
    <m/>
    <x v="1"/>
    <n v="45522"/>
  </r>
  <r>
    <x v="1"/>
    <x v="18"/>
    <x v="18"/>
    <x v="10"/>
    <s v="Regulación y supervisión"/>
    <x v="0"/>
    <x v="525"/>
    <x v="319"/>
    <x v="67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36159"/>
    <m/>
    <x v="1"/>
    <n v="136159"/>
  </r>
  <r>
    <x v="1"/>
    <x v="18"/>
    <x v="18"/>
    <x v="10"/>
    <s v="Regulación y supervisión"/>
    <x v="0"/>
    <x v="525"/>
    <x v="343"/>
    <x v="71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31113"/>
    <m/>
    <x v="1"/>
    <n v="31113"/>
  </r>
  <r>
    <x v="1"/>
    <x v="18"/>
    <x v="18"/>
    <x v="10"/>
    <s v="Regulación y supervisión"/>
    <x v="0"/>
    <x v="525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9102"/>
    <m/>
    <x v="1"/>
    <n v="79102"/>
  </r>
  <r>
    <x v="1"/>
    <x v="18"/>
    <x v="18"/>
    <x v="10"/>
    <s v="Regulación y supervisión"/>
    <x v="0"/>
    <x v="525"/>
    <x v="345"/>
    <x v="71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3572"/>
    <m/>
    <x v="1"/>
    <n v="73572"/>
  </r>
  <r>
    <x v="1"/>
    <x v="18"/>
    <x v="18"/>
    <x v="10"/>
    <s v="Regulación y supervisión"/>
    <x v="0"/>
    <x v="525"/>
    <x v="346"/>
    <x v="71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66167"/>
    <m/>
    <x v="1"/>
    <n v="166167"/>
  </r>
  <r>
    <x v="1"/>
    <x v="18"/>
    <x v="18"/>
    <x v="10"/>
    <s v="Regulación y supervisión"/>
    <x v="0"/>
    <x v="525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9260"/>
    <m/>
    <x v="1"/>
    <n v="29260"/>
  </r>
  <r>
    <x v="1"/>
    <x v="18"/>
    <x v="18"/>
    <x v="10"/>
    <s v="Regulación y supervisión"/>
    <x v="0"/>
    <x v="525"/>
    <x v="348"/>
    <x v="71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8857"/>
    <m/>
    <x v="1"/>
    <n v="48857"/>
  </r>
  <r>
    <x v="1"/>
    <x v="18"/>
    <x v="18"/>
    <x v="10"/>
    <s v="Regulación y supervisión"/>
    <x v="0"/>
    <x v="525"/>
    <x v="349"/>
    <x v="71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9334"/>
    <m/>
    <x v="1"/>
    <n v="69334"/>
  </r>
  <r>
    <x v="1"/>
    <x v="18"/>
    <x v="18"/>
    <x v="10"/>
    <s v="Regulación y supervisión"/>
    <x v="0"/>
    <x v="525"/>
    <x v="350"/>
    <x v="72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9943"/>
    <m/>
    <x v="1"/>
    <n v="59943"/>
  </r>
  <r>
    <x v="1"/>
    <x v="18"/>
    <x v="18"/>
    <x v="10"/>
    <s v="Regulación y supervisión"/>
    <x v="0"/>
    <x v="525"/>
    <x v="351"/>
    <x v="72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9365"/>
    <m/>
    <x v="1"/>
    <n v="29365"/>
  </r>
  <r>
    <x v="1"/>
    <x v="18"/>
    <x v="18"/>
    <x v="10"/>
    <s v="Regulación y supervisión"/>
    <x v="0"/>
    <x v="525"/>
    <x v="352"/>
    <x v="72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8560"/>
    <m/>
    <x v="1"/>
    <n v="58560"/>
  </r>
  <r>
    <x v="1"/>
    <x v="18"/>
    <x v="18"/>
    <x v="0"/>
    <s v="Proyectos de Inversión"/>
    <x v="8"/>
    <x v="526"/>
    <x v="354"/>
    <x v="72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n v="1872337680"/>
    <n v="0"/>
    <n v="0"/>
    <n v="1872337680"/>
    <n v="1830866092"/>
    <m/>
    <x v="1"/>
    <n v="1830866092"/>
  </r>
  <r>
    <x v="1"/>
    <x v="18"/>
    <x v="18"/>
    <x v="0"/>
    <s v="Proyectos de Inversión"/>
    <x v="8"/>
    <x v="526"/>
    <x v="329"/>
    <x v="69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601537441"/>
    <m/>
    <x v="1"/>
    <n v="601537441"/>
  </r>
  <r>
    <x v="1"/>
    <x v="18"/>
    <x v="18"/>
    <x v="0"/>
    <s v="Proyectos de Inversión"/>
    <x v="8"/>
    <x v="526"/>
    <x v="331"/>
    <x v="701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8828902"/>
    <m/>
    <x v="1"/>
    <n v="8828902"/>
  </r>
  <r>
    <x v="1"/>
    <x v="18"/>
    <x v="18"/>
    <x v="0"/>
    <s v="Proyectos de Inversión"/>
    <x v="8"/>
    <x v="526"/>
    <x v="349"/>
    <x v="71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4557850"/>
    <m/>
    <x v="1"/>
    <n v="4557850"/>
  </r>
  <r>
    <x v="1"/>
    <x v="18"/>
    <x v="18"/>
    <x v="0"/>
    <s v="Proyectos de Inversión"/>
    <x v="0"/>
    <x v="0"/>
    <x v="321"/>
    <x v="691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n v="78000000"/>
    <n v="0"/>
    <n v="202128"/>
    <n v="78202128"/>
    <m/>
    <m/>
    <x v="1"/>
    <n v="0"/>
  </r>
  <r>
    <x v="1"/>
    <x v="18"/>
    <x v="18"/>
    <x v="0"/>
    <s v="Proyectos de Inversión"/>
    <x v="0"/>
    <x v="0"/>
    <x v="36"/>
    <x v="764"/>
    <n v="3"/>
    <s v="Desarrollo Económico"/>
    <n v="9"/>
    <s v="Desarrollo Sustentable"/>
    <n v="2"/>
    <x v="63"/>
    <x v="9"/>
    <x v="138"/>
    <n v="2"/>
    <s v="Gasto de capital"/>
    <x v="0"/>
    <x v="0"/>
    <x v="0"/>
    <x v="0"/>
    <x v="1"/>
    <x v="0"/>
    <x v="0"/>
    <m/>
    <x v="0"/>
    <x v="0"/>
    <m/>
    <m/>
    <m/>
    <m/>
    <m/>
    <n v="5922000"/>
    <m/>
    <x v="1"/>
    <n v="5922000"/>
  </r>
  <r>
    <x v="1"/>
    <x v="18"/>
    <x v="18"/>
    <x v="0"/>
    <s v="Proyectos de Inversión"/>
    <x v="0"/>
    <x v="0"/>
    <x v="320"/>
    <x v="690"/>
    <n v="3"/>
    <s v="Desarrollo Económico"/>
    <n v="2"/>
    <s v="Desarrollo Agropecuario y Forestal"/>
    <n v="6"/>
    <x v="64"/>
    <x v="5"/>
    <x v="135"/>
    <n v="2"/>
    <s v="Gasto de capital"/>
    <x v="0"/>
    <x v="0"/>
    <x v="0"/>
    <x v="0"/>
    <x v="1"/>
    <x v="0"/>
    <x v="0"/>
    <m/>
    <x v="0"/>
    <x v="0"/>
    <m/>
    <n v="22058000"/>
    <n v="0"/>
    <n v="-2560771"/>
    <n v="19497229"/>
    <n v="32548655"/>
    <m/>
    <x v="1"/>
    <n v="32548655"/>
  </r>
  <r>
    <x v="1"/>
    <x v="18"/>
    <x v="18"/>
    <x v="0"/>
    <s v="Proyectos de Inversión"/>
    <x v="31"/>
    <x v="120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70934959"/>
    <n v="34490729"/>
    <n v="0"/>
    <n v="105425688"/>
    <n v="13243353"/>
    <m/>
    <x v="1"/>
    <n v="13243353"/>
  </r>
  <r>
    <x v="1"/>
    <x v="18"/>
    <x v="18"/>
    <x v="0"/>
    <s v="Proyectos de Inversión"/>
    <x v="31"/>
    <x v="120"/>
    <x v="325"/>
    <x v="69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942358"/>
    <m/>
    <x v="1"/>
    <n v="1942358"/>
  </r>
  <r>
    <x v="1"/>
    <x v="18"/>
    <x v="18"/>
    <x v="0"/>
    <s v="Proyectos de Inversión"/>
    <x v="31"/>
    <x v="120"/>
    <x v="357"/>
    <x v="72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65780"/>
    <m/>
    <x v="1"/>
    <n v="1765780"/>
  </r>
  <r>
    <x v="1"/>
    <x v="18"/>
    <x v="18"/>
    <x v="0"/>
    <s v="Proyectos de Inversión"/>
    <x v="31"/>
    <x v="120"/>
    <x v="326"/>
    <x v="69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6533387"/>
    <m/>
    <x v="1"/>
    <n v="6533387"/>
  </r>
  <r>
    <x v="1"/>
    <x v="18"/>
    <x v="18"/>
    <x v="0"/>
    <s v="Proyectos de Inversión"/>
    <x v="31"/>
    <x v="120"/>
    <x v="327"/>
    <x v="69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6563583"/>
    <m/>
    <x v="1"/>
    <n v="6563583"/>
  </r>
  <r>
    <x v="1"/>
    <x v="18"/>
    <x v="18"/>
    <x v="0"/>
    <s v="Proyectos de Inversión"/>
    <x v="31"/>
    <x v="120"/>
    <x v="329"/>
    <x v="69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6682322"/>
    <m/>
    <x v="1"/>
    <n v="6682322"/>
  </r>
  <r>
    <x v="1"/>
    <x v="18"/>
    <x v="18"/>
    <x v="0"/>
    <s v="Proyectos de Inversión"/>
    <x v="31"/>
    <x v="120"/>
    <x v="358"/>
    <x v="72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2978486"/>
    <m/>
    <x v="1"/>
    <n v="12978486"/>
  </r>
  <r>
    <x v="1"/>
    <x v="18"/>
    <x v="18"/>
    <x v="0"/>
    <s v="Proyectos de Inversión"/>
    <x v="31"/>
    <x v="120"/>
    <x v="330"/>
    <x v="70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621454"/>
    <m/>
    <x v="1"/>
    <n v="7621454"/>
  </r>
  <r>
    <x v="1"/>
    <x v="18"/>
    <x v="18"/>
    <x v="0"/>
    <s v="Proyectos de Inversión"/>
    <x v="31"/>
    <x v="120"/>
    <x v="331"/>
    <x v="70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946452"/>
    <m/>
    <x v="1"/>
    <n v="1946452"/>
  </r>
  <r>
    <x v="1"/>
    <x v="18"/>
    <x v="18"/>
    <x v="0"/>
    <s v="Proyectos de Inversión"/>
    <x v="31"/>
    <x v="120"/>
    <x v="332"/>
    <x v="70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999307"/>
    <m/>
    <x v="1"/>
    <n v="1999307"/>
  </r>
  <r>
    <x v="1"/>
    <x v="18"/>
    <x v="18"/>
    <x v="0"/>
    <s v="Proyectos de Inversión"/>
    <x v="31"/>
    <x v="120"/>
    <x v="333"/>
    <x v="703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24335"/>
    <m/>
    <x v="1"/>
    <n v="1324335"/>
  </r>
  <r>
    <x v="1"/>
    <x v="18"/>
    <x v="18"/>
    <x v="0"/>
    <s v="Proyectos de Inversión"/>
    <x v="31"/>
    <x v="120"/>
    <x v="334"/>
    <x v="70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118936"/>
    <m/>
    <x v="1"/>
    <n v="2118936"/>
  </r>
  <r>
    <x v="1"/>
    <x v="18"/>
    <x v="18"/>
    <x v="0"/>
    <s v="Proyectos de Inversión"/>
    <x v="31"/>
    <x v="120"/>
    <x v="335"/>
    <x v="70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042556"/>
    <m/>
    <x v="1"/>
    <n v="2042556"/>
  </r>
  <r>
    <x v="1"/>
    <x v="18"/>
    <x v="18"/>
    <x v="0"/>
    <s v="Proyectos de Inversión"/>
    <x v="31"/>
    <x v="120"/>
    <x v="337"/>
    <x v="70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001472"/>
    <m/>
    <x v="1"/>
    <n v="3001472"/>
  </r>
  <r>
    <x v="1"/>
    <x v="18"/>
    <x v="18"/>
    <x v="0"/>
    <s v="Proyectos de Inversión"/>
    <x v="31"/>
    <x v="120"/>
    <x v="338"/>
    <x v="70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648671"/>
    <m/>
    <x v="1"/>
    <n v="2648671"/>
  </r>
  <r>
    <x v="1"/>
    <x v="18"/>
    <x v="18"/>
    <x v="0"/>
    <s v="Proyectos de Inversión"/>
    <x v="31"/>
    <x v="120"/>
    <x v="339"/>
    <x v="70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65780"/>
    <m/>
    <x v="1"/>
    <n v="1765780"/>
  </r>
  <r>
    <x v="1"/>
    <x v="18"/>
    <x v="18"/>
    <x v="0"/>
    <s v="Proyectos de Inversión"/>
    <x v="31"/>
    <x v="120"/>
    <x v="340"/>
    <x v="71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063121"/>
    <m/>
    <x v="1"/>
    <n v="7063121"/>
  </r>
  <r>
    <x v="1"/>
    <x v="18"/>
    <x v="18"/>
    <x v="0"/>
    <s v="Proyectos de Inversión"/>
    <x v="31"/>
    <x v="120"/>
    <x v="341"/>
    <x v="71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090115"/>
    <m/>
    <x v="1"/>
    <n v="3090115"/>
  </r>
  <r>
    <x v="1"/>
    <x v="18"/>
    <x v="18"/>
    <x v="0"/>
    <s v="Proyectos de Inversión"/>
    <x v="31"/>
    <x v="120"/>
    <x v="359"/>
    <x v="73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414451"/>
    <m/>
    <x v="1"/>
    <n v="4414451"/>
  </r>
  <r>
    <x v="1"/>
    <x v="18"/>
    <x v="18"/>
    <x v="0"/>
    <s v="Proyectos de Inversión"/>
    <x v="31"/>
    <x v="120"/>
    <x v="319"/>
    <x v="67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474834"/>
    <m/>
    <x v="1"/>
    <n v="2474834"/>
  </r>
  <r>
    <x v="1"/>
    <x v="18"/>
    <x v="18"/>
    <x v="0"/>
    <s v="Proyectos de Inversión"/>
    <x v="31"/>
    <x v="120"/>
    <x v="342"/>
    <x v="71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6462314"/>
    <m/>
    <x v="1"/>
    <n v="6462314"/>
  </r>
  <r>
    <x v="1"/>
    <x v="18"/>
    <x v="18"/>
    <x v="0"/>
    <s v="Proyectos de Inversión"/>
    <x v="31"/>
    <x v="120"/>
    <x v="343"/>
    <x v="713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648670"/>
    <m/>
    <x v="1"/>
    <n v="2648670"/>
  </r>
  <r>
    <x v="1"/>
    <x v="18"/>
    <x v="18"/>
    <x v="0"/>
    <s v="Proyectos de Inversión"/>
    <x v="31"/>
    <x v="120"/>
    <x v="344"/>
    <x v="71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148590"/>
    <m/>
    <x v="1"/>
    <n v="7148590"/>
  </r>
  <r>
    <x v="1"/>
    <x v="18"/>
    <x v="18"/>
    <x v="0"/>
    <s v="Proyectos de Inversión"/>
    <x v="31"/>
    <x v="120"/>
    <x v="345"/>
    <x v="71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65780"/>
    <m/>
    <x v="1"/>
    <n v="1765780"/>
  </r>
  <r>
    <x v="1"/>
    <x v="18"/>
    <x v="18"/>
    <x v="0"/>
    <s v="Proyectos de Inversión"/>
    <x v="31"/>
    <x v="120"/>
    <x v="346"/>
    <x v="71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665696"/>
    <m/>
    <x v="1"/>
    <n v="1665696"/>
  </r>
  <r>
    <x v="1"/>
    <x v="18"/>
    <x v="18"/>
    <x v="0"/>
    <s v="Proyectos de Inversión"/>
    <x v="31"/>
    <x v="120"/>
    <x v="348"/>
    <x v="71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996455"/>
    <m/>
    <x v="1"/>
    <n v="4996455"/>
  </r>
  <r>
    <x v="1"/>
    <x v="18"/>
    <x v="18"/>
    <x v="0"/>
    <s v="Proyectos de Inversión"/>
    <x v="31"/>
    <x v="120"/>
    <x v="349"/>
    <x v="71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6180231"/>
    <m/>
    <x v="1"/>
    <n v="6180231"/>
  </r>
  <r>
    <x v="1"/>
    <x v="18"/>
    <x v="18"/>
    <x v="0"/>
    <s v="Proyectos de Inversión"/>
    <x v="31"/>
    <x v="120"/>
    <x v="350"/>
    <x v="72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207225"/>
    <m/>
    <x v="1"/>
    <n v="2207225"/>
  </r>
  <r>
    <x v="1"/>
    <x v="18"/>
    <x v="18"/>
    <x v="0"/>
    <s v="Proyectos de Inversión"/>
    <x v="31"/>
    <x v="120"/>
    <x v="351"/>
    <x v="72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289020"/>
    <m/>
    <x v="1"/>
    <n v="1289020"/>
  </r>
  <r>
    <x v="1"/>
    <x v="18"/>
    <x v="18"/>
    <x v="0"/>
    <s v="Proyectos de Inversión"/>
    <x v="83"/>
    <x v="527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124238737"/>
    <n v="0"/>
    <n v="0"/>
    <n v="124238737"/>
    <n v="4183784"/>
    <m/>
    <x v="1"/>
    <n v="4183784"/>
  </r>
  <r>
    <x v="1"/>
    <x v="18"/>
    <x v="18"/>
    <x v="0"/>
    <s v="Proyectos de Inversión"/>
    <x v="83"/>
    <x v="527"/>
    <x v="325"/>
    <x v="69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297341"/>
    <m/>
    <x v="1"/>
    <n v="5297341"/>
  </r>
  <r>
    <x v="1"/>
    <x v="18"/>
    <x v="18"/>
    <x v="0"/>
    <s v="Proyectos de Inversión"/>
    <x v="83"/>
    <x v="527"/>
    <x v="357"/>
    <x v="72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504567"/>
    <m/>
    <x v="1"/>
    <n v="7504567"/>
  </r>
  <r>
    <x v="1"/>
    <x v="18"/>
    <x v="18"/>
    <x v="0"/>
    <s v="Proyectos de Inversión"/>
    <x v="83"/>
    <x v="527"/>
    <x v="326"/>
    <x v="69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24335"/>
    <m/>
    <x v="1"/>
    <n v="1324335"/>
  </r>
  <r>
    <x v="1"/>
    <x v="18"/>
    <x v="18"/>
    <x v="0"/>
    <s v="Proyectos de Inversión"/>
    <x v="83"/>
    <x v="527"/>
    <x v="327"/>
    <x v="69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269145"/>
    <m/>
    <x v="1"/>
    <n v="2269145"/>
  </r>
  <r>
    <x v="1"/>
    <x v="18"/>
    <x v="18"/>
    <x v="0"/>
    <s v="Proyectos de Inversión"/>
    <x v="83"/>
    <x v="527"/>
    <x v="328"/>
    <x v="69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973006"/>
    <m/>
    <x v="1"/>
    <n v="3973006"/>
  </r>
  <r>
    <x v="1"/>
    <x v="18"/>
    <x v="18"/>
    <x v="0"/>
    <s v="Proyectos de Inversión"/>
    <x v="83"/>
    <x v="527"/>
    <x v="329"/>
    <x v="69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8387457"/>
    <m/>
    <x v="1"/>
    <n v="8387457"/>
  </r>
  <r>
    <x v="1"/>
    <x v="18"/>
    <x v="18"/>
    <x v="0"/>
    <s v="Proyectos de Inversión"/>
    <x v="83"/>
    <x v="527"/>
    <x v="358"/>
    <x v="72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855896"/>
    <m/>
    <x v="1"/>
    <n v="4855896"/>
  </r>
  <r>
    <x v="1"/>
    <x v="18"/>
    <x v="18"/>
    <x v="0"/>
    <s v="Proyectos de Inversión"/>
    <x v="83"/>
    <x v="527"/>
    <x v="330"/>
    <x v="70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9687336"/>
    <m/>
    <x v="1"/>
    <n v="19687336"/>
  </r>
  <r>
    <x v="1"/>
    <x v="18"/>
    <x v="18"/>
    <x v="0"/>
    <s v="Proyectos de Inversión"/>
    <x v="83"/>
    <x v="527"/>
    <x v="331"/>
    <x v="70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954379"/>
    <m/>
    <x v="1"/>
    <n v="4954379"/>
  </r>
  <r>
    <x v="1"/>
    <x v="18"/>
    <x v="18"/>
    <x v="0"/>
    <s v="Proyectos de Inversión"/>
    <x v="83"/>
    <x v="527"/>
    <x v="332"/>
    <x v="70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24335"/>
    <m/>
    <x v="1"/>
    <n v="1324335"/>
  </r>
  <r>
    <x v="1"/>
    <x v="18"/>
    <x v="18"/>
    <x v="0"/>
    <s v="Proyectos de Inversión"/>
    <x v="83"/>
    <x v="527"/>
    <x v="334"/>
    <x v="70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297341"/>
    <m/>
    <x v="1"/>
    <n v="5297341"/>
  </r>
  <r>
    <x v="1"/>
    <x v="18"/>
    <x v="18"/>
    <x v="0"/>
    <s v="Proyectos de Inversión"/>
    <x v="83"/>
    <x v="527"/>
    <x v="335"/>
    <x v="70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648671"/>
    <m/>
    <x v="1"/>
    <n v="2648671"/>
  </r>
  <r>
    <x v="1"/>
    <x v="18"/>
    <x v="18"/>
    <x v="0"/>
    <s v="Proyectos de Inversión"/>
    <x v="83"/>
    <x v="527"/>
    <x v="336"/>
    <x v="70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24335"/>
    <m/>
    <x v="1"/>
    <n v="1324335"/>
  </r>
  <r>
    <x v="1"/>
    <x v="18"/>
    <x v="18"/>
    <x v="0"/>
    <s v="Proyectos de Inversión"/>
    <x v="83"/>
    <x v="527"/>
    <x v="338"/>
    <x v="70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0153237"/>
    <m/>
    <x v="1"/>
    <n v="10153237"/>
  </r>
  <r>
    <x v="1"/>
    <x v="18"/>
    <x v="18"/>
    <x v="0"/>
    <s v="Proyectos de Inversión"/>
    <x v="83"/>
    <x v="527"/>
    <x v="339"/>
    <x v="70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882890"/>
    <m/>
    <x v="1"/>
    <n v="882890"/>
  </r>
  <r>
    <x v="1"/>
    <x v="18"/>
    <x v="18"/>
    <x v="0"/>
    <s v="Proyectos de Inversión"/>
    <x v="83"/>
    <x v="527"/>
    <x v="340"/>
    <x v="71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443272"/>
    <m/>
    <x v="1"/>
    <n v="3443272"/>
  </r>
  <r>
    <x v="1"/>
    <x v="18"/>
    <x v="18"/>
    <x v="0"/>
    <s v="Proyectos de Inversión"/>
    <x v="83"/>
    <x v="527"/>
    <x v="341"/>
    <x v="71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9178152"/>
    <m/>
    <x v="1"/>
    <n v="9178152"/>
  </r>
  <r>
    <x v="1"/>
    <x v="18"/>
    <x v="18"/>
    <x v="0"/>
    <s v="Proyectos de Inversión"/>
    <x v="83"/>
    <x v="527"/>
    <x v="359"/>
    <x v="73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650497"/>
    <m/>
    <x v="1"/>
    <n v="5650497"/>
  </r>
  <r>
    <x v="1"/>
    <x v="18"/>
    <x v="18"/>
    <x v="0"/>
    <s v="Proyectos de Inversión"/>
    <x v="83"/>
    <x v="527"/>
    <x v="319"/>
    <x v="67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870540"/>
    <m/>
    <x v="1"/>
    <n v="4870540"/>
  </r>
  <r>
    <x v="1"/>
    <x v="18"/>
    <x v="18"/>
    <x v="0"/>
    <s v="Proyectos de Inversión"/>
    <x v="83"/>
    <x v="527"/>
    <x v="342"/>
    <x v="71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88055"/>
    <m/>
    <x v="1"/>
    <n v="188055"/>
  </r>
  <r>
    <x v="1"/>
    <x v="18"/>
    <x v="18"/>
    <x v="0"/>
    <s v="Proyectos de Inversión"/>
    <x v="83"/>
    <x v="527"/>
    <x v="343"/>
    <x v="713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8820073"/>
    <m/>
    <x v="1"/>
    <n v="8820073"/>
  </r>
  <r>
    <x v="1"/>
    <x v="18"/>
    <x v="18"/>
    <x v="0"/>
    <s v="Proyectos de Inversión"/>
    <x v="83"/>
    <x v="527"/>
    <x v="344"/>
    <x v="71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504566"/>
    <m/>
    <x v="1"/>
    <n v="7504566"/>
  </r>
  <r>
    <x v="1"/>
    <x v="18"/>
    <x v="18"/>
    <x v="0"/>
    <s v="Proyectos de Inversión"/>
    <x v="83"/>
    <x v="527"/>
    <x v="345"/>
    <x v="71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917241"/>
    <m/>
    <x v="1"/>
    <n v="2917241"/>
  </r>
  <r>
    <x v="1"/>
    <x v="18"/>
    <x v="18"/>
    <x v="0"/>
    <s v="Proyectos de Inversión"/>
    <x v="83"/>
    <x v="527"/>
    <x v="346"/>
    <x v="71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24335"/>
    <m/>
    <x v="1"/>
    <n v="1324335"/>
  </r>
  <r>
    <x v="1"/>
    <x v="18"/>
    <x v="18"/>
    <x v="0"/>
    <s v="Proyectos de Inversión"/>
    <x v="83"/>
    <x v="527"/>
    <x v="347"/>
    <x v="71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207225"/>
    <m/>
    <x v="1"/>
    <n v="2207225"/>
  </r>
  <r>
    <x v="1"/>
    <x v="18"/>
    <x v="18"/>
    <x v="0"/>
    <s v="Proyectos de Inversión"/>
    <x v="83"/>
    <x v="527"/>
    <x v="349"/>
    <x v="71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738786"/>
    <m/>
    <x v="1"/>
    <n v="5738786"/>
  </r>
  <r>
    <x v="1"/>
    <x v="18"/>
    <x v="18"/>
    <x v="0"/>
    <s v="Proyectos de Inversión"/>
    <x v="83"/>
    <x v="527"/>
    <x v="351"/>
    <x v="72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001827"/>
    <m/>
    <x v="1"/>
    <n v="3001827"/>
  </r>
  <r>
    <x v="1"/>
    <x v="18"/>
    <x v="18"/>
    <x v="0"/>
    <s v="Proyectos de Inversión"/>
    <x v="83"/>
    <x v="527"/>
    <x v="352"/>
    <x v="72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090116"/>
    <m/>
    <x v="1"/>
    <n v="3090116"/>
  </r>
  <r>
    <x v="1"/>
    <x v="18"/>
    <x v="18"/>
    <x v="0"/>
    <s v="Proyectos de Inversión"/>
    <x v="119"/>
    <x v="528"/>
    <x v="360"/>
    <x v="761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n v="1712922940"/>
    <n v="231944798"/>
    <n v="235058135"/>
    <n v="2179925873"/>
    <n v="8006048"/>
    <m/>
    <x v="1"/>
    <n v="8006048"/>
  </r>
  <r>
    <x v="1"/>
    <x v="18"/>
    <x v="18"/>
    <x v="0"/>
    <s v="Proyectos de Inversión"/>
    <x v="119"/>
    <x v="528"/>
    <x v="323"/>
    <x v="693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n v="25438160"/>
    <n v="0"/>
    <n v="85513596"/>
    <n v="110951756"/>
    <m/>
    <m/>
    <x v="1"/>
    <n v="0"/>
  </r>
  <r>
    <x v="1"/>
    <x v="18"/>
    <x v="18"/>
    <x v="0"/>
    <s v="Proyectos de Inversión"/>
    <x v="119"/>
    <x v="528"/>
    <x v="318"/>
    <x v="677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n v="328660000"/>
    <n v="0"/>
    <n v="-320571731"/>
    <n v="8088269"/>
    <n v="95430071"/>
    <m/>
    <x v="1"/>
    <n v="95430071"/>
  </r>
  <r>
    <x v="1"/>
    <x v="18"/>
    <x v="18"/>
    <x v="0"/>
    <s v="Proyectos de Inversión"/>
    <x v="119"/>
    <x v="528"/>
    <x v="357"/>
    <x v="728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60289154"/>
    <m/>
    <x v="1"/>
    <n v="160289154"/>
  </r>
  <r>
    <x v="1"/>
    <x v="18"/>
    <x v="18"/>
    <x v="0"/>
    <s v="Proyectos de Inversión"/>
    <x v="119"/>
    <x v="528"/>
    <x v="326"/>
    <x v="696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75625760"/>
    <m/>
    <x v="1"/>
    <n v="75625760"/>
  </r>
  <r>
    <x v="1"/>
    <x v="18"/>
    <x v="18"/>
    <x v="0"/>
    <s v="Proyectos de Inversión"/>
    <x v="119"/>
    <x v="528"/>
    <x v="327"/>
    <x v="697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7527057"/>
    <m/>
    <x v="1"/>
    <n v="27527057"/>
  </r>
  <r>
    <x v="1"/>
    <x v="18"/>
    <x v="18"/>
    <x v="0"/>
    <s v="Proyectos de Inversión"/>
    <x v="119"/>
    <x v="528"/>
    <x v="328"/>
    <x v="698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50209082"/>
    <m/>
    <x v="1"/>
    <n v="50209082"/>
  </r>
  <r>
    <x v="1"/>
    <x v="18"/>
    <x v="18"/>
    <x v="0"/>
    <s v="Proyectos de Inversión"/>
    <x v="119"/>
    <x v="528"/>
    <x v="329"/>
    <x v="699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5322374"/>
    <m/>
    <x v="1"/>
    <n v="5322374"/>
  </r>
  <r>
    <x v="1"/>
    <x v="18"/>
    <x v="18"/>
    <x v="0"/>
    <s v="Proyectos de Inversión"/>
    <x v="119"/>
    <x v="528"/>
    <x v="358"/>
    <x v="729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1180758"/>
    <m/>
    <x v="1"/>
    <n v="21180758"/>
  </r>
  <r>
    <x v="1"/>
    <x v="18"/>
    <x v="18"/>
    <x v="0"/>
    <s v="Proyectos de Inversión"/>
    <x v="119"/>
    <x v="528"/>
    <x v="330"/>
    <x v="700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67068804"/>
    <m/>
    <x v="1"/>
    <n v="167068804"/>
  </r>
  <r>
    <x v="1"/>
    <x v="18"/>
    <x v="18"/>
    <x v="0"/>
    <s v="Proyectos de Inversión"/>
    <x v="119"/>
    <x v="528"/>
    <x v="331"/>
    <x v="701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8557220"/>
    <m/>
    <x v="1"/>
    <n v="8557220"/>
  </r>
  <r>
    <x v="1"/>
    <x v="18"/>
    <x v="18"/>
    <x v="0"/>
    <s v="Proyectos de Inversión"/>
    <x v="119"/>
    <x v="528"/>
    <x v="332"/>
    <x v="702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5643897"/>
    <m/>
    <x v="1"/>
    <n v="35643897"/>
  </r>
  <r>
    <x v="1"/>
    <x v="18"/>
    <x v="18"/>
    <x v="0"/>
    <s v="Proyectos de Inversión"/>
    <x v="119"/>
    <x v="528"/>
    <x v="334"/>
    <x v="704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34605014"/>
    <m/>
    <x v="1"/>
    <n v="134605014"/>
  </r>
  <r>
    <x v="1"/>
    <x v="18"/>
    <x v="18"/>
    <x v="0"/>
    <s v="Proyectos de Inversión"/>
    <x v="119"/>
    <x v="528"/>
    <x v="336"/>
    <x v="706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925331"/>
    <m/>
    <x v="1"/>
    <n v="925331"/>
  </r>
  <r>
    <x v="1"/>
    <x v="18"/>
    <x v="18"/>
    <x v="0"/>
    <s v="Proyectos de Inversión"/>
    <x v="119"/>
    <x v="528"/>
    <x v="337"/>
    <x v="707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324335"/>
    <m/>
    <x v="1"/>
    <n v="1324335"/>
  </r>
  <r>
    <x v="1"/>
    <x v="18"/>
    <x v="18"/>
    <x v="0"/>
    <s v="Proyectos de Inversión"/>
    <x v="119"/>
    <x v="528"/>
    <x v="338"/>
    <x v="708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10624963"/>
    <m/>
    <x v="1"/>
    <n v="210624963"/>
  </r>
  <r>
    <x v="1"/>
    <x v="18"/>
    <x v="18"/>
    <x v="0"/>
    <s v="Proyectos de Inversión"/>
    <x v="119"/>
    <x v="528"/>
    <x v="339"/>
    <x v="709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9232989"/>
    <m/>
    <x v="1"/>
    <n v="9232989"/>
  </r>
  <r>
    <x v="1"/>
    <x v="18"/>
    <x v="18"/>
    <x v="0"/>
    <s v="Proyectos de Inversión"/>
    <x v="119"/>
    <x v="528"/>
    <x v="340"/>
    <x v="710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3901065"/>
    <m/>
    <x v="1"/>
    <n v="33901065"/>
  </r>
  <r>
    <x v="1"/>
    <x v="18"/>
    <x v="18"/>
    <x v="0"/>
    <s v="Proyectos de Inversión"/>
    <x v="119"/>
    <x v="528"/>
    <x v="341"/>
    <x v="711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63432766"/>
    <m/>
    <x v="1"/>
    <n v="63432766"/>
  </r>
  <r>
    <x v="1"/>
    <x v="18"/>
    <x v="18"/>
    <x v="0"/>
    <s v="Proyectos de Inversión"/>
    <x v="119"/>
    <x v="528"/>
    <x v="359"/>
    <x v="730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8212587"/>
    <m/>
    <x v="1"/>
    <n v="28212587"/>
  </r>
  <r>
    <x v="1"/>
    <x v="18"/>
    <x v="18"/>
    <x v="0"/>
    <s v="Proyectos de Inversión"/>
    <x v="119"/>
    <x v="528"/>
    <x v="319"/>
    <x v="678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7934343"/>
    <m/>
    <x v="1"/>
    <n v="37934343"/>
  </r>
  <r>
    <x v="1"/>
    <x v="18"/>
    <x v="18"/>
    <x v="0"/>
    <s v="Proyectos de Inversión"/>
    <x v="119"/>
    <x v="528"/>
    <x v="342"/>
    <x v="712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69673101"/>
    <m/>
    <x v="1"/>
    <n v="169673101"/>
  </r>
  <r>
    <x v="1"/>
    <x v="18"/>
    <x v="18"/>
    <x v="0"/>
    <s v="Proyectos de Inversión"/>
    <x v="119"/>
    <x v="528"/>
    <x v="343"/>
    <x v="713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303794"/>
    <m/>
    <x v="1"/>
    <n v="3303794"/>
  </r>
  <r>
    <x v="1"/>
    <x v="18"/>
    <x v="18"/>
    <x v="0"/>
    <s v="Proyectos de Inversión"/>
    <x v="119"/>
    <x v="528"/>
    <x v="344"/>
    <x v="714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8034407"/>
    <m/>
    <x v="1"/>
    <n v="48034407"/>
  </r>
  <r>
    <x v="1"/>
    <x v="18"/>
    <x v="18"/>
    <x v="0"/>
    <s v="Proyectos de Inversión"/>
    <x v="119"/>
    <x v="528"/>
    <x v="345"/>
    <x v="715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2693210"/>
    <m/>
    <x v="1"/>
    <n v="12693210"/>
  </r>
  <r>
    <x v="1"/>
    <x v="18"/>
    <x v="18"/>
    <x v="0"/>
    <s v="Proyectos de Inversión"/>
    <x v="119"/>
    <x v="528"/>
    <x v="346"/>
    <x v="716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51422588"/>
    <m/>
    <x v="1"/>
    <n v="51422588"/>
  </r>
  <r>
    <x v="1"/>
    <x v="18"/>
    <x v="18"/>
    <x v="0"/>
    <s v="Proyectos de Inversión"/>
    <x v="119"/>
    <x v="528"/>
    <x v="347"/>
    <x v="717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946404"/>
    <m/>
    <x v="1"/>
    <n v="946404"/>
  </r>
  <r>
    <x v="1"/>
    <x v="18"/>
    <x v="18"/>
    <x v="0"/>
    <s v="Proyectos de Inversión"/>
    <x v="119"/>
    <x v="528"/>
    <x v="349"/>
    <x v="719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7516362"/>
    <m/>
    <x v="1"/>
    <n v="7516362"/>
  </r>
  <r>
    <x v="1"/>
    <x v="18"/>
    <x v="18"/>
    <x v="0"/>
    <s v="Proyectos de Inversión"/>
    <x v="119"/>
    <x v="528"/>
    <x v="351"/>
    <x v="721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3634814"/>
    <m/>
    <x v="1"/>
    <n v="33634814"/>
  </r>
  <r>
    <x v="1"/>
    <x v="18"/>
    <x v="18"/>
    <x v="0"/>
    <s v="Proyectos de Inversión"/>
    <x v="119"/>
    <x v="528"/>
    <x v="352"/>
    <x v="722"/>
    <n v="3"/>
    <s v="Desarrollo Económico"/>
    <n v="9"/>
    <s v="Desarrollo Sustentable"/>
    <n v="1"/>
    <x v="65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9154688"/>
    <m/>
    <x v="1"/>
    <n v="9154688"/>
  </r>
  <r>
    <x v="1"/>
    <x v="18"/>
    <x v="18"/>
    <x v="0"/>
    <s v="Proyectos de Inversión"/>
    <x v="120"/>
    <x v="529"/>
    <x v="354"/>
    <x v="72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n v="1840000000"/>
    <n v="0"/>
    <n v="0"/>
    <n v="1840000000"/>
    <n v="2772446181"/>
    <m/>
    <x v="1"/>
    <n v="2772446181"/>
  </r>
  <r>
    <x v="1"/>
    <x v="18"/>
    <x v="18"/>
    <x v="0"/>
    <s v="Proyectos de Inversión"/>
    <x v="120"/>
    <x v="529"/>
    <x v="318"/>
    <x v="67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125045137"/>
    <m/>
    <x v="1"/>
    <n v="125045137"/>
  </r>
  <r>
    <x v="1"/>
    <x v="18"/>
    <x v="18"/>
    <x v="0"/>
    <s v="Proyectos de Inversión"/>
    <x v="121"/>
    <x v="530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n v="346806133"/>
    <n v="66807836"/>
    <n v="0"/>
    <n v="413613969"/>
    <n v="44128489"/>
    <m/>
    <x v="1"/>
    <n v="44128489"/>
  </r>
  <r>
    <x v="1"/>
    <x v="18"/>
    <x v="18"/>
    <x v="0"/>
    <s v="Proyectos de Inversión"/>
    <x v="121"/>
    <x v="530"/>
    <x v="326"/>
    <x v="696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69955564"/>
    <m/>
    <x v="1"/>
    <n v="69955564"/>
  </r>
  <r>
    <x v="1"/>
    <x v="18"/>
    <x v="18"/>
    <x v="0"/>
    <s v="Proyectos de Inversión"/>
    <x v="121"/>
    <x v="530"/>
    <x v="327"/>
    <x v="697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93720749"/>
    <m/>
    <x v="1"/>
    <n v="93720749"/>
  </r>
  <r>
    <x v="1"/>
    <x v="18"/>
    <x v="18"/>
    <x v="0"/>
    <s v="Proyectos de Inversión"/>
    <x v="121"/>
    <x v="530"/>
    <x v="328"/>
    <x v="698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4904694"/>
    <m/>
    <x v="1"/>
    <n v="24904694"/>
  </r>
  <r>
    <x v="1"/>
    <x v="18"/>
    <x v="18"/>
    <x v="0"/>
    <s v="Proyectos de Inversión"/>
    <x v="121"/>
    <x v="530"/>
    <x v="331"/>
    <x v="701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3294916"/>
    <m/>
    <x v="1"/>
    <n v="23294916"/>
  </r>
  <r>
    <x v="1"/>
    <x v="18"/>
    <x v="18"/>
    <x v="0"/>
    <s v="Proyectos de Inversión"/>
    <x v="121"/>
    <x v="530"/>
    <x v="333"/>
    <x v="703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3825787"/>
    <m/>
    <x v="1"/>
    <n v="43825787"/>
  </r>
  <r>
    <x v="1"/>
    <x v="18"/>
    <x v="18"/>
    <x v="0"/>
    <s v="Proyectos de Inversión"/>
    <x v="121"/>
    <x v="530"/>
    <x v="337"/>
    <x v="707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9912489"/>
    <m/>
    <x v="1"/>
    <n v="19912489"/>
  </r>
  <r>
    <x v="1"/>
    <x v="18"/>
    <x v="18"/>
    <x v="0"/>
    <s v="Proyectos de Inversión"/>
    <x v="121"/>
    <x v="530"/>
    <x v="319"/>
    <x v="678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5396649"/>
    <m/>
    <x v="1"/>
    <n v="15396649"/>
  </r>
  <r>
    <x v="1"/>
    <x v="18"/>
    <x v="18"/>
    <x v="0"/>
    <s v="Proyectos de Inversión"/>
    <x v="121"/>
    <x v="530"/>
    <x v="345"/>
    <x v="715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783018"/>
    <m/>
    <x v="1"/>
    <n v="4783018"/>
  </r>
  <r>
    <x v="1"/>
    <x v="18"/>
    <x v="18"/>
    <x v="0"/>
    <s v="Proyectos de Inversión"/>
    <x v="121"/>
    <x v="530"/>
    <x v="348"/>
    <x v="718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5201077"/>
    <m/>
    <x v="1"/>
    <n v="45201077"/>
  </r>
  <r>
    <x v="1"/>
    <x v="18"/>
    <x v="18"/>
    <x v="0"/>
    <s v="Proyectos de Inversión"/>
    <x v="121"/>
    <x v="530"/>
    <x v="349"/>
    <x v="719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5454909"/>
    <m/>
    <x v="1"/>
    <n v="25454909"/>
  </r>
  <r>
    <x v="1"/>
    <x v="18"/>
    <x v="18"/>
    <x v="0"/>
    <s v="Proyectos de Inversión"/>
    <x v="121"/>
    <x v="530"/>
    <x v="350"/>
    <x v="720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57004484"/>
    <m/>
    <x v="1"/>
    <n v="57004484"/>
  </r>
  <r>
    <x v="1"/>
    <x v="18"/>
    <x v="18"/>
    <x v="0"/>
    <s v="Proyectos de Inversión"/>
    <x v="122"/>
    <x v="531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202128"/>
    <n v="0"/>
    <n v="-202128"/>
    <n v="0"/>
    <m/>
    <m/>
    <x v="1"/>
    <n v="0"/>
  </r>
  <r>
    <x v="1"/>
    <x v="18"/>
    <x v="18"/>
    <x v="0"/>
    <s v="Proyectos de Inversión"/>
    <x v="122"/>
    <x v="531"/>
    <x v="362"/>
    <x v="763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232458017"/>
    <n v="0"/>
    <n v="0"/>
    <n v="232458017"/>
    <n v="187823206"/>
    <m/>
    <x v="1"/>
    <n v="187823206"/>
  </r>
  <r>
    <x v="1"/>
    <x v="18"/>
    <x v="18"/>
    <x v="0"/>
    <s v="Proyectos de Inversión"/>
    <x v="122"/>
    <x v="531"/>
    <x v="326"/>
    <x v="69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5503230"/>
    <m/>
    <x v="1"/>
    <n v="15503230"/>
  </r>
  <r>
    <x v="1"/>
    <x v="18"/>
    <x v="18"/>
    <x v="0"/>
    <s v="Proyectos de Inversión"/>
    <x v="122"/>
    <x v="531"/>
    <x v="328"/>
    <x v="69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908465"/>
    <m/>
    <x v="1"/>
    <n v="1908465"/>
  </r>
  <r>
    <x v="1"/>
    <x v="18"/>
    <x v="18"/>
    <x v="0"/>
    <s v="Proyectos de Inversión"/>
    <x v="123"/>
    <x v="532"/>
    <x v="360"/>
    <x v="761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n v="470174269"/>
    <n v="0"/>
    <n v="0"/>
    <n v="470174269"/>
    <m/>
    <m/>
    <x v="1"/>
    <n v="0"/>
  </r>
  <r>
    <x v="1"/>
    <x v="18"/>
    <x v="18"/>
    <x v="0"/>
    <s v="Proyectos de Inversión"/>
    <x v="123"/>
    <x v="532"/>
    <x v="350"/>
    <x v="720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90112246"/>
    <m/>
    <x v="1"/>
    <n v="490112246"/>
  </r>
  <r>
    <x v="1"/>
    <x v="18"/>
    <x v="18"/>
    <x v="0"/>
    <s v="Proyectos de Inversión"/>
    <x v="124"/>
    <x v="533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n v="2280144974"/>
    <n v="1391903745"/>
    <n v="0"/>
    <n v="3672048719"/>
    <n v="31917334"/>
    <m/>
    <x v="1"/>
    <n v="31917334"/>
  </r>
  <r>
    <x v="1"/>
    <x v="18"/>
    <x v="18"/>
    <x v="0"/>
    <s v="Proyectos de Inversión"/>
    <x v="124"/>
    <x v="533"/>
    <x v="318"/>
    <x v="677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866026"/>
    <m/>
    <x v="1"/>
    <n v="3866026"/>
  </r>
  <r>
    <x v="1"/>
    <x v="18"/>
    <x v="18"/>
    <x v="0"/>
    <s v="Proyectos de Inversión"/>
    <x v="124"/>
    <x v="533"/>
    <x v="325"/>
    <x v="695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3400107"/>
    <m/>
    <x v="1"/>
    <n v="23400107"/>
  </r>
  <r>
    <x v="1"/>
    <x v="18"/>
    <x v="18"/>
    <x v="0"/>
    <s v="Proyectos de Inversión"/>
    <x v="124"/>
    <x v="533"/>
    <x v="357"/>
    <x v="728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02386899"/>
    <m/>
    <x v="1"/>
    <n v="102386899"/>
  </r>
  <r>
    <x v="1"/>
    <x v="18"/>
    <x v="18"/>
    <x v="0"/>
    <s v="Proyectos de Inversión"/>
    <x v="124"/>
    <x v="533"/>
    <x v="326"/>
    <x v="696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3148173"/>
    <m/>
    <x v="1"/>
    <n v="23148173"/>
  </r>
  <r>
    <x v="1"/>
    <x v="18"/>
    <x v="18"/>
    <x v="0"/>
    <s v="Proyectos de Inversión"/>
    <x v="124"/>
    <x v="533"/>
    <x v="327"/>
    <x v="697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78833153"/>
    <m/>
    <x v="1"/>
    <n v="78833153"/>
  </r>
  <r>
    <x v="1"/>
    <x v="18"/>
    <x v="18"/>
    <x v="0"/>
    <s v="Proyectos de Inversión"/>
    <x v="124"/>
    <x v="533"/>
    <x v="328"/>
    <x v="698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1246624"/>
    <m/>
    <x v="1"/>
    <n v="41246624"/>
  </r>
  <r>
    <x v="1"/>
    <x v="18"/>
    <x v="18"/>
    <x v="0"/>
    <s v="Proyectos de Inversión"/>
    <x v="124"/>
    <x v="533"/>
    <x v="329"/>
    <x v="699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75724507"/>
    <m/>
    <x v="1"/>
    <n v="175724507"/>
  </r>
  <r>
    <x v="1"/>
    <x v="18"/>
    <x v="18"/>
    <x v="0"/>
    <s v="Proyectos de Inversión"/>
    <x v="124"/>
    <x v="533"/>
    <x v="358"/>
    <x v="729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86278777"/>
    <m/>
    <x v="1"/>
    <n v="86278777"/>
  </r>
  <r>
    <x v="1"/>
    <x v="18"/>
    <x v="18"/>
    <x v="0"/>
    <s v="Proyectos de Inversión"/>
    <x v="124"/>
    <x v="533"/>
    <x v="330"/>
    <x v="700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61104493"/>
    <m/>
    <x v="1"/>
    <n v="261104493"/>
  </r>
  <r>
    <x v="1"/>
    <x v="18"/>
    <x v="18"/>
    <x v="0"/>
    <s v="Proyectos de Inversión"/>
    <x v="124"/>
    <x v="533"/>
    <x v="331"/>
    <x v="701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7000575"/>
    <m/>
    <x v="1"/>
    <n v="17000575"/>
  </r>
  <r>
    <x v="1"/>
    <x v="18"/>
    <x v="18"/>
    <x v="0"/>
    <s v="Proyectos de Inversión"/>
    <x v="124"/>
    <x v="533"/>
    <x v="332"/>
    <x v="702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87095375"/>
    <m/>
    <x v="1"/>
    <n v="187095375"/>
  </r>
  <r>
    <x v="1"/>
    <x v="18"/>
    <x v="18"/>
    <x v="0"/>
    <s v="Proyectos de Inversión"/>
    <x v="124"/>
    <x v="533"/>
    <x v="333"/>
    <x v="703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235478"/>
    <m/>
    <x v="1"/>
    <n v="1235478"/>
  </r>
  <r>
    <x v="1"/>
    <x v="18"/>
    <x v="18"/>
    <x v="0"/>
    <s v="Proyectos de Inversión"/>
    <x v="124"/>
    <x v="533"/>
    <x v="334"/>
    <x v="704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53645472"/>
    <m/>
    <x v="1"/>
    <n v="253645472"/>
  </r>
  <r>
    <x v="1"/>
    <x v="18"/>
    <x v="18"/>
    <x v="0"/>
    <s v="Proyectos de Inversión"/>
    <x v="124"/>
    <x v="533"/>
    <x v="335"/>
    <x v="705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078612"/>
    <m/>
    <x v="1"/>
    <n v="1078612"/>
  </r>
  <r>
    <x v="1"/>
    <x v="18"/>
    <x v="18"/>
    <x v="0"/>
    <s v="Proyectos de Inversión"/>
    <x v="124"/>
    <x v="533"/>
    <x v="336"/>
    <x v="706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998834"/>
    <m/>
    <x v="1"/>
    <n v="2998834"/>
  </r>
  <r>
    <x v="1"/>
    <x v="18"/>
    <x v="18"/>
    <x v="0"/>
    <s v="Proyectos de Inversión"/>
    <x v="124"/>
    <x v="533"/>
    <x v="337"/>
    <x v="707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507207"/>
    <m/>
    <x v="1"/>
    <n v="1507207"/>
  </r>
  <r>
    <x v="1"/>
    <x v="18"/>
    <x v="18"/>
    <x v="0"/>
    <s v="Proyectos de Inversión"/>
    <x v="124"/>
    <x v="533"/>
    <x v="338"/>
    <x v="708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9130946"/>
    <m/>
    <x v="1"/>
    <n v="9130946"/>
  </r>
  <r>
    <x v="1"/>
    <x v="18"/>
    <x v="18"/>
    <x v="0"/>
    <s v="Proyectos de Inversión"/>
    <x v="124"/>
    <x v="533"/>
    <x v="339"/>
    <x v="709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87276870"/>
    <m/>
    <x v="1"/>
    <n v="87276870"/>
  </r>
  <r>
    <x v="1"/>
    <x v="18"/>
    <x v="18"/>
    <x v="0"/>
    <s v="Proyectos de Inversión"/>
    <x v="124"/>
    <x v="533"/>
    <x v="340"/>
    <x v="710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52210969"/>
    <m/>
    <x v="1"/>
    <n v="152210969"/>
  </r>
  <r>
    <x v="1"/>
    <x v="18"/>
    <x v="18"/>
    <x v="0"/>
    <s v="Proyectos de Inversión"/>
    <x v="124"/>
    <x v="533"/>
    <x v="341"/>
    <x v="711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2638555"/>
    <m/>
    <x v="1"/>
    <n v="22638555"/>
  </r>
  <r>
    <x v="1"/>
    <x v="18"/>
    <x v="18"/>
    <x v="0"/>
    <s v="Proyectos de Inversión"/>
    <x v="124"/>
    <x v="533"/>
    <x v="359"/>
    <x v="730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5206096"/>
    <m/>
    <x v="1"/>
    <n v="15206096"/>
  </r>
  <r>
    <x v="1"/>
    <x v="18"/>
    <x v="18"/>
    <x v="0"/>
    <s v="Proyectos de Inversión"/>
    <x v="124"/>
    <x v="533"/>
    <x v="319"/>
    <x v="678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16754635"/>
    <m/>
    <x v="1"/>
    <n v="116754635"/>
  </r>
  <r>
    <x v="1"/>
    <x v="18"/>
    <x v="18"/>
    <x v="0"/>
    <s v="Proyectos de Inversión"/>
    <x v="124"/>
    <x v="533"/>
    <x v="342"/>
    <x v="712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15356948"/>
    <m/>
    <x v="1"/>
    <n v="215356948"/>
  </r>
  <r>
    <x v="1"/>
    <x v="18"/>
    <x v="18"/>
    <x v="0"/>
    <s v="Proyectos de Inversión"/>
    <x v="124"/>
    <x v="533"/>
    <x v="343"/>
    <x v="713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953825"/>
    <m/>
    <x v="1"/>
    <n v="2953825"/>
  </r>
  <r>
    <x v="1"/>
    <x v="18"/>
    <x v="18"/>
    <x v="0"/>
    <s v="Proyectos de Inversión"/>
    <x v="124"/>
    <x v="533"/>
    <x v="344"/>
    <x v="714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01415769"/>
    <m/>
    <x v="1"/>
    <n v="201415769"/>
  </r>
  <r>
    <x v="1"/>
    <x v="18"/>
    <x v="18"/>
    <x v="0"/>
    <s v="Proyectos de Inversión"/>
    <x v="124"/>
    <x v="533"/>
    <x v="345"/>
    <x v="715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98282921"/>
    <m/>
    <x v="1"/>
    <n v="98282921"/>
  </r>
  <r>
    <x v="1"/>
    <x v="18"/>
    <x v="18"/>
    <x v="0"/>
    <s v="Proyectos de Inversión"/>
    <x v="124"/>
    <x v="533"/>
    <x v="346"/>
    <x v="716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40702363"/>
    <m/>
    <x v="1"/>
    <n v="140702363"/>
  </r>
  <r>
    <x v="1"/>
    <x v="18"/>
    <x v="18"/>
    <x v="0"/>
    <s v="Proyectos de Inversión"/>
    <x v="124"/>
    <x v="533"/>
    <x v="347"/>
    <x v="717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382258"/>
    <m/>
    <x v="1"/>
    <n v="1382258"/>
  </r>
  <r>
    <x v="1"/>
    <x v="18"/>
    <x v="18"/>
    <x v="0"/>
    <s v="Proyectos de Inversión"/>
    <x v="124"/>
    <x v="533"/>
    <x v="348"/>
    <x v="718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200241"/>
    <m/>
    <x v="1"/>
    <n v="1200241"/>
  </r>
  <r>
    <x v="1"/>
    <x v="18"/>
    <x v="18"/>
    <x v="0"/>
    <s v="Proyectos de Inversión"/>
    <x v="124"/>
    <x v="533"/>
    <x v="349"/>
    <x v="719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058913"/>
    <m/>
    <x v="1"/>
    <n v="1058913"/>
  </r>
  <r>
    <x v="1"/>
    <x v="18"/>
    <x v="18"/>
    <x v="0"/>
    <s v="Proyectos de Inversión"/>
    <x v="124"/>
    <x v="533"/>
    <x v="351"/>
    <x v="721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66238"/>
    <m/>
    <x v="1"/>
    <n v="166238"/>
  </r>
  <r>
    <x v="1"/>
    <x v="18"/>
    <x v="18"/>
    <x v="0"/>
    <s v="Proyectos de Inversión"/>
    <x v="124"/>
    <x v="533"/>
    <x v="352"/>
    <x v="722"/>
    <n v="3"/>
    <s v="Desarrollo Económico"/>
    <n v="2"/>
    <s v="Desarrollo Agropecuario y Forestal"/>
    <n v="5"/>
    <x v="66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9634139"/>
    <m/>
    <x v="1"/>
    <n v="49634139"/>
  </r>
  <r>
    <x v="1"/>
    <x v="18"/>
    <x v="18"/>
    <x v="0"/>
    <s v="Proyectos de Inversión"/>
    <x v="125"/>
    <x v="534"/>
    <x v="318"/>
    <x v="677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1"/>
    <x v="0"/>
    <x v="0"/>
    <m/>
    <x v="0"/>
    <x v="1"/>
    <m/>
    <n v="248700000"/>
    <n v="0"/>
    <n v="0"/>
    <n v="248700000"/>
    <n v="596152824"/>
    <m/>
    <x v="1"/>
    <n v="596152824"/>
  </r>
  <r>
    <x v="1"/>
    <x v="18"/>
    <x v="18"/>
    <x v="0"/>
    <s v="Proyectos de Inversión"/>
    <x v="126"/>
    <x v="535"/>
    <x v="81"/>
    <x v="766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0"/>
    <x v="0"/>
    <x v="0"/>
    <m/>
    <x v="0"/>
    <x v="1"/>
    <m/>
    <n v="2100000"/>
    <n v="0"/>
    <n v="0"/>
    <n v="2100000"/>
    <n v="2100000"/>
    <m/>
    <x v="1"/>
    <n v="2100000"/>
  </r>
  <r>
    <x v="1"/>
    <x v="18"/>
    <x v="18"/>
    <x v="0"/>
    <s v="Proyectos de Inversión"/>
    <x v="126"/>
    <x v="535"/>
    <x v="62"/>
    <x v="754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0"/>
    <x v="0"/>
    <x v="0"/>
    <m/>
    <x v="0"/>
    <x v="1"/>
    <m/>
    <n v="100000000"/>
    <n v="0"/>
    <n v="0"/>
    <n v="100000000"/>
    <m/>
    <m/>
    <x v="1"/>
    <n v="0"/>
  </r>
  <r>
    <x v="1"/>
    <x v="18"/>
    <x v="18"/>
    <x v="0"/>
    <s v="Proyectos de Inversión"/>
    <x v="126"/>
    <x v="535"/>
    <x v="92"/>
    <x v="760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1"/>
    <x v="0"/>
    <x v="0"/>
    <m/>
    <x v="0"/>
    <x v="1"/>
    <m/>
    <n v="14600000"/>
    <n v="0"/>
    <n v="-4351819"/>
    <n v="10248181"/>
    <n v="10000000"/>
    <m/>
    <x v="1"/>
    <n v="10000000"/>
  </r>
  <r>
    <x v="1"/>
    <x v="18"/>
    <x v="18"/>
    <x v="0"/>
    <s v="Proyectos de Inversión"/>
    <x v="126"/>
    <x v="535"/>
    <x v="36"/>
    <x v="764"/>
    <n v="3"/>
    <s v="Desarrollo Económico"/>
    <n v="9"/>
    <s v="Desarrollo Sustentable"/>
    <n v="2"/>
    <x v="63"/>
    <x v="9"/>
    <x v="138"/>
    <n v="2"/>
    <s v="Gasto de capital"/>
    <x v="0"/>
    <x v="0"/>
    <x v="0"/>
    <x v="0"/>
    <x v="1"/>
    <x v="0"/>
    <x v="0"/>
    <m/>
    <x v="0"/>
    <x v="1"/>
    <m/>
    <n v="22000000"/>
    <n v="0"/>
    <n v="-1410895"/>
    <n v="20589105"/>
    <n v="14667105"/>
    <m/>
    <x v="1"/>
    <n v="14667105"/>
  </r>
  <r>
    <x v="1"/>
    <x v="18"/>
    <x v="18"/>
    <x v="0"/>
    <s v="Proyectos de Inversión"/>
    <x v="126"/>
    <x v="535"/>
    <x v="320"/>
    <x v="690"/>
    <n v="3"/>
    <s v="Desarrollo Económico"/>
    <n v="2"/>
    <s v="Desarrollo Agropecuario y Forestal"/>
    <n v="6"/>
    <x v="64"/>
    <x v="5"/>
    <x v="135"/>
    <n v="2"/>
    <s v="Gasto de capital"/>
    <x v="0"/>
    <x v="0"/>
    <x v="0"/>
    <x v="0"/>
    <x v="1"/>
    <x v="0"/>
    <x v="0"/>
    <m/>
    <x v="0"/>
    <x v="1"/>
    <m/>
    <n v="18729100"/>
    <n v="0"/>
    <n v="-2000000"/>
    <n v="16729100"/>
    <n v="28112900"/>
    <m/>
    <x v="1"/>
    <n v="28112900"/>
  </r>
  <r>
    <x v="1"/>
    <x v="18"/>
    <x v="18"/>
    <x v="0"/>
    <s v="Proyectos de Inversión"/>
    <x v="126"/>
    <x v="535"/>
    <x v="355"/>
    <x v="726"/>
    <n v="3"/>
    <s v="Desarrollo Económico"/>
    <n v="7"/>
    <s v="Ciencia y Tecnología"/>
    <n v="2"/>
    <x v="42"/>
    <x v="11"/>
    <x v="137"/>
    <n v="2"/>
    <s v="Gasto de capital"/>
    <x v="0"/>
    <x v="0"/>
    <x v="0"/>
    <x v="1"/>
    <x v="1"/>
    <x v="0"/>
    <x v="0"/>
    <m/>
    <x v="0"/>
    <x v="1"/>
    <m/>
    <n v="1000000"/>
    <n v="0"/>
    <n v="-700000"/>
    <n v="300000"/>
    <n v="300000"/>
    <m/>
    <x v="1"/>
    <n v="300000"/>
  </r>
  <r>
    <x v="1"/>
    <x v="18"/>
    <x v="18"/>
    <x v="2"/>
    <s v="Apoyo al proceso presupuestario y para mejorar la eficiencia institucional"/>
    <x v="2"/>
    <x v="34"/>
    <x v="18"/>
    <x v="731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944950"/>
    <n v="0"/>
    <n v="0"/>
    <n v="944950"/>
    <n v="933083"/>
    <m/>
    <x v="1"/>
    <n v="933083"/>
  </r>
  <r>
    <x v="1"/>
    <x v="18"/>
    <x v="18"/>
    <x v="2"/>
    <s v="Apoyo al proceso presupuestario y para mejorar la eficiencia institucional"/>
    <x v="2"/>
    <x v="34"/>
    <x v="107"/>
    <x v="680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3442623"/>
    <n v="0"/>
    <n v="0"/>
    <n v="3442623"/>
    <n v="2442623"/>
    <m/>
    <x v="1"/>
    <n v="2442623"/>
  </r>
  <r>
    <x v="1"/>
    <x v="18"/>
    <x v="18"/>
    <x v="2"/>
    <s v="Apoyo al proceso presupuestario y para mejorar la eficiencia institucional"/>
    <x v="2"/>
    <x v="34"/>
    <x v="83"/>
    <x v="732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340473"/>
    <n v="0"/>
    <n v="0"/>
    <n v="1340473"/>
    <n v="1340473"/>
    <m/>
    <x v="1"/>
    <n v="1340473"/>
  </r>
  <r>
    <x v="1"/>
    <x v="18"/>
    <x v="18"/>
    <x v="2"/>
    <s v="Apoyo al proceso presupuestario y para mejorar la eficiencia institucional"/>
    <x v="2"/>
    <x v="34"/>
    <x v="108"/>
    <x v="681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675006"/>
    <n v="0"/>
    <n v="0"/>
    <n v="2675006"/>
    <n v="2701006"/>
    <m/>
    <x v="1"/>
    <n v="2701006"/>
  </r>
  <r>
    <x v="1"/>
    <x v="18"/>
    <x v="18"/>
    <x v="2"/>
    <s v="Apoyo al proceso presupuestario y para mejorar la eficiencia institucional"/>
    <x v="2"/>
    <x v="34"/>
    <x v="109"/>
    <x v="733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417816"/>
    <n v="0"/>
    <n v="0"/>
    <n v="2417816"/>
    <n v="1917816"/>
    <m/>
    <x v="1"/>
    <n v="1917816"/>
  </r>
  <r>
    <x v="1"/>
    <x v="18"/>
    <x v="18"/>
    <x v="2"/>
    <s v="Apoyo al proceso presupuestario y para mejorar la eficiencia institucional"/>
    <x v="2"/>
    <x v="34"/>
    <x v="110"/>
    <x v="734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079215"/>
    <n v="0"/>
    <n v="0"/>
    <n v="1079215"/>
    <n v="1079215"/>
    <m/>
    <x v="1"/>
    <n v="1079215"/>
  </r>
  <r>
    <x v="1"/>
    <x v="18"/>
    <x v="18"/>
    <x v="2"/>
    <s v="Apoyo al proceso presupuestario y para mejorar la eficiencia institucional"/>
    <x v="2"/>
    <x v="34"/>
    <x v="26"/>
    <x v="682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3043698"/>
    <n v="0"/>
    <n v="0"/>
    <n v="3043698"/>
    <n v="2775480"/>
    <m/>
    <x v="1"/>
    <n v="2775480"/>
  </r>
  <r>
    <x v="1"/>
    <x v="18"/>
    <x v="18"/>
    <x v="2"/>
    <s v="Apoyo al proceso presupuestario y para mejorar la eficiencia institucional"/>
    <x v="2"/>
    <x v="34"/>
    <x v="27"/>
    <x v="735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418537"/>
    <n v="0"/>
    <n v="0"/>
    <n v="2418537"/>
    <n v="1598537"/>
    <m/>
    <x v="1"/>
    <n v="1598537"/>
  </r>
  <r>
    <x v="1"/>
    <x v="18"/>
    <x v="18"/>
    <x v="2"/>
    <s v="Apoyo al proceso presupuestario y para mejorar la eficiencia institucional"/>
    <x v="2"/>
    <x v="34"/>
    <x v="28"/>
    <x v="736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735690"/>
    <n v="0"/>
    <n v="0"/>
    <n v="1735690"/>
    <n v="1797300"/>
    <m/>
    <x v="1"/>
    <n v="1797300"/>
  </r>
  <r>
    <x v="1"/>
    <x v="18"/>
    <x v="18"/>
    <x v="2"/>
    <s v="Apoyo al proceso presupuestario y para mejorar la eficiencia institucional"/>
    <x v="2"/>
    <x v="34"/>
    <x v="29"/>
    <x v="683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070233"/>
    <n v="0"/>
    <n v="0"/>
    <n v="2070233"/>
    <n v="2113961"/>
    <m/>
    <x v="1"/>
    <n v="2113961"/>
  </r>
  <r>
    <x v="1"/>
    <x v="18"/>
    <x v="18"/>
    <x v="2"/>
    <s v="Apoyo al proceso presupuestario y para mejorar la eficiencia institucional"/>
    <x v="2"/>
    <x v="34"/>
    <x v="111"/>
    <x v="684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545656"/>
    <n v="0"/>
    <n v="0"/>
    <n v="2545656"/>
    <n v="2609181"/>
    <m/>
    <x v="1"/>
    <n v="2609181"/>
  </r>
  <r>
    <x v="1"/>
    <x v="18"/>
    <x v="18"/>
    <x v="2"/>
    <s v="Apoyo al proceso presupuestario y para mejorar la eficiencia institucional"/>
    <x v="2"/>
    <x v="34"/>
    <x v="121"/>
    <x v="685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589033"/>
    <n v="0"/>
    <n v="0"/>
    <n v="1589033"/>
    <n v="1347840"/>
    <m/>
    <x v="1"/>
    <n v="1347840"/>
  </r>
  <r>
    <x v="1"/>
    <x v="18"/>
    <x v="18"/>
    <x v="2"/>
    <s v="Apoyo al proceso presupuestario y para mejorar la eficiencia institucional"/>
    <x v="2"/>
    <x v="34"/>
    <x v="122"/>
    <x v="737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902124"/>
    <n v="0"/>
    <n v="0"/>
    <n v="2902124"/>
    <n v="2402124"/>
    <m/>
    <x v="1"/>
    <n v="2402124"/>
  </r>
  <r>
    <x v="1"/>
    <x v="18"/>
    <x v="18"/>
    <x v="2"/>
    <s v="Apoyo al proceso presupuestario y para mejorar la eficiencia institucional"/>
    <x v="2"/>
    <x v="34"/>
    <x v="113"/>
    <x v="738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813648"/>
    <n v="0"/>
    <n v="0"/>
    <n v="1813648"/>
    <n v="1406018"/>
    <m/>
    <x v="1"/>
    <n v="1406018"/>
  </r>
  <r>
    <x v="1"/>
    <x v="18"/>
    <x v="18"/>
    <x v="2"/>
    <s v="Apoyo al proceso presupuestario y para mejorar la eficiencia institucional"/>
    <x v="2"/>
    <x v="34"/>
    <x v="112"/>
    <x v="739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732218"/>
    <n v="0"/>
    <n v="0"/>
    <n v="2732218"/>
    <n v="2232218"/>
    <m/>
    <x v="1"/>
    <n v="2232218"/>
  </r>
  <r>
    <x v="1"/>
    <x v="18"/>
    <x v="18"/>
    <x v="2"/>
    <s v="Apoyo al proceso presupuestario y para mejorar la eficiencia institucional"/>
    <x v="2"/>
    <x v="34"/>
    <x v="123"/>
    <x v="740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113473"/>
    <n v="0"/>
    <n v="0"/>
    <n v="1113473"/>
    <n v="1113473"/>
    <m/>
    <x v="1"/>
    <n v="1113473"/>
  </r>
  <r>
    <x v="1"/>
    <x v="18"/>
    <x v="18"/>
    <x v="2"/>
    <s v="Apoyo al proceso presupuestario y para mejorar la eficiencia institucional"/>
    <x v="2"/>
    <x v="34"/>
    <x v="116"/>
    <x v="686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903211"/>
    <n v="0"/>
    <n v="0"/>
    <n v="1903211"/>
    <n v="1892474"/>
    <m/>
    <x v="1"/>
    <n v="1892474"/>
  </r>
  <r>
    <x v="1"/>
    <x v="18"/>
    <x v="18"/>
    <x v="2"/>
    <s v="Apoyo al proceso presupuestario y para mejorar la eficiencia institucional"/>
    <x v="2"/>
    <x v="34"/>
    <x v="114"/>
    <x v="741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966129"/>
    <n v="0"/>
    <n v="0"/>
    <n v="1966129"/>
    <n v="1530969"/>
    <m/>
    <x v="1"/>
    <n v="1530969"/>
  </r>
  <r>
    <x v="1"/>
    <x v="18"/>
    <x v="18"/>
    <x v="2"/>
    <s v="Apoyo al proceso presupuestario y para mejorar la eficiencia institucional"/>
    <x v="2"/>
    <x v="34"/>
    <x v="117"/>
    <x v="687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693767"/>
    <n v="0"/>
    <n v="0"/>
    <n v="2693767"/>
    <n v="2717294"/>
    <m/>
    <x v="1"/>
    <n v="2717294"/>
  </r>
  <r>
    <x v="1"/>
    <x v="18"/>
    <x v="18"/>
    <x v="2"/>
    <s v="Apoyo al proceso presupuestario y para mejorar la eficiencia institucional"/>
    <x v="2"/>
    <x v="34"/>
    <x v="124"/>
    <x v="742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415240"/>
    <n v="0"/>
    <n v="0"/>
    <n v="2415240"/>
    <n v="1406550"/>
    <m/>
    <x v="1"/>
    <n v="1406550"/>
  </r>
  <r>
    <x v="1"/>
    <x v="18"/>
    <x v="18"/>
    <x v="2"/>
    <s v="Apoyo al proceso presupuestario y para mejorar la eficiencia institucional"/>
    <x v="2"/>
    <x v="34"/>
    <x v="125"/>
    <x v="688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249078"/>
    <n v="0"/>
    <n v="0"/>
    <n v="1249078"/>
    <n v="1249078"/>
    <m/>
    <x v="1"/>
    <n v="1249078"/>
  </r>
  <r>
    <x v="1"/>
    <x v="18"/>
    <x v="18"/>
    <x v="2"/>
    <s v="Apoyo al proceso presupuestario y para mejorar la eficiencia institucional"/>
    <x v="2"/>
    <x v="34"/>
    <x v="126"/>
    <x v="743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576946"/>
    <n v="0"/>
    <n v="0"/>
    <n v="2576946"/>
    <n v="2576946"/>
    <m/>
    <x v="1"/>
    <n v="2576946"/>
  </r>
  <r>
    <x v="1"/>
    <x v="18"/>
    <x v="18"/>
    <x v="2"/>
    <s v="Apoyo al proceso presupuestario y para mejorar la eficiencia institucional"/>
    <x v="2"/>
    <x v="34"/>
    <x v="127"/>
    <x v="744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536290"/>
    <n v="0"/>
    <n v="0"/>
    <n v="1536290"/>
    <n v="1536290"/>
    <m/>
    <x v="1"/>
    <n v="1536290"/>
  </r>
  <r>
    <x v="1"/>
    <x v="18"/>
    <x v="18"/>
    <x v="2"/>
    <s v="Apoyo al proceso presupuestario y para mejorar la eficiencia institucional"/>
    <x v="2"/>
    <x v="34"/>
    <x v="128"/>
    <x v="745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156027"/>
    <n v="0"/>
    <n v="0"/>
    <n v="2156027"/>
    <n v="2222107"/>
    <m/>
    <x v="1"/>
    <n v="2222107"/>
  </r>
  <r>
    <x v="1"/>
    <x v="18"/>
    <x v="18"/>
    <x v="2"/>
    <s v="Apoyo al proceso presupuestario y para mejorar la eficiencia institucional"/>
    <x v="2"/>
    <x v="34"/>
    <x v="129"/>
    <x v="746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240859"/>
    <n v="0"/>
    <n v="0"/>
    <n v="2240859"/>
    <n v="2240859"/>
    <m/>
    <x v="1"/>
    <n v="2240859"/>
  </r>
  <r>
    <x v="1"/>
    <x v="18"/>
    <x v="18"/>
    <x v="2"/>
    <s v="Apoyo al proceso presupuestario y para mejorar la eficiencia institucional"/>
    <x v="2"/>
    <x v="34"/>
    <x v="130"/>
    <x v="747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464521"/>
    <n v="0"/>
    <n v="0"/>
    <n v="1464521"/>
    <n v="1464521"/>
    <m/>
    <x v="1"/>
    <n v="1464521"/>
  </r>
  <r>
    <x v="1"/>
    <x v="18"/>
    <x v="18"/>
    <x v="2"/>
    <s v="Apoyo al proceso presupuestario y para mejorar la eficiencia institucional"/>
    <x v="2"/>
    <x v="34"/>
    <x v="131"/>
    <x v="748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949018"/>
    <n v="0"/>
    <n v="0"/>
    <n v="1949018"/>
    <n v="1999018"/>
    <m/>
    <x v="1"/>
    <n v="1999018"/>
  </r>
  <r>
    <x v="1"/>
    <x v="18"/>
    <x v="18"/>
    <x v="2"/>
    <s v="Apoyo al proceso presupuestario y para mejorar la eficiencia institucional"/>
    <x v="2"/>
    <x v="34"/>
    <x v="132"/>
    <x v="749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504159"/>
    <n v="0"/>
    <n v="0"/>
    <n v="504159"/>
    <n v="599959"/>
    <m/>
    <x v="1"/>
    <n v="599959"/>
  </r>
  <r>
    <x v="1"/>
    <x v="18"/>
    <x v="18"/>
    <x v="2"/>
    <s v="Apoyo al proceso presupuestario y para mejorar la eficiencia institucional"/>
    <x v="2"/>
    <x v="34"/>
    <x v="133"/>
    <x v="689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940697"/>
    <n v="0"/>
    <n v="0"/>
    <n v="1940697"/>
    <n v="1940697"/>
    <m/>
    <x v="1"/>
    <n v="1940697"/>
  </r>
  <r>
    <x v="1"/>
    <x v="18"/>
    <x v="18"/>
    <x v="2"/>
    <s v="Apoyo al proceso presupuestario y para mejorar la eficiencia institucional"/>
    <x v="2"/>
    <x v="34"/>
    <x v="134"/>
    <x v="750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049156"/>
    <n v="0"/>
    <n v="0"/>
    <n v="2049156"/>
    <n v="2049156"/>
    <m/>
    <x v="1"/>
    <n v="2049156"/>
  </r>
  <r>
    <x v="1"/>
    <x v="18"/>
    <x v="18"/>
    <x v="2"/>
    <s v="Apoyo al proceso presupuestario y para mejorar la eficiencia institucional"/>
    <x v="2"/>
    <x v="34"/>
    <x v="135"/>
    <x v="751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880570"/>
    <n v="0"/>
    <n v="0"/>
    <n v="1880570"/>
    <n v="1891714"/>
    <m/>
    <x v="1"/>
    <n v="1891714"/>
  </r>
  <r>
    <x v="1"/>
    <x v="18"/>
    <x v="18"/>
    <x v="2"/>
    <s v="Apoyo al proceso presupuestario y para mejorar la eficiencia institucional"/>
    <x v="2"/>
    <x v="34"/>
    <x v="58"/>
    <x v="39"/>
    <n v="3"/>
    <s v="Desarrollo Económico"/>
    <n v="9"/>
    <s v="Desarrollo Sustentable"/>
    <n v="2"/>
    <x v="63"/>
    <x v="3"/>
    <x v="12"/>
    <n v="1"/>
    <s v="Gasto corriente"/>
    <x v="0"/>
    <x v="1"/>
    <x v="0"/>
    <x v="0"/>
    <x v="1"/>
    <x v="0"/>
    <x v="0"/>
    <m/>
    <x v="0"/>
    <x v="0"/>
    <m/>
    <n v="476293"/>
    <n v="0"/>
    <n v="0"/>
    <n v="476293"/>
    <n v="492158"/>
    <m/>
    <x v="1"/>
    <n v="492158"/>
  </r>
  <r>
    <x v="1"/>
    <x v="18"/>
    <x v="18"/>
    <x v="2"/>
    <s v="Apoyo al proceso presupuestario y para mejorar la eficiencia institucional"/>
    <x v="2"/>
    <x v="34"/>
    <x v="58"/>
    <x v="39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8206375"/>
    <n v="0"/>
    <n v="-424379"/>
    <n v="17781996"/>
    <n v="16689044"/>
    <m/>
    <x v="1"/>
    <n v="16689044"/>
  </r>
  <r>
    <x v="1"/>
    <x v="18"/>
    <x v="18"/>
    <x v="2"/>
    <s v="Apoyo al proceso presupuestario y para mejorar la eficiencia institucional"/>
    <x v="2"/>
    <x v="34"/>
    <x v="59"/>
    <x v="767"/>
    <n v="3"/>
    <s v="Desarrollo Económico"/>
    <n v="9"/>
    <s v="Desarrollo Sustentable"/>
    <n v="2"/>
    <x v="63"/>
    <x v="3"/>
    <x v="12"/>
    <n v="1"/>
    <s v="Gasto corriente"/>
    <x v="0"/>
    <x v="1"/>
    <x v="0"/>
    <x v="0"/>
    <x v="1"/>
    <x v="0"/>
    <x v="0"/>
    <m/>
    <x v="0"/>
    <x v="0"/>
    <m/>
    <n v="3023103"/>
    <n v="0"/>
    <n v="0"/>
    <n v="3023103"/>
    <n v="13128966"/>
    <m/>
    <x v="1"/>
    <n v="13128966"/>
  </r>
  <r>
    <x v="1"/>
    <x v="18"/>
    <x v="18"/>
    <x v="2"/>
    <s v="Apoyo al proceso presupuestario y para mejorar la eficiencia institucional"/>
    <x v="2"/>
    <x v="34"/>
    <x v="59"/>
    <x v="767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238811583"/>
    <n v="0"/>
    <n v="-15507819"/>
    <n v="223303764"/>
    <n v="458392397"/>
    <m/>
    <x v="1"/>
    <n v="458392397"/>
  </r>
  <r>
    <x v="1"/>
    <x v="18"/>
    <x v="18"/>
    <x v="2"/>
    <s v="Apoyo al proceso presupuestario y para mejorar la eficiencia institucional"/>
    <x v="2"/>
    <x v="34"/>
    <x v="59"/>
    <x v="767"/>
    <n v="3"/>
    <s v="Desarrollo Económico"/>
    <n v="9"/>
    <s v="Desarrollo Sustentable"/>
    <n v="2"/>
    <x v="63"/>
    <x v="3"/>
    <x v="12"/>
    <n v="2"/>
    <s v="Gasto de capital"/>
    <x v="0"/>
    <x v="0"/>
    <x v="0"/>
    <x v="0"/>
    <x v="1"/>
    <x v="0"/>
    <x v="0"/>
    <m/>
    <x v="0"/>
    <x v="0"/>
    <m/>
    <n v="27900"/>
    <n v="0"/>
    <n v="0"/>
    <n v="27900"/>
    <n v="27900"/>
    <m/>
    <x v="1"/>
    <n v="27900"/>
  </r>
  <r>
    <x v="1"/>
    <x v="18"/>
    <x v="18"/>
    <x v="2"/>
    <s v="Apoyo al proceso presupuestario y para mejorar la eficiencia institucional"/>
    <x v="2"/>
    <x v="34"/>
    <x v="85"/>
    <x v="70"/>
    <n v="3"/>
    <s v="Desarrollo Económico"/>
    <n v="9"/>
    <s v="Desarrollo Sustentable"/>
    <n v="2"/>
    <x v="63"/>
    <x v="3"/>
    <x v="12"/>
    <n v="1"/>
    <s v="Gasto corriente"/>
    <x v="0"/>
    <x v="1"/>
    <x v="0"/>
    <x v="0"/>
    <x v="1"/>
    <x v="0"/>
    <x v="0"/>
    <m/>
    <x v="0"/>
    <x v="0"/>
    <m/>
    <n v="1988331"/>
    <n v="0"/>
    <n v="0"/>
    <n v="1988331"/>
    <n v="2388450"/>
    <m/>
    <x v="1"/>
    <n v="2388450"/>
  </r>
  <r>
    <x v="1"/>
    <x v="18"/>
    <x v="18"/>
    <x v="2"/>
    <s v="Apoyo al proceso presupuestario y para mejorar la eficiencia institucional"/>
    <x v="2"/>
    <x v="34"/>
    <x v="85"/>
    <x v="70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90040276"/>
    <n v="17700000"/>
    <n v="-6692629"/>
    <n v="101047647"/>
    <n v="82221804"/>
    <m/>
    <x v="1"/>
    <n v="82221804"/>
  </r>
  <r>
    <x v="1"/>
    <x v="18"/>
    <x v="18"/>
    <x v="2"/>
    <s v="Apoyo al proceso presupuestario y para mejorar la eficiencia institucional"/>
    <x v="2"/>
    <x v="34"/>
    <x v="85"/>
    <x v="70"/>
    <n v="3"/>
    <s v="Desarrollo Económico"/>
    <n v="9"/>
    <s v="Desarrollo Sustentable"/>
    <n v="2"/>
    <x v="63"/>
    <x v="3"/>
    <x v="12"/>
    <n v="2"/>
    <s v="Gasto de capital"/>
    <x v="0"/>
    <x v="0"/>
    <x v="0"/>
    <x v="0"/>
    <x v="1"/>
    <x v="0"/>
    <x v="0"/>
    <m/>
    <x v="0"/>
    <x v="0"/>
    <m/>
    <n v="0"/>
    <n v="12000000"/>
    <n v="0"/>
    <n v="12000000"/>
    <m/>
    <m/>
    <x v="1"/>
    <n v="0"/>
  </r>
  <r>
    <x v="1"/>
    <x v="18"/>
    <x v="18"/>
    <x v="2"/>
    <s v="Apoyo al proceso presupuestario y para mejorar la eficiencia institucional"/>
    <x v="2"/>
    <x v="34"/>
    <x v="81"/>
    <x v="766"/>
    <n v="3"/>
    <s v="Desarrollo Económico"/>
    <n v="9"/>
    <s v="Desarrollo Sustentable"/>
    <n v="2"/>
    <x v="63"/>
    <x v="3"/>
    <x v="12"/>
    <n v="1"/>
    <s v="Gasto corriente"/>
    <x v="0"/>
    <x v="1"/>
    <x v="0"/>
    <x v="0"/>
    <x v="1"/>
    <x v="0"/>
    <x v="0"/>
    <m/>
    <x v="0"/>
    <x v="0"/>
    <m/>
    <n v="2209422"/>
    <n v="0"/>
    <n v="0"/>
    <n v="2209422"/>
    <n v="2531124"/>
    <m/>
    <x v="1"/>
    <n v="2531124"/>
  </r>
  <r>
    <x v="1"/>
    <x v="18"/>
    <x v="18"/>
    <x v="2"/>
    <s v="Apoyo al proceso presupuestario y para mejorar la eficiencia institucional"/>
    <x v="2"/>
    <x v="34"/>
    <x v="81"/>
    <x v="766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159899118"/>
    <n v="0"/>
    <n v="-5024700"/>
    <n v="154874418"/>
    <n v="90435888"/>
    <m/>
    <x v="1"/>
    <n v="90435888"/>
  </r>
  <r>
    <x v="1"/>
    <x v="18"/>
    <x v="18"/>
    <x v="2"/>
    <s v="Apoyo al proceso presupuestario y para mejorar la eficiencia institucional"/>
    <x v="2"/>
    <x v="34"/>
    <x v="105"/>
    <x v="768"/>
    <n v="3"/>
    <s v="Desarrollo Económico"/>
    <n v="9"/>
    <s v="Desarrollo Sustentable"/>
    <n v="2"/>
    <x v="63"/>
    <x v="3"/>
    <x v="12"/>
    <n v="1"/>
    <s v="Gasto corriente"/>
    <x v="0"/>
    <x v="1"/>
    <x v="0"/>
    <x v="0"/>
    <x v="1"/>
    <x v="0"/>
    <x v="0"/>
    <m/>
    <x v="0"/>
    <x v="0"/>
    <m/>
    <n v="883294"/>
    <n v="0"/>
    <n v="0"/>
    <n v="883294"/>
    <n v="1045850"/>
    <m/>
    <x v="1"/>
    <n v="1045850"/>
  </r>
  <r>
    <x v="1"/>
    <x v="18"/>
    <x v="18"/>
    <x v="2"/>
    <s v="Apoyo al proceso presupuestario y para mejorar la eficiencia institucional"/>
    <x v="2"/>
    <x v="34"/>
    <x v="105"/>
    <x v="768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73756212"/>
    <n v="0"/>
    <n v="-4524565"/>
    <n v="69231647"/>
    <n v="56421278"/>
    <m/>
    <x v="1"/>
    <n v="56421278"/>
  </r>
  <r>
    <x v="1"/>
    <x v="18"/>
    <x v="18"/>
    <x v="2"/>
    <s v="Apoyo al proceso presupuestario y para mejorar la eficiencia institucional"/>
    <x v="2"/>
    <x v="34"/>
    <x v="321"/>
    <x v="691"/>
    <n v="3"/>
    <s v="Desarrollo Económico"/>
    <n v="9"/>
    <s v="Desarrollo Sustentable"/>
    <n v="1"/>
    <x v="65"/>
    <x v="3"/>
    <x v="12"/>
    <n v="1"/>
    <s v="Gasto corriente"/>
    <x v="0"/>
    <x v="1"/>
    <x v="0"/>
    <x v="0"/>
    <x v="1"/>
    <x v="0"/>
    <x v="0"/>
    <m/>
    <x v="0"/>
    <x v="0"/>
    <m/>
    <n v="16781377"/>
    <n v="0"/>
    <n v="0"/>
    <n v="16781377"/>
    <n v="16245275"/>
    <m/>
    <x v="1"/>
    <n v="16245275"/>
  </r>
  <r>
    <x v="1"/>
    <x v="18"/>
    <x v="18"/>
    <x v="2"/>
    <s v="Apoyo al proceso presupuestario y para mejorar la eficiencia institucional"/>
    <x v="2"/>
    <x v="34"/>
    <x v="321"/>
    <x v="691"/>
    <n v="3"/>
    <s v="Desarrollo Económico"/>
    <n v="9"/>
    <s v="Desarrollo Sustentable"/>
    <n v="1"/>
    <x v="65"/>
    <x v="3"/>
    <x v="12"/>
    <n v="1"/>
    <s v="Gasto corriente"/>
    <x v="0"/>
    <x v="0"/>
    <x v="0"/>
    <x v="0"/>
    <x v="1"/>
    <x v="0"/>
    <x v="0"/>
    <m/>
    <x v="0"/>
    <x v="0"/>
    <m/>
    <n v="519609795"/>
    <n v="0"/>
    <n v="0"/>
    <n v="519609795"/>
    <n v="383338956"/>
    <m/>
    <x v="1"/>
    <n v="383338956"/>
  </r>
  <r>
    <x v="1"/>
    <x v="18"/>
    <x v="18"/>
    <x v="2"/>
    <s v="Apoyo al proceso presupuestario y para mejorar la eficiencia institucional"/>
    <x v="2"/>
    <x v="34"/>
    <x v="321"/>
    <x v="691"/>
    <n v="3"/>
    <s v="Desarrollo Económico"/>
    <n v="9"/>
    <s v="Desarrollo Sustentable"/>
    <n v="1"/>
    <x v="65"/>
    <x v="3"/>
    <x v="12"/>
    <n v="2"/>
    <s v="Gasto de capital"/>
    <x v="0"/>
    <x v="0"/>
    <x v="0"/>
    <x v="0"/>
    <x v="1"/>
    <x v="0"/>
    <x v="0"/>
    <m/>
    <x v="0"/>
    <x v="0"/>
    <m/>
    <n v="8864459"/>
    <n v="0"/>
    <n v="0"/>
    <n v="8864459"/>
    <n v="10080357"/>
    <m/>
    <x v="1"/>
    <n v="10080357"/>
  </r>
  <r>
    <x v="1"/>
    <x v="18"/>
    <x v="18"/>
    <x v="2"/>
    <s v="Apoyo al proceso presupuestario y para mejorar la eficiencia institucional"/>
    <x v="2"/>
    <x v="34"/>
    <x v="40"/>
    <x v="725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1"/>
    <x v="0"/>
    <x v="0"/>
    <m/>
    <x v="0"/>
    <x v="0"/>
    <m/>
    <m/>
    <n v="0"/>
    <n v="0"/>
    <m/>
    <n v="2079440"/>
    <m/>
    <x v="1"/>
    <n v="2079440"/>
  </r>
  <r>
    <x v="1"/>
    <x v="18"/>
    <x v="18"/>
    <x v="2"/>
    <s v="Apoyo al proceso presupuestario y para mejorar la eficiencia institucional"/>
    <x v="2"/>
    <x v="34"/>
    <x v="92"/>
    <x v="760"/>
    <n v="3"/>
    <s v="Desarrollo Económico"/>
    <n v="9"/>
    <s v="Desarrollo Sustentable"/>
    <n v="2"/>
    <x v="63"/>
    <x v="3"/>
    <x v="12"/>
    <n v="1"/>
    <s v="Gasto corriente"/>
    <x v="0"/>
    <x v="1"/>
    <x v="0"/>
    <x v="0"/>
    <x v="1"/>
    <x v="0"/>
    <x v="0"/>
    <m/>
    <x v="0"/>
    <x v="0"/>
    <n v="1"/>
    <n v="34234960"/>
    <n v="0"/>
    <n v="0"/>
    <n v="34234960"/>
    <n v="34435077"/>
    <m/>
    <x v="1"/>
    <n v="34435077"/>
  </r>
  <r>
    <x v="1"/>
    <x v="18"/>
    <x v="18"/>
    <x v="2"/>
    <s v="Apoyo al proceso presupuestario y para mejorar la eficiencia institucional"/>
    <x v="2"/>
    <x v="34"/>
    <x v="92"/>
    <x v="760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n v="1"/>
    <n v="697577408"/>
    <n v="0"/>
    <n v="-6000000"/>
    <n v="691577408"/>
    <n v="605506683"/>
    <m/>
    <x v="1"/>
    <n v="605506683"/>
  </r>
  <r>
    <x v="1"/>
    <x v="18"/>
    <x v="18"/>
    <x v="2"/>
    <s v="Apoyo al proceso presupuestario y para mejorar la eficiencia institucional"/>
    <x v="2"/>
    <x v="34"/>
    <x v="36"/>
    <x v="764"/>
    <n v="3"/>
    <s v="Desarrollo Económico"/>
    <n v="9"/>
    <s v="Desarrollo Sustentable"/>
    <n v="2"/>
    <x v="63"/>
    <x v="3"/>
    <x v="12"/>
    <n v="1"/>
    <s v="Gasto corriente"/>
    <x v="0"/>
    <x v="1"/>
    <x v="0"/>
    <x v="0"/>
    <x v="1"/>
    <x v="0"/>
    <x v="0"/>
    <m/>
    <x v="0"/>
    <x v="0"/>
    <m/>
    <n v="9513182"/>
    <n v="0"/>
    <n v="0"/>
    <n v="9513182"/>
    <n v="9404254"/>
    <m/>
    <x v="1"/>
    <n v="9404254"/>
  </r>
  <r>
    <x v="1"/>
    <x v="18"/>
    <x v="18"/>
    <x v="2"/>
    <s v="Apoyo al proceso presupuestario y para mejorar la eficiencia institucional"/>
    <x v="2"/>
    <x v="34"/>
    <x v="36"/>
    <x v="764"/>
    <n v="3"/>
    <s v="Desarrollo Económico"/>
    <n v="9"/>
    <s v="Desarrollo Sustentable"/>
    <n v="2"/>
    <x v="63"/>
    <x v="3"/>
    <x v="12"/>
    <n v="1"/>
    <s v="Gasto corriente"/>
    <x v="0"/>
    <x v="0"/>
    <x v="0"/>
    <x v="0"/>
    <x v="1"/>
    <x v="0"/>
    <x v="0"/>
    <m/>
    <x v="0"/>
    <x v="0"/>
    <m/>
    <n v="362412777"/>
    <n v="0"/>
    <n v="-5700000"/>
    <n v="356712777"/>
    <n v="375313507"/>
    <m/>
    <x v="1"/>
    <n v="375313507"/>
  </r>
  <r>
    <x v="1"/>
    <x v="18"/>
    <x v="18"/>
    <x v="2"/>
    <s v="Apoyo al proceso presupuestario y para mejorar la eficiencia institucional"/>
    <x v="2"/>
    <x v="34"/>
    <x v="320"/>
    <x v="690"/>
    <n v="3"/>
    <s v="Desarrollo Económico"/>
    <n v="2"/>
    <s v="Desarrollo Agropecuario y Forestal"/>
    <n v="6"/>
    <x v="64"/>
    <x v="3"/>
    <x v="12"/>
    <n v="1"/>
    <s v="Gasto corriente"/>
    <x v="0"/>
    <x v="1"/>
    <x v="0"/>
    <x v="0"/>
    <x v="1"/>
    <x v="0"/>
    <x v="0"/>
    <m/>
    <x v="0"/>
    <x v="0"/>
    <m/>
    <n v="4335118"/>
    <n v="0"/>
    <n v="0"/>
    <n v="4335118"/>
    <n v="2307294"/>
    <m/>
    <x v="1"/>
    <n v="2307294"/>
  </r>
  <r>
    <x v="1"/>
    <x v="18"/>
    <x v="18"/>
    <x v="2"/>
    <s v="Apoyo al proceso presupuestario y para mejorar la eficiencia institucional"/>
    <x v="2"/>
    <x v="34"/>
    <x v="320"/>
    <x v="690"/>
    <n v="3"/>
    <s v="Desarrollo Económico"/>
    <n v="2"/>
    <s v="Desarrollo Agropecuario y Forestal"/>
    <n v="6"/>
    <x v="64"/>
    <x v="3"/>
    <x v="12"/>
    <n v="1"/>
    <s v="Gasto corriente"/>
    <x v="0"/>
    <x v="0"/>
    <x v="0"/>
    <x v="0"/>
    <x v="1"/>
    <x v="0"/>
    <x v="0"/>
    <m/>
    <x v="0"/>
    <x v="0"/>
    <m/>
    <n v="185990375"/>
    <n v="0"/>
    <n v="-11647198"/>
    <n v="174343177"/>
    <n v="137235212"/>
    <m/>
    <x v="1"/>
    <n v="137235212"/>
  </r>
  <r>
    <x v="1"/>
    <x v="18"/>
    <x v="18"/>
    <x v="2"/>
    <s v="Apoyo al proceso presupuestario y para mejorar la eficiencia institucional"/>
    <x v="2"/>
    <x v="34"/>
    <x v="355"/>
    <x v="726"/>
    <n v="3"/>
    <s v="Desarrollo Económico"/>
    <n v="7"/>
    <s v="Ciencia y Tecnología"/>
    <n v="2"/>
    <x v="42"/>
    <x v="3"/>
    <x v="12"/>
    <n v="1"/>
    <s v="Gasto corriente"/>
    <x v="0"/>
    <x v="1"/>
    <x v="0"/>
    <x v="1"/>
    <x v="1"/>
    <x v="0"/>
    <x v="0"/>
    <m/>
    <x v="0"/>
    <x v="0"/>
    <m/>
    <n v="253651"/>
    <n v="0"/>
    <n v="0"/>
    <n v="253651"/>
    <n v="198768"/>
    <m/>
    <x v="1"/>
    <n v="198768"/>
  </r>
  <r>
    <x v="1"/>
    <x v="18"/>
    <x v="18"/>
    <x v="2"/>
    <s v="Apoyo al proceso presupuestario y para mejorar la eficiencia institucional"/>
    <x v="2"/>
    <x v="34"/>
    <x v="355"/>
    <x v="726"/>
    <n v="3"/>
    <s v="Desarrollo Económico"/>
    <n v="7"/>
    <s v="Ciencia y Tecnología"/>
    <n v="2"/>
    <x v="42"/>
    <x v="3"/>
    <x v="12"/>
    <n v="1"/>
    <s v="Gasto corriente"/>
    <x v="0"/>
    <x v="0"/>
    <x v="0"/>
    <x v="1"/>
    <x v="1"/>
    <x v="0"/>
    <x v="0"/>
    <m/>
    <x v="0"/>
    <x v="0"/>
    <m/>
    <n v="9058390"/>
    <n v="0"/>
    <n v="-515000"/>
    <n v="8543390"/>
    <n v="7542628"/>
    <m/>
    <x v="1"/>
    <n v="7542628"/>
  </r>
  <r>
    <x v="1"/>
    <x v="18"/>
    <x v="18"/>
    <x v="6"/>
    <s v="Desastres Naturales"/>
    <x v="2"/>
    <x v="536"/>
    <x v="323"/>
    <x v="69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1"/>
    <m/>
    <m/>
    <m/>
    <m/>
    <m/>
    <n v="118255186"/>
    <m/>
    <x v="1"/>
    <n v="118255186"/>
  </r>
  <r>
    <x v="1"/>
    <x v="18"/>
    <x v="18"/>
    <x v="6"/>
    <s v="Desastres Naturales"/>
    <x v="2"/>
    <x v="536"/>
    <x v="323"/>
    <x v="693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46730033"/>
    <m/>
    <x v="1"/>
    <n v="146730033"/>
  </r>
  <r>
    <x v="1"/>
    <x v="18"/>
    <x v="18"/>
    <x v="3"/>
    <s v="Apoyo a la función pública y al mejoramiento de la gestión"/>
    <x v="2"/>
    <x v="42"/>
    <x v="19"/>
    <x v="12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474039"/>
    <n v="0"/>
    <n v="0"/>
    <n v="1474039"/>
    <n v="1722592"/>
    <m/>
    <x v="1"/>
    <n v="1722592"/>
  </r>
  <r>
    <x v="1"/>
    <x v="18"/>
    <x v="18"/>
    <x v="3"/>
    <s v="Apoyo a la función pública y al mejoramiento de la gestión"/>
    <x v="2"/>
    <x v="42"/>
    <x v="19"/>
    <x v="12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9785910"/>
    <n v="0"/>
    <n v="-573160"/>
    <n v="29212750"/>
    <n v="28964197"/>
    <m/>
    <x v="1"/>
    <n v="28964197"/>
  </r>
  <r>
    <x v="1"/>
    <x v="18"/>
    <x v="18"/>
    <x v="3"/>
    <s v="Apoyo a la función pública y al mejoramiento de la gestión"/>
    <x v="2"/>
    <x v="42"/>
    <x v="321"/>
    <x v="691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3127363"/>
    <n v="0"/>
    <n v="0"/>
    <n v="3127363"/>
    <n v="4132270"/>
    <m/>
    <x v="1"/>
    <n v="4132270"/>
  </r>
  <r>
    <x v="1"/>
    <x v="18"/>
    <x v="18"/>
    <x v="3"/>
    <s v="Apoyo a la función pública y al mejoramiento de la gestión"/>
    <x v="2"/>
    <x v="42"/>
    <x v="321"/>
    <x v="69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77853986"/>
    <n v="0"/>
    <n v="0"/>
    <n v="77853986"/>
    <n v="55507068"/>
    <m/>
    <x v="1"/>
    <n v="55507068"/>
  </r>
  <r>
    <x v="1"/>
    <x v="18"/>
    <x v="18"/>
    <x v="3"/>
    <s v="Apoyo a la función pública y al mejoramiento de la gestión"/>
    <x v="2"/>
    <x v="42"/>
    <x v="363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1319117"/>
    <n v="0"/>
    <n v="0"/>
    <n v="11319117"/>
    <n v="11319117"/>
    <m/>
    <x v="1"/>
    <n v="11319117"/>
  </r>
  <r>
    <x v="1"/>
    <x v="18"/>
    <x v="18"/>
    <x v="3"/>
    <s v="Apoyo a la función pública y al mejoramiento de la gestión"/>
    <x v="2"/>
    <x v="42"/>
    <x v="363"/>
    <x v="40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376106"/>
    <n v="0"/>
    <n v="0"/>
    <n v="376106"/>
    <n v="594455"/>
    <m/>
    <x v="1"/>
    <n v="594455"/>
  </r>
  <r>
    <x v="1"/>
    <x v="18"/>
    <x v="18"/>
    <x v="3"/>
    <s v="Apoyo a la función pública y al mejoramiento de la gestión"/>
    <x v="2"/>
    <x v="42"/>
    <x v="320"/>
    <x v="690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n v="376544"/>
    <n v="0"/>
    <n v="0"/>
    <n v="376544"/>
    <n v="1678890"/>
    <m/>
    <x v="1"/>
    <n v="1678890"/>
  </r>
  <r>
    <x v="1"/>
    <x v="18"/>
    <x v="18"/>
    <x v="3"/>
    <s v="Apoyo a la función pública y al mejoramiento de la gestión"/>
    <x v="2"/>
    <x v="42"/>
    <x v="320"/>
    <x v="690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21380253"/>
    <n v="0"/>
    <n v="-100000"/>
    <n v="21280253"/>
    <n v="21857161"/>
    <m/>
    <x v="1"/>
    <n v="21857161"/>
  </r>
  <r>
    <x v="1"/>
    <x v="18"/>
    <x v="18"/>
    <x v="3"/>
    <s v="Apoyo a la función pública y al mejoramiento de la gestión"/>
    <x v="2"/>
    <x v="42"/>
    <x v="320"/>
    <x v="690"/>
    <n v="1"/>
    <s v="Gobierno"/>
    <n v="8"/>
    <s v="Administración Pública"/>
    <n v="3"/>
    <x v="6"/>
    <x v="2"/>
    <x v="13"/>
    <n v="2"/>
    <s v="Gasto de capital"/>
    <x v="0"/>
    <x v="0"/>
    <x v="0"/>
    <x v="0"/>
    <x v="1"/>
    <x v="0"/>
    <x v="0"/>
    <m/>
    <x v="0"/>
    <x v="0"/>
    <m/>
    <n v="174200"/>
    <n v="0"/>
    <n v="0"/>
    <n v="174200"/>
    <n v="101200"/>
    <m/>
    <x v="1"/>
    <n v="101200"/>
  </r>
  <r>
    <x v="1"/>
    <x v="18"/>
    <x v="18"/>
    <x v="3"/>
    <s v="Apoyo a la función pública y al mejoramiento de la gestión"/>
    <x v="2"/>
    <x v="42"/>
    <x v="355"/>
    <x v="726"/>
    <n v="1"/>
    <s v="Gobierno"/>
    <n v="8"/>
    <s v="Administración Pública"/>
    <n v="3"/>
    <x v="6"/>
    <x v="2"/>
    <x v="13"/>
    <n v="1"/>
    <s v="Gasto corriente"/>
    <x v="0"/>
    <x v="1"/>
    <x v="0"/>
    <x v="1"/>
    <x v="1"/>
    <x v="0"/>
    <x v="0"/>
    <m/>
    <x v="0"/>
    <x v="0"/>
    <m/>
    <n v="96385"/>
    <n v="0"/>
    <n v="0"/>
    <n v="96385"/>
    <n v="89940"/>
    <m/>
    <x v="1"/>
    <n v="89940"/>
  </r>
  <r>
    <x v="1"/>
    <x v="18"/>
    <x v="18"/>
    <x v="3"/>
    <s v="Apoyo a la función pública y al mejoramiento de la gestión"/>
    <x v="2"/>
    <x v="42"/>
    <x v="355"/>
    <x v="726"/>
    <n v="1"/>
    <s v="Gobierno"/>
    <n v="8"/>
    <s v="Administración Pública"/>
    <n v="3"/>
    <x v="6"/>
    <x v="2"/>
    <x v="13"/>
    <n v="1"/>
    <s v="Gasto corriente"/>
    <x v="0"/>
    <x v="0"/>
    <x v="0"/>
    <x v="1"/>
    <x v="1"/>
    <x v="0"/>
    <x v="0"/>
    <m/>
    <x v="0"/>
    <x v="0"/>
    <m/>
    <n v="2514574"/>
    <n v="0"/>
    <n v="-5000"/>
    <n v="2509574"/>
    <n v="2988100"/>
    <m/>
    <x v="1"/>
    <n v="2988100"/>
  </r>
  <r>
    <x v="1"/>
    <x v="18"/>
    <x v="18"/>
    <x v="3"/>
    <s v="Apoyo a la función pública y al mejoramiento de la gestión"/>
    <x v="2"/>
    <x v="42"/>
    <x v="355"/>
    <x v="726"/>
    <n v="1"/>
    <s v="Gobierno"/>
    <n v="8"/>
    <s v="Administración Pública"/>
    <n v="3"/>
    <x v="6"/>
    <x v="2"/>
    <x v="13"/>
    <n v="2"/>
    <s v="Gasto de capital"/>
    <x v="0"/>
    <x v="0"/>
    <x v="0"/>
    <x v="1"/>
    <x v="1"/>
    <x v="0"/>
    <x v="0"/>
    <m/>
    <x v="0"/>
    <x v="0"/>
    <m/>
    <n v="30000"/>
    <n v="0"/>
    <n v="-16000"/>
    <n v="14000"/>
    <n v="14000"/>
    <m/>
    <x v="1"/>
    <n v="14000"/>
  </r>
  <r>
    <x v="1"/>
    <x v="18"/>
    <x v="18"/>
    <x v="3"/>
    <s v="Apoyo a la función pública y al mejoramiento de la gestión"/>
    <x v="32"/>
    <x v="121"/>
    <x v="59"/>
    <x v="76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5114000"/>
    <n v="0"/>
    <n v="0"/>
    <n v="15114000"/>
    <m/>
    <m/>
    <x v="1"/>
    <n v="0"/>
  </r>
  <r>
    <x v="1"/>
    <x v="18"/>
    <x v="18"/>
    <x v="3"/>
    <s v="Apoyo a la función pública y al mejoramiento de la gestión"/>
    <x v="32"/>
    <x v="121"/>
    <x v="321"/>
    <x v="69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5588000"/>
    <n v="0"/>
    <n v="0"/>
    <n v="15588000"/>
    <m/>
    <m/>
    <x v="1"/>
    <n v="0"/>
  </r>
  <r>
    <x v="1"/>
    <x v="18"/>
    <x v="18"/>
    <x v="3"/>
    <s v="Apoyo a la función pública y al mejoramiento de la gestión"/>
    <x v="32"/>
    <x v="121"/>
    <x v="321"/>
    <x v="691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2025000"/>
    <n v="0"/>
    <n v="0"/>
    <n v="2025000"/>
    <m/>
    <m/>
    <x v="1"/>
    <n v="0"/>
  </r>
  <r>
    <x v="1"/>
    <x v="18"/>
    <x v="18"/>
    <x v="3"/>
    <s v="Apoyo a la función pública y al mejoramiento de la gestión"/>
    <x v="32"/>
    <x v="121"/>
    <x v="40"/>
    <x v="72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363000"/>
    <n v="0"/>
    <n v="0"/>
    <n v="2363000"/>
    <m/>
    <m/>
    <x v="1"/>
    <n v="0"/>
  </r>
  <r>
    <x v="1"/>
    <x v="18"/>
    <x v="18"/>
    <x v="3"/>
    <s v="Apoyo a la función pública y al mejoramiento de la gestión"/>
    <x v="32"/>
    <x v="121"/>
    <x v="92"/>
    <x v="76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011000"/>
    <n v="0"/>
    <n v="0"/>
    <n v="6011000"/>
    <m/>
    <m/>
    <x v="1"/>
    <n v="0"/>
  </r>
  <r>
    <x v="1"/>
    <x v="18"/>
    <x v="18"/>
    <x v="3"/>
    <s v="Apoyo a la función pública y al mejoramiento de la gestión"/>
    <x v="32"/>
    <x v="121"/>
    <x v="36"/>
    <x v="76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700000"/>
    <n v="0"/>
    <n v="0"/>
    <n v="2700000"/>
    <m/>
    <m/>
    <x v="1"/>
    <n v="0"/>
  </r>
  <r>
    <x v="1"/>
    <x v="18"/>
    <x v="18"/>
    <x v="5"/>
    <s v="Planeación, seguimiento y evaluación de políticas públicas"/>
    <x v="2"/>
    <x v="537"/>
    <x v="264"/>
    <x v="76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5620000"/>
    <n v="0"/>
    <n v="0"/>
    <n v="5620000"/>
    <n v="5709571"/>
    <m/>
    <x v="1"/>
    <n v="5709571"/>
  </r>
  <r>
    <x v="1"/>
    <x v="18"/>
    <x v="18"/>
    <x v="5"/>
    <s v="Planeación, seguimiento y evaluación de políticas públicas"/>
    <x v="2"/>
    <x v="537"/>
    <x v="264"/>
    <x v="769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n v="50000"/>
    <n v="0"/>
    <n v="0"/>
    <n v="50000"/>
    <n v="128361"/>
    <m/>
    <x v="1"/>
    <n v="128361"/>
  </r>
  <r>
    <x v="1"/>
    <x v="18"/>
    <x v="18"/>
    <x v="5"/>
    <s v="Planeación, seguimiento y evaluación de políticas públicas"/>
    <x v="2"/>
    <x v="537"/>
    <x v="361"/>
    <x v="76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76340961"/>
    <n v="0"/>
    <n v="0"/>
    <n v="76340961"/>
    <n v="78485218"/>
    <m/>
    <x v="1"/>
    <n v="78485218"/>
  </r>
  <r>
    <x v="1"/>
    <x v="18"/>
    <x v="18"/>
    <x v="5"/>
    <s v="Planeación, seguimiento y evaluación de políticas públicas"/>
    <x v="2"/>
    <x v="537"/>
    <x v="361"/>
    <x v="762"/>
    <n v="3"/>
    <s v="Desarrollo Económico"/>
    <n v="9"/>
    <s v="Desarrollo Sustentable"/>
    <n v="1"/>
    <x v="65"/>
    <x v="1"/>
    <x v="132"/>
    <n v="2"/>
    <s v="Gasto de capital"/>
    <x v="0"/>
    <x v="0"/>
    <x v="0"/>
    <x v="0"/>
    <x v="0"/>
    <x v="0"/>
    <x v="0"/>
    <m/>
    <x v="0"/>
    <x v="0"/>
    <m/>
    <n v="4207200"/>
    <n v="0"/>
    <n v="0"/>
    <n v="4207200"/>
    <n v="3960299"/>
    <m/>
    <x v="1"/>
    <n v="3960299"/>
  </r>
  <r>
    <x v="1"/>
    <x v="18"/>
    <x v="18"/>
    <x v="5"/>
    <s v="Planeación, seguimiento y evaluación de políticas públicas"/>
    <x v="2"/>
    <x v="537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6290"/>
    <m/>
    <x v="1"/>
    <n v="26290"/>
  </r>
  <r>
    <x v="1"/>
    <x v="18"/>
    <x v="18"/>
    <x v="5"/>
    <s v="Planeación, seguimiento y evaluación de políticas públicas"/>
    <x v="2"/>
    <x v="537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954337"/>
    <m/>
    <x v="1"/>
    <n v="954337"/>
  </r>
  <r>
    <x v="1"/>
    <x v="18"/>
    <x v="18"/>
    <x v="5"/>
    <s v="Planeación, seguimiento y evaluación de políticas públicas"/>
    <x v="2"/>
    <x v="537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8460"/>
    <m/>
    <x v="1"/>
    <n v="68460"/>
  </r>
  <r>
    <x v="1"/>
    <x v="18"/>
    <x v="18"/>
    <x v="5"/>
    <s v="Planeación, seguimiento y evaluación de políticas públicas"/>
    <x v="2"/>
    <x v="537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56024"/>
    <m/>
    <x v="1"/>
    <n v="156024"/>
  </r>
  <r>
    <x v="1"/>
    <x v="18"/>
    <x v="18"/>
    <x v="5"/>
    <s v="Planeación, seguimiento y evaluación de políticas públicas"/>
    <x v="2"/>
    <x v="537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32585"/>
    <m/>
    <x v="1"/>
    <n v="132585"/>
  </r>
  <r>
    <x v="1"/>
    <x v="18"/>
    <x v="18"/>
    <x v="5"/>
    <s v="Planeación, seguimiento y evaluación de políticas públicas"/>
    <x v="2"/>
    <x v="537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7862"/>
    <m/>
    <x v="1"/>
    <n v="17862"/>
  </r>
  <r>
    <x v="1"/>
    <x v="18"/>
    <x v="18"/>
    <x v="5"/>
    <s v="Planeación, seguimiento y evaluación de políticas públicas"/>
    <x v="2"/>
    <x v="537"/>
    <x v="330"/>
    <x v="70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50188"/>
    <m/>
    <x v="1"/>
    <n v="150188"/>
  </r>
  <r>
    <x v="1"/>
    <x v="18"/>
    <x v="18"/>
    <x v="5"/>
    <s v="Planeación, seguimiento y evaluación de políticas públicas"/>
    <x v="2"/>
    <x v="537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4129"/>
    <m/>
    <x v="1"/>
    <n v="54129"/>
  </r>
  <r>
    <x v="1"/>
    <x v="18"/>
    <x v="18"/>
    <x v="5"/>
    <s v="Planeación, seguimiento y evaluación de políticas públicas"/>
    <x v="2"/>
    <x v="537"/>
    <x v="334"/>
    <x v="70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91649"/>
    <m/>
    <x v="1"/>
    <n v="91649"/>
  </r>
  <r>
    <x v="1"/>
    <x v="18"/>
    <x v="18"/>
    <x v="5"/>
    <s v="Planeación, seguimiento y evaluación de políticas públicas"/>
    <x v="2"/>
    <x v="537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076311"/>
    <m/>
    <x v="1"/>
    <n v="2076311"/>
  </r>
  <r>
    <x v="1"/>
    <x v="18"/>
    <x v="18"/>
    <x v="5"/>
    <s v="Planeación, seguimiento y evaluación de políticas públicas"/>
    <x v="2"/>
    <x v="537"/>
    <x v="343"/>
    <x v="71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3449"/>
    <m/>
    <x v="1"/>
    <n v="13449"/>
  </r>
  <r>
    <x v="1"/>
    <x v="18"/>
    <x v="18"/>
    <x v="5"/>
    <s v="Planeación, seguimiento y evaluación de políticas públicas"/>
    <x v="2"/>
    <x v="537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6841"/>
    <m/>
    <x v="1"/>
    <n v="16841"/>
  </r>
  <r>
    <x v="1"/>
    <x v="18"/>
    <x v="18"/>
    <x v="5"/>
    <s v="Planeación, seguimiento y evaluación de políticas públicas"/>
    <x v="2"/>
    <x v="537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3428"/>
    <m/>
    <x v="1"/>
    <n v="13428"/>
  </r>
  <r>
    <x v="1"/>
    <x v="18"/>
    <x v="18"/>
    <x v="5"/>
    <s v="Planeación, seguimiento y evaluación de políticas públicas"/>
    <x v="2"/>
    <x v="537"/>
    <x v="349"/>
    <x v="71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1163"/>
    <m/>
    <x v="1"/>
    <n v="11163"/>
  </r>
  <r>
    <x v="1"/>
    <x v="18"/>
    <x v="18"/>
    <x v="5"/>
    <s v="Planeación, seguimiento y evaluación de políticas públicas"/>
    <x v="3"/>
    <x v="538"/>
    <x v="1"/>
    <x v="78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2969211"/>
    <n v="0"/>
    <n v="0"/>
    <n v="2969211"/>
    <n v="1097368"/>
    <m/>
    <x v="1"/>
    <n v="1097368"/>
  </r>
  <r>
    <x v="1"/>
    <x v="18"/>
    <x v="18"/>
    <x v="5"/>
    <s v="Planeación, seguimiento y evaluación de políticas públicas"/>
    <x v="3"/>
    <x v="538"/>
    <x v="1"/>
    <x v="78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82218688"/>
    <n v="0"/>
    <n v="-1435173"/>
    <n v="80783515"/>
    <n v="39898434"/>
    <m/>
    <x v="1"/>
    <n v="39898434"/>
  </r>
  <r>
    <x v="1"/>
    <x v="18"/>
    <x v="18"/>
    <x v="5"/>
    <s v="Planeación, seguimiento y evaluación de políticas públicas"/>
    <x v="3"/>
    <x v="538"/>
    <x v="15"/>
    <x v="770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712605"/>
    <n v="0"/>
    <n v="0"/>
    <n v="712605"/>
    <n v="862753"/>
    <m/>
    <x v="1"/>
    <n v="862753"/>
  </r>
  <r>
    <x v="1"/>
    <x v="18"/>
    <x v="18"/>
    <x v="5"/>
    <s v="Planeación, seguimiento y evaluación de políticas públicas"/>
    <x v="3"/>
    <x v="538"/>
    <x v="15"/>
    <x v="770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26414914"/>
    <n v="0"/>
    <n v="-1465041"/>
    <n v="24949873"/>
    <n v="25627400"/>
    <m/>
    <x v="1"/>
    <n v="25627400"/>
  </r>
  <r>
    <x v="1"/>
    <x v="18"/>
    <x v="18"/>
    <x v="5"/>
    <s v="Planeación, seguimiento y evaluación de políticas públicas"/>
    <x v="3"/>
    <x v="538"/>
    <x v="22"/>
    <x v="225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947358"/>
    <n v="0"/>
    <n v="0"/>
    <n v="947358"/>
    <n v="1149963"/>
    <m/>
    <x v="1"/>
    <n v="1149963"/>
  </r>
  <r>
    <x v="1"/>
    <x v="18"/>
    <x v="18"/>
    <x v="5"/>
    <s v="Planeación, seguimiento y evaluación de políticas públicas"/>
    <x v="3"/>
    <x v="538"/>
    <x v="22"/>
    <x v="225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21931891"/>
    <n v="0"/>
    <n v="-592772"/>
    <n v="21339119"/>
    <n v="22011731"/>
    <m/>
    <x v="1"/>
    <n v="22011731"/>
  </r>
  <r>
    <x v="1"/>
    <x v="18"/>
    <x v="18"/>
    <x v="5"/>
    <s v="Planeación, seguimiento y evaluación de políticas públicas"/>
    <x v="3"/>
    <x v="538"/>
    <x v="23"/>
    <x v="270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1205128"/>
    <n v="0"/>
    <n v="0"/>
    <n v="1205128"/>
    <n v="1468124"/>
    <m/>
    <x v="1"/>
    <n v="1468124"/>
  </r>
  <r>
    <x v="1"/>
    <x v="18"/>
    <x v="18"/>
    <x v="5"/>
    <s v="Planeación, seguimiento y evaluación de políticas públicas"/>
    <x v="3"/>
    <x v="538"/>
    <x v="23"/>
    <x v="270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26841035"/>
    <n v="0"/>
    <n v="-555571"/>
    <n v="26285464"/>
    <n v="28434983"/>
    <m/>
    <x v="1"/>
    <n v="28434983"/>
  </r>
  <r>
    <x v="1"/>
    <x v="18"/>
    <x v="18"/>
    <x v="5"/>
    <s v="Planeación, seguimiento y evaluación de políticas públicas"/>
    <x v="3"/>
    <x v="538"/>
    <x v="21"/>
    <x v="272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622477"/>
    <n v="0"/>
    <n v="0"/>
    <n v="622477"/>
    <n v="733618"/>
    <m/>
    <x v="1"/>
    <n v="733618"/>
  </r>
  <r>
    <x v="1"/>
    <x v="18"/>
    <x v="18"/>
    <x v="5"/>
    <s v="Planeación, seguimiento y evaluación de políticas públicas"/>
    <x v="3"/>
    <x v="538"/>
    <x v="21"/>
    <x v="272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15096795"/>
    <n v="0"/>
    <n v="-251810"/>
    <n v="14844985"/>
    <n v="15081933"/>
    <m/>
    <x v="1"/>
    <n v="15081933"/>
  </r>
  <r>
    <x v="1"/>
    <x v="18"/>
    <x v="18"/>
    <x v="5"/>
    <s v="Planeación, seguimiento y evaluación de políticas públicas"/>
    <x v="3"/>
    <x v="538"/>
    <x v="6"/>
    <x v="771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1"/>
    <m/>
    <x v="0"/>
    <x v="0"/>
    <m/>
    <n v="646959"/>
    <n v="0"/>
    <n v="0"/>
    <n v="646959"/>
    <n v="831036"/>
    <m/>
    <x v="1"/>
    <n v="831036"/>
  </r>
  <r>
    <x v="1"/>
    <x v="18"/>
    <x v="18"/>
    <x v="5"/>
    <s v="Planeación, seguimiento y evaluación de políticas públicas"/>
    <x v="3"/>
    <x v="538"/>
    <x v="6"/>
    <x v="771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1"/>
    <m/>
    <x v="0"/>
    <x v="0"/>
    <m/>
    <n v="26464343"/>
    <n v="0"/>
    <n v="-333849"/>
    <n v="26130494"/>
    <n v="28280557"/>
    <m/>
    <x v="3"/>
    <n v="38280557"/>
  </r>
  <r>
    <x v="1"/>
    <x v="18"/>
    <x v="18"/>
    <x v="5"/>
    <s v="Planeación, seguimiento y evaluación de políticas públicas"/>
    <x v="3"/>
    <x v="538"/>
    <x v="6"/>
    <x v="771"/>
    <n v="3"/>
    <s v="Desarrollo Económico"/>
    <n v="9"/>
    <s v="Desarrollo Sustentable"/>
    <n v="2"/>
    <x v="63"/>
    <x v="15"/>
    <x v="133"/>
    <n v="2"/>
    <s v="Gasto de capital"/>
    <x v="0"/>
    <x v="0"/>
    <x v="1"/>
    <x v="0"/>
    <x v="0"/>
    <x v="0"/>
    <x v="1"/>
    <m/>
    <x v="0"/>
    <x v="0"/>
    <m/>
    <n v="3620000"/>
    <n v="3900000"/>
    <n v="0"/>
    <n v="7520000"/>
    <n v="9600000"/>
    <m/>
    <x v="1"/>
    <n v="9600000"/>
  </r>
  <r>
    <x v="1"/>
    <x v="18"/>
    <x v="18"/>
    <x v="5"/>
    <s v="Planeación, seguimiento y evaluación de políticas públicas"/>
    <x v="3"/>
    <x v="538"/>
    <x v="18"/>
    <x v="731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627765"/>
    <n v="0"/>
    <n v="0"/>
    <n v="627765"/>
    <n v="647132"/>
    <m/>
    <x v="1"/>
    <n v="647132"/>
  </r>
  <r>
    <x v="1"/>
    <x v="18"/>
    <x v="18"/>
    <x v="5"/>
    <s v="Planeación, seguimiento y evaluación de políticas públicas"/>
    <x v="3"/>
    <x v="538"/>
    <x v="107"/>
    <x v="680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89374"/>
    <n v="0"/>
    <n v="0"/>
    <n v="89374"/>
    <n v="89374"/>
    <m/>
    <x v="1"/>
    <n v="89374"/>
  </r>
  <r>
    <x v="1"/>
    <x v="18"/>
    <x v="18"/>
    <x v="5"/>
    <s v="Planeación, seguimiento y evaluación de políticas públicas"/>
    <x v="3"/>
    <x v="538"/>
    <x v="83"/>
    <x v="732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9710"/>
    <n v="0"/>
    <n v="0"/>
    <n v="19710"/>
    <n v="19710"/>
    <m/>
    <x v="1"/>
    <n v="19710"/>
  </r>
  <r>
    <x v="1"/>
    <x v="18"/>
    <x v="18"/>
    <x v="5"/>
    <s v="Planeación, seguimiento y evaluación de políticas públicas"/>
    <x v="3"/>
    <x v="538"/>
    <x v="108"/>
    <x v="681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58000"/>
    <n v="0"/>
    <n v="0"/>
    <n v="158000"/>
    <n v="132000"/>
    <m/>
    <x v="1"/>
    <n v="132000"/>
  </r>
  <r>
    <x v="1"/>
    <x v="18"/>
    <x v="18"/>
    <x v="5"/>
    <s v="Planeación, seguimiento y evaluación de políticas públicas"/>
    <x v="3"/>
    <x v="538"/>
    <x v="109"/>
    <x v="733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44186"/>
    <n v="0"/>
    <n v="0"/>
    <n v="44186"/>
    <n v="44186"/>
    <m/>
    <x v="1"/>
    <n v="44186"/>
  </r>
  <r>
    <x v="1"/>
    <x v="18"/>
    <x v="18"/>
    <x v="5"/>
    <s v="Planeación, seguimiento y evaluación de políticas públicas"/>
    <x v="3"/>
    <x v="538"/>
    <x v="110"/>
    <x v="734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96000"/>
    <n v="0"/>
    <n v="0"/>
    <n v="196000"/>
    <n v="196000"/>
    <m/>
    <x v="1"/>
    <n v="196000"/>
  </r>
  <r>
    <x v="1"/>
    <x v="18"/>
    <x v="18"/>
    <x v="5"/>
    <s v="Planeación, seguimiento y evaluación de políticas públicas"/>
    <x v="3"/>
    <x v="538"/>
    <x v="26"/>
    <x v="682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770068"/>
    <n v="0"/>
    <n v="0"/>
    <n v="770068"/>
    <n v="982546"/>
    <m/>
    <x v="1"/>
    <n v="982546"/>
  </r>
  <r>
    <x v="1"/>
    <x v="18"/>
    <x v="18"/>
    <x v="5"/>
    <s v="Planeación, seguimiento y evaluación de políticas públicas"/>
    <x v="3"/>
    <x v="538"/>
    <x v="27"/>
    <x v="735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88740"/>
    <n v="0"/>
    <n v="0"/>
    <n v="88740"/>
    <n v="88740"/>
    <m/>
    <x v="1"/>
    <n v="88740"/>
  </r>
  <r>
    <x v="1"/>
    <x v="18"/>
    <x v="18"/>
    <x v="5"/>
    <s v="Planeación, seguimiento y evaluación de políticas públicas"/>
    <x v="3"/>
    <x v="538"/>
    <x v="28"/>
    <x v="736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237177"/>
    <n v="0"/>
    <n v="0"/>
    <n v="237177"/>
    <n v="235827"/>
    <m/>
    <x v="1"/>
    <n v="235827"/>
  </r>
  <r>
    <x v="1"/>
    <x v="18"/>
    <x v="18"/>
    <x v="5"/>
    <s v="Planeación, seguimiento y evaluación de políticas públicas"/>
    <x v="3"/>
    <x v="538"/>
    <x v="29"/>
    <x v="683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6800"/>
    <n v="0"/>
    <n v="0"/>
    <n v="6800"/>
    <n v="6800"/>
    <m/>
    <x v="1"/>
    <n v="6800"/>
  </r>
  <r>
    <x v="1"/>
    <x v="18"/>
    <x v="18"/>
    <x v="5"/>
    <s v="Planeación, seguimiento y evaluación de políticas públicas"/>
    <x v="3"/>
    <x v="538"/>
    <x v="111"/>
    <x v="684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28365"/>
    <n v="0"/>
    <n v="0"/>
    <n v="128365"/>
    <n v="128365"/>
    <m/>
    <x v="1"/>
    <n v="128365"/>
  </r>
  <r>
    <x v="1"/>
    <x v="18"/>
    <x v="18"/>
    <x v="5"/>
    <s v="Planeación, seguimiento y evaluación de políticas públicas"/>
    <x v="3"/>
    <x v="538"/>
    <x v="121"/>
    <x v="685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61911"/>
    <n v="0"/>
    <n v="0"/>
    <n v="161911"/>
    <n v="161912"/>
    <m/>
    <x v="1"/>
    <n v="161912"/>
  </r>
  <r>
    <x v="1"/>
    <x v="18"/>
    <x v="18"/>
    <x v="5"/>
    <s v="Planeación, seguimiento y evaluación de políticas públicas"/>
    <x v="3"/>
    <x v="538"/>
    <x v="122"/>
    <x v="737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213430"/>
    <n v="0"/>
    <n v="0"/>
    <n v="213430"/>
    <n v="213430"/>
    <m/>
    <x v="1"/>
    <n v="213430"/>
  </r>
  <r>
    <x v="1"/>
    <x v="18"/>
    <x v="18"/>
    <x v="5"/>
    <s v="Planeación, seguimiento y evaluación de políticas públicas"/>
    <x v="3"/>
    <x v="538"/>
    <x v="113"/>
    <x v="738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344340"/>
    <n v="0"/>
    <n v="0"/>
    <n v="344340"/>
    <n v="304130"/>
    <m/>
    <x v="1"/>
    <n v="304130"/>
  </r>
  <r>
    <x v="1"/>
    <x v="18"/>
    <x v="18"/>
    <x v="5"/>
    <s v="Planeación, seguimiento y evaluación de políticas públicas"/>
    <x v="3"/>
    <x v="538"/>
    <x v="112"/>
    <x v="739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33850"/>
    <n v="0"/>
    <n v="0"/>
    <n v="133850"/>
    <n v="133850"/>
    <m/>
    <x v="1"/>
    <n v="133850"/>
  </r>
  <r>
    <x v="1"/>
    <x v="18"/>
    <x v="18"/>
    <x v="5"/>
    <s v="Planeación, seguimiento y evaluación de políticas públicas"/>
    <x v="3"/>
    <x v="538"/>
    <x v="123"/>
    <x v="740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98275"/>
    <n v="0"/>
    <n v="0"/>
    <n v="98275"/>
    <n v="98275"/>
    <m/>
    <x v="1"/>
    <n v="98275"/>
  </r>
  <r>
    <x v="1"/>
    <x v="18"/>
    <x v="18"/>
    <x v="5"/>
    <s v="Planeación, seguimiento y evaluación de políticas públicas"/>
    <x v="3"/>
    <x v="538"/>
    <x v="116"/>
    <x v="686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244100"/>
    <n v="0"/>
    <n v="0"/>
    <n v="244100"/>
    <n v="258440"/>
    <m/>
    <x v="1"/>
    <n v="258440"/>
  </r>
  <r>
    <x v="1"/>
    <x v="18"/>
    <x v="18"/>
    <x v="5"/>
    <s v="Planeación, seguimiento y evaluación de políticas públicas"/>
    <x v="3"/>
    <x v="538"/>
    <x v="114"/>
    <x v="741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27115"/>
    <n v="0"/>
    <n v="0"/>
    <n v="27115"/>
    <n v="27115"/>
    <m/>
    <x v="1"/>
    <n v="27115"/>
  </r>
  <r>
    <x v="1"/>
    <x v="18"/>
    <x v="18"/>
    <x v="5"/>
    <s v="Planeación, seguimiento y evaluación de políticas públicas"/>
    <x v="3"/>
    <x v="538"/>
    <x v="117"/>
    <x v="687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355533"/>
    <n v="0"/>
    <n v="0"/>
    <n v="355533"/>
    <n v="302922"/>
    <m/>
    <x v="1"/>
    <n v="302922"/>
  </r>
  <r>
    <x v="1"/>
    <x v="18"/>
    <x v="18"/>
    <x v="5"/>
    <s v="Planeación, seguimiento y evaluación de políticas públicas"/>
    <x v="3"/>
    <x v="538"/>
    <x v="124"/>
    <x v="742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48975"/>
    <n v="0"/>
    <n v="0"/>
    <n v="48975"/>
    <n v="77150"/>
    <m/>
    <x v="1"/>
    <n v="77150"/>
  </r>
  <r>
    <x v="1"/>
    <x v="18"/>
    <x v="18"/>
    <x v="5"/>
    <s v="Planeación, seguimiento y evaluación de políticas públicas"/>
    <x v="3"/>
    <x v="538"/>
    <x v="125"/>
    <x v="688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52674"/>
    <n v="0"/>
    <n v="0"/>
    <n v="152674"/>
    <n v="152674"/>
    <m/>
    <x v="1"/>
    <n v="152674"/>
  </r>
  <r>
    <x v="1"/>
    <x v="18"/>
    <x v="18"/>
    <x v="5"/>
    <s v="Planeación, seguimiento y evaluación de políticas públicas"/>
    <x v="3"/>
    <x v="538"/>
    <x v="126"/>
    <x v="743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87700"/>
    <n v="0"/>
    <n v="0"/>
    <n v="87700"/>
    <n v="87700"/>
    <m/>
    <x v="1"/>
    <n v="87700"/>
  </r>
  <r>
    <x v="1"/>
    <x v="18"/>
    <x v="18"/>
    <x v="5"/>
    <s v="Planeación, seguimiento y evaluación de políticas públicas"/>
    <x v="3"/>
    <x v="538"/>
    <x v="127"/>
    <x v="744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01238"/>
    <n v="0"/>
    <n v="0"/>
    <n v="101238"/>
    <n v="101238"/>
    <m/>
    <x v="1"/>
    <n v="101238"/>
  </r>
  <r>
    <x v="1"/>
    <x v="18"/>
    <x v="18"/>
    <x v="5"/>
    <s v="Planeación, seguimiento y evaluación de políticas públicas"/>
    <x v="3"/>
    <x v="538"/>
    <x v="128"/>
    <x v="745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309300"/>
    <n v="0"/>
    <n v="0"/>
    <n v="309300"/>
    <n v="295500"/>
    <m/>
    <x v="1"/>
    <n v="295500"/>
  </r>
  <r>
    <x v="1"/>
    <x v="18"/>
    <x v="18"/>
    <x v="5"/>
    <s v="Planeación, seguimiento y evaluación de políticas públicas"/>
    <x v="3"/>
    <x v="538"/>
    <x v="129"/>
    <x v="746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43485"/>
    <n v="0"/>
    <n v="0"/>
    <n v="43485"/>
    <n v="43485"/>
    <m/>
    <x v="1"/>
    <n v="43485"/>
  </r>
  <r>
    <x v="1"/>
    <x v="18"/>
    <x v="18"/>
    <x v="5"/>
    <s v="Planeación, seguimiento y evaluación de políticas públicas"/>
    <x v="3"/>
    <x v="538"/>
    <x v="130"/>
    <x v="747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83578"/>
    <n v="0"/>
    <n v="0"/>
    <n v="183578"/>
    <n v="183578"/>
    <m/>
    <x v="1"/>
    <n v="183578"/>
  </r>
  <r>
    <x v="1"/>
    <x v="18"/>
    <x v="18"/>
    <x v="5"/>
    <s v="Planeación, seguimiento y evaluación de políticas públicas"/>
    <x v="3"/>
    <x v="538"/>
    <x v="131"/>
    <x v="748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59925"/>
    <n v="0"/>
    <n v="0"/>
    <n v="159925"/>
    <n v="159425"/>
    <m/>
    <x v="1"/>
    <n v="159425"/>
  </r>
  <r>
    <x v="1"/>
    <x v="18"/>
    <x v="18"/>
    <x v="5"/>
    <s v="Planeación, seguimiento y evaluación de políticas públicas"/>
    <x v="3"/>
    <x v="538"/>
    <x v="132"/>
    <x v="749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594540"/>
    <n v="0"/>
    <n v="0"/>
    <n v="594540"/>
    <n v="441140"/>
    <m/>
    <x v="1"/>
    <n v="441140"/>
  </r>
  <r>
    <x v="1"/>
    <x v="18"/>
    <x v="18"/>
    <x v="5"/>
    <s v="Planeación, seguimiento y evaluación de políticas públicas"/>
    <x v="3"/>
    <x v="538"/>
    <x v="133"/>
    <x v="689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89695"/>
    <n v="0"/>
    <n v="0"/>
    <n v="189695"/>
    <n v="189695"/>
    <m/>
    <x v="1"/>
    <n v="189695"/>
  </r>
  <r>
    <x v="1"/>
    <x v="18"/>
    <x v="18"/>
    <x v="5"/>
    <s v="Planeación, seguimiento y evaluación de políticas públicas"/>
    <x v="3"/>
    <x v="538"/>
    <x v="134"/>
    <x v="750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45900"/>
    <n v="0"/>
    <n v="0"/>
    <n v="45900"/>
    <n v="45900"/>
    <m/>
    <x v="1"/>
    <n v="45900"/>
  </r>
  <r>
    <x v="1"/>
    <x v="18"/>
    <x v="18"/>
    <x v="5"/>
    <s v="Planeación, seguimiento y evaluación de políticas públicas"/>
    <x v="3"/>
    <x v="538"/>
    <x v="135"/>
    <x v="751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0"/>
    <m/>
    <n v="111360"/>
    <n v="0"/>
    <n v="0"/>
    <n v="111360"/>
    <n v="111360"/>
    <m/>
    <x v="1"/>
    <n v="111360"/>
  </r>
  <r>
    <x v="1"/>
    <x v="18"/>
    <x v="18"/>
    <x v="5"/>
    <s v="Planeación, seguimiento y evaluación de políticas públicas"/>
    <x v="3"/>
    <x v="538"/>
    <x v="38"/>
    <x v="772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685870"/>
    <n v="0"/>
    <n v="0"/>
    <n v="685870"/>
    <n v="2750640"/>
    <m/>
    <x v="1"/>
    <n v="2750640"/>
  </r>
  <r>
    <x v="1"/>
    <x v="18"/>
    <x v="18"/>
    <x v="5"/>
    <s v="Planeación, seguimiento y evaluación de políticas públicas"/>
    <x v="3"/>
    <x v="538"/>
    <x v="38"/>
    <x v="772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25364973"/>
    <n v="0"/>
    <n v="-435899"/>
    <n v="24929074"/>
    <n v="64736062"/>
    <m/>
    <x v="1"/>
    <n v="64736062"/>
  </r>
  <r>
    <x v="1"/>
    <x v="18"/>
    <x v="18"/>
    <x v="5"/>
    <s v="Planeación, seguimiento y evaluación de políticas públicas"/>
    <x v="3"/>
    <x v="538"/>
    <x v="39"/>
    <x v="773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588200"/>
    <n v="0"/>
    <n v="0"/>
    <n v="588200"/>
    <n v="666079"/>
    <m/>
    <x v="1"/>
    <n v="666079"/>
  </r>
  <r>
    <x v="1"/>
    <x v="18"/>
    <x v="18"/>
    <x v="5"/>
    <s v="Planeación, seguimiento y evaluación de políticas públicas"/>
    <x v="3"/>
    <x v="538"/>
    <x v="39"/>
    <x v="773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16552657"/>
    <n v="1200000"/>
    <n v="-375911"/>
    <n v="17376746"/>
    <n v="16683108"/>
    <m/>
    <x v="1"/>
    <n v="16683108"/>
  </r>
  <r>
    <x v="1"/>
    <x v="18"/>
    <x v="18"/>
    <x v="5"/>
    <s v="Planeación, seguimiento y evaluación de políticas públicas"/>
    <x v="3"/>
    <x v="538"/>
    <x v="56"/>
    <x v="774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550992"/>
    <n v="0"/>
    <n v="0"/>
    <n v="550992"/>
    <n v="643886"/>
    <m/>
    <x v="1"/>
    <n v="643886"/>
  </r>
  <r>
    <x v="1"/>
    <x v="18"/>
    <x v="18"/>
    <x v="5"/>
    <s v="Planeación, seguimiento y evaluación de políticas públicas"/>
    <x v="3"/>
    <x v="538"/>
    <x v="56"/>
    <x v="774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14639415"/>
    <n v="0"/>
    <n v="-490592"/>
    <n v="14148823"/>
    <n v="18229570"/>
    <m/>
    <x v="1"/>
    <n v="18229570"/>
  </r>
  <r>
    <x v="1"/>
    <x v="18"/>
    <x v="18"/>
    <x v="5"/>
    <s v="Planeación, seguimiento y evaluación de políticas públicas"/>
    <x v="3"/>
    <x v="538"/>
    <x v="74"/>
    <x v="775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632349"/>
    <n v="0"/>
    <n v="0"/>
    <n v="632349"/>
    <n v="721065"/>
    <m/>
    <x v="1"/>
    <n v="721065"/>
  </r>
  <r>
    <x v="1"/>
    <x v="18"/>
    <x v="18"/>
    <x v="5"/>
    <s v="Planeación, seguimiento y evaluación de políticas públicas"/>
    <x v="3"/>
    <x v="538"/>
    <x v="74"/>
    <x v="775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21412099"/>
    <n v="0"/>
    <n v="-316114"/>
    <n v="21095985"/>
    <n v="26183568"/>
    <m/>
    <x v="1"/>
    <n v="26183568"/>
  </r>
  <r>
    <x v="1"/>
    <x v="18"/>
    <x v="18"/>
    <x v="5"/>
    <s v="Planeación, seguimiento y evaluación de políticas públicas"/>
    <x v="3"/>
    <x v="538"/>
    <x v="75"/>
    <x v="776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382528"/>
    <n v="0"/>
    <n v="0"/>
    <n v="382528"/>
    <n v="463101"/>
    <m/>
    <x v="1"/>
    <n v="463101"/>
  </r>
  <r>
    <x v="1"/>
    <x v="18"/>
    <x v="18"/>
    <x v="5"/>
    <s v="Planeación, seguimiento y evaluación de políticas públicas"/>
    <x v="3"/>
    <x v="538"/>
    <x v="75"/>
    <x v="776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11035721"/>
    <n v="5000000"/>
    <n v="-282200"/>
    <n v="15753521"/>
    <n v="12603841"/>
    <m/>
    <x v="1"/>
    <n v="12603841"/>
  </r>
  <r>
    <x v="1"/>
    <x v="18"/>
    <x v="18"/>
    <x v="5"/>
    <s v="Planeación, seguimiento y evaluación de políticas públicas"/>
    <x v="3"/>
    <x v="538"/>
    <x v="72"/>
    <x v="777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617647"/>
    <n v="0"/>
    <n v="0"/>
    <n v="617647"/>
    <n v="725215"/>
    <m/>
    <x v="1"/>
    <n v="725215"/>
  </r>
  <r>
    <x v="1"/>
    <x v="18"/>
    <x v="18"/>
    <x v="5"/>
    <s v="Planeación, seguimiento y evaluación de políticas públicas"/>
    <x v="3"/>
    <x v="538"/>
    <x v="72"/>
    <x v="777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17795384"/>
    <n v="0"/>
    <n v="-632522"/>
    <n v="17162862"/>
    <n v="17557432"/>
    <m/>
    <x v="1"/>
    <n v="17557432"/>
  </r>
  <r>
    <x v="1"/>
    <x v="18"/>
    <x v="18"/>
    <x v="5"/>
    <s v="Planeación, seguimiento y evaluación de políticas públicas"/>
    <x v="3"/>
    <x v="538"/>
    <x v="76"/>
    <x v="778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n v="1"/>
    <n v="411697"/>
    <n v="0"/>
    <n v="0"/>
    <n v="411697"/>
    <n v="455848"/>
    <m/>
    <x v="1"/>
    <n v="455848"/>
  </r>
  <r>
    <x v="1"/>
    <x v="18"/>
    <x v="18"/>
    <x v="5"/>
    <s v="Planeación, seguimiento y evaluación de políticas públicas"/>
    <x v="3"/>
    <x v="538"/>
    <x v="76"/>
    <x v="778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n v="1"/>
    <n v="20905497"/>
    <n v="0"/>
    <n v="-205255"/>
    <n v="20700242"/>
    <n v="130769848"/>
    <m/>
    <x v="1"/>
    <n v="130769848"/>
  </r>
  <r>
    <x v="1"/>
    <x v="18"/>
    <x v="18"/>
    <x v="5"/>
    <s v="Planeación, seguimiento y evaluación de políticas públicas"/>
    <x v="3"/>
    <x v="538"/>
    <x v="78"/>
    <x v="779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0"/>
    <m/>
    <n v="305439"/>
    <n v="0"/>
    <n v="0"/>
    <n v="305439"/>
    <n v="316008"/>
    <m/>
    <x v="1"/>
    <n v="316008"/>
  </r>
  <r>
    <x v="1"/>
    <x v="18"/>
    <x v="18"/>
    <x v="5"/>
    <s v="Planeación, seguimiento y evaluación de políticas públicas"/>
    <x v="3"/>
    <x v="538"/>
    <x v="78"/>
    <x v="779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0"/>
    <m/>
    <n v="9162228"/>
    <n v="0"/>
    <n v="-191129"/>
    <n v="8971099"/>
    <n v="10109965"/>
    <m/>
    <x v="1"/>
    <n v="10109965"/>
  </r>
  <r>
    <x v="1"/>
    <x v="18"/>
    <x v="18"/>
    <x v="5"/>
    <s v="Planeación, seguimiento y evaluación de políticas públicas"/>
    <x v="3"/>
    <x v="538"/>
    <x v="64"/>
    <x v="756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n v="1000000"/>
    <n v="0"/>
    <n v="0"/>
    <n v="1000000"/>
    <n v="1000000"/>
    <m/>
    <x v="1"/>
    <n v="1000000"/>
  </r>
  <r>
    <x v="1"/>
    <x v="18"/>
    <x v="18"/>
    <x v="5"/>
    <s v="Planeación, seguimiento y evaluación de políticas públicas"/>
    <x v="3"/>
    <x v="538"/>
    <x v="320"/>
    <x v="690"/>
    <n v="3"/>
    <s v="Desarrollo Económico"/>
    <n v="2"/>
    <s v="Desarrollo Agropecuario y Forestal"/>
    <n v="6"/>
    <x v="64"/>
    <x v="5"/>
    <x v="135"/>
    <n v="1"/>
    <s v="Gasto corriente"/>
    <x v="0"/>
    <x v="1"/>
    <x v="1"/>
    <x v="0"/>
    <x v="1"/>
    <x v="0"/>
    <x v="0"/>
    <m/>
    <x v="0"/>
    <x v="0"/>
    <m/>
    <n v="649386"/>
    <n v="0"/>
    <n v="0"/>
    <n v="649386"/>
    <m/>
    <m/>
    <x v="1"/>
    <n v="0"/>
  </r>
  <r>
    <x v="1"/>
    <x v="18"/>
    <x v="18"/>
    <x v="5"/>
    <s v="Planeación, seguimiento y evaluación de políticas públicas"/>
    <x v="3"/>
    <x v="538"/>
    <x v="320"/>
    <x v="690"/>
    <n v="3"/>
    <s v="Desarrollo Económico"/>
    <n v="2"/>
    <s v="Desarrollo Agropecuario y Forestal"/>
    <n v="6"/>
    <x v="64"/>
    <x v="5"/>
    <x v="135"/>
    <n v="1"/>
    <s v="Gasto corriente"/>
    <x v="0"/>
    <x v="0"/>
    <x v="1"/>
    <x v="0"/>
    <x v="1"/>
    <x v="0"/>
    <x v="0"/>
    <m/>
    <x v="0"/>
    <x v="0"/>
    <m/>
    <n v="111711971"/>
    <n v="0"/>
    <n v="-250000"/>
    <n v="111461971"/>
    <m/>
    <m/>
    <x v="1"/>
    <n v="0"/>
  </r>
  <r>
    <x v="1"/>
    <x v="18"/>
    <x v="18"/>
    <x v="5"/>
    <s v="Planeación, seguimiento y evaluación de políticas públicas"/>
    <x v="3"/>
    <x v="538"/>
    <x v="320"/>
    <x v="690"/>
    <n v="3"/>
    <s v="Desarrollo Económico"/>
    <n v="2"/>
    <s v="Desarrollo Agropecuario y Forestal"/>
    <n v="6"/>
    <x v="64"/>
    <x v="5"/>
    <x v="135"/>
    <n v="2"/>
    <s v="Gasto de capital"/>
    <x v="0"/>
    <x v="0"/>
    <x v="1"/>
    <x v="0"/>
    <x v="1"/>
    <x v="0"/>
    <x v="0"/>
    <m/>
    <x v="0"/>
    <x v="0"/>
    <m/>
    <n v="620100"/>
    <n v="0"/>
    <n v="0"/>
    <n v="620100"/>
    <m/>
    <m/>
    <x v="1"/>
    <n v="0"/>
  </r>
  <r>
    <x v="1"/>
    <x v="18"/>
    <x v="18"/>
    <x v="5"/>
    <s v="Planeación, seguimiento y evaluación de políticas públicas"/>
    <x v="6"/>
    <x v="539"/>
    <x v="38"/>
    <x v="77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1"/>
    <m/>
    <n v="58609230"/>
    <n v="6533086"/>
    <n v="0"/>
    <n v="65142316"/>
    <m/>
    <m/>
    <x v="1"/>
    <n v="0"/>
  </r>
  <r>
    <x v="1"/>
    <x v="18"/>
    <x v="18"/>
    <x v="5"/>
    <s v="Planeación, seguimiento y evaluación de políticas públicas"/>
    <x v="6"/>
    <x v="539"/>
    <x v="38"/>
    <x v="772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0"/>
    <x v="0"/>
    <x v="0"/>
    <m/>
    <x v="0"/>
    <x v="1"/>
    <m/>
    <n v="0"/>
    <n v="17372600"/>
    <n v="0"/>
    <n v="17372600"/>
    <m/>
    <m/>
    <x v="1"/>
    <n v="0"/>
  </r>
  <r>
    <x v="1"/>
    <x v="18"/>
    <x v="18"/>
    <x v="5"/>
    <s v="Planeación, seguimiento y evaluación de políticas públicas"/>
    <x v="6"/>
    <x v="539"/>
    <x v="40"/>
    <x v="725"/>
    <n v="3"/>
    <s v="Desarrollo Económico"/>
    <n v="7"/>
    <s v="Ciencia y Tecnología"/>
    <n v="1"/>
    <x v="33"/>
    <x v="4"/>
    <x v="136"/>
    <n v="1"/>
    <s v="Gasto corriente"/>
    <x v="0"/>
    <x v="0"/>
    <x v="0"/>
    <x v="1"/>
    <x v="0"/>
    <x v="0"/>
    <x v="0"/>
    <m/>
    <x v="0"/>
    <x v="1"/>
    <m/>
    <n v="15107000"/>
    <n v="0"/>
    <n v="0"/>
    <n v="15107000"/>
    <n v="11307000"/>
    <m/>
    <x v="1"/>
    <n v="11307000"/>
  </r>
  <r>
    <x v="1"/>
    <x v="18"/>
    <x v="18"/>
    <x v="1"/>
    <s v="Específicos"/>
    <x v="15"/>
    <x v="189"/>
    <x v="15"/>
    <x v="770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57073347"/>
    <n v="0"/>
    <n v="-28536674"/>
    <n v="28536673"/>
    <n v="48536673"/>
    <m/>
    <x v="1"/>
    <n v="48536673"/>
  </r>
  <r>
    <x v="1"/>
    <x v="18"/>
    <x v="18"/>
    <x v="1"/>
    <s v="Específicos"/>
    <x v="15"/>
    <x v="189"/>
    <x v="6"/>
    <x v="77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7450000"/>
    <n v="0"/>
    <n v="0"/>
    <n v="7450000"/>
    <n v="7450000"/>
    <m/>
    <x v="1"/>
    <n v="7450000"/>
  </r>
  <r>
    <x v="1"/>
    <x v="18"/>
    <x v="18"/>
    <x v="1"/>
    <s v="Específicos"/>
    <x v="15"/>
    <x v="189"/>
    <x v="38"/>
    <x v="77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2398106"/>
    <n v="0"/>
    <n v="0"/>
    <n v="2398106"/>
    <n v="22398106"/>
    <m/>
    <x v="1"/>
    <n v="22398106"/>
  </r>
  <r>
    <x v="1"/>
    <x v="18"/>
    <x v="18"/>
    <x v="1"/>
    <s v="Específicos"/>
    <x v="15"/>
    <x v="189"/>
    <x v="360"/>
    <x v="76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415000"/>
    <n v="0"/>
    <n v="0"/>
    <n v="415000"/>
    <n v="323252"/>
    <m/>
    <x v="1"/>
    <n v="323252"/>
  </r>
  <r>
    <x v="1"/>
    <x v="18"/>
    <x v="18"/>
    <x v="1"/>
    <s v="Específicos"/>
    <x v="15"/>
    <x v="189"/>
    <x v="322"/>
    <x v="69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21800009"/>
    <n v="0"/>
    <n v="0"/>
    <n v="21800009"/>
    <n v="46866190"/>
    <m/>
    <x v="1"/>
    <n v="46866190"/>
  </r>
  <r>
    <x v="1"/>
    <x v="18"/>
    <x v="18"/>
    <x v="1"/>
    <s v="Específicos"/>
    <x v="15"/>
    <x v="189"/>
    <x v="323"/>
    <x v="69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50000"/>
    <n v="0"/>
    <n v="0"/>
    <n v="50000"/>
    <n v="50000"/>
    <m/>
    <x v="1"/>
    <n v="50000"/>
  </r>
  <r>
    <x v="1"/>
    <x v="18"/>
    <x v="18"/>
    <x v="1"/>
    <s v="Específicos"/>
    <x v="15"/>
    <x v="189"/>
    <x v="353"/>
    <x v="72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0000000"/>
    <m/>
    <x v="1"/>
    <n v="20000000"/>
  </r>
  <r>
    <x v="1"/>
    <x v="18"/>
    <x v="18"/>
    <x v="1"/>
    <s v="Específicos"/>
    <x v="15"/>
    <x v="189"/>
    <x v="36"/>
    <x v="764"/>
    <n v="3"/>
    <s v="Desarrollo Económico"/>
    <n v="9"/>
    <s v="Desarrollo Sustentable"/>
    <n v="2"/>
    <x v="63"/>
    <x v="9"/>
    <x v="138"/>
    <n v="1"/>
    <s v="Gasto corriente"/>
    <x v="0"/>
    <x v="0"/>
    <x v="0"/>
    <x v="0"/>
    <x v="1"/>
    <x v="0"/>
    <x v="0"/>
    <m/>
    <x v="0"/>
    <x v="0"/>
    <m/>
    <n v="41000000"/>
    <n v="0"/>
    <n v="0"/>
    <n v="41000000"/>
    <n v="41000000"/>
    <m/>
    <x v="1"/>
    <n v="41000000"/>
  </r>
  <r>
    <x v="1"/>
    <x v="18"/>
    <x v="18"/>
    <x v="1"/>
    <s v="Específicos"/>
    <x v="15"/>
    <x v="189"/>
    <x v="320"/>
    <x v="690"/>
    <n v="3"/>
    <s v="Desarrollo Económico"/>
    <n v="2"/>
    <s v="Desarrollo Agropecuario y Forestal"/>
    <n v="6"/>
    <x v="64"/>
    <x v="5"/>
    <x v="135"/>
    <n v="1"/>
    <s v="Gasto corriente"/>
    <x v="0"/>
    <x v="0"/>
    <x v="0"/>
    <x v="0"/>
    <x v="1"/>
    <x v="0"/>
    <x v="0"/>
    <m/>
    <x v="0"/>
    <x v="0"/>
    <m/>
    <n v="4000000"/>
    <n v="0"/>
    <n v="0"/>
    <n v="4000000"/>
    <n v="4000000"/>
    <m/>
    <x v="1"/>
    <n v="4000000"/>
  </r>
  <r>
    <x v="1"/>
    <x v="18"/>
    <x v="18"/>
    <x v="11"/>
    <s v="Sujetos a Reglas de Operación"/>
    <x v="76"/>
    <x v="540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0"/>
    <x v="0"/>
    <x v="0"/>
    <x v="1"/>
    <x v="0"/>
    <x v="0"/>
    <m/>
    <x v="0"/>
    <x v="1"/>
    <m/>
    <m/>
    <m/>
    <m/>
    <m/>
    <n v="23880000"/>
    <m/>
    <x v="1"/>
    <n v="23880000"/>
  </r>
  <r>
    <x v="1"/>
    <x v="18"/>
    <x v="18"/>
    <x v="11"/>
    <s v="Sujetos a Reglas de Operación"/>
    <x v="76"/>
    <x v="540"/>
    <x v="320"/>
    <x v="690"/>
    <n v="3"/>
    <s v="Desarrollo Económico"/>
    <n v="2"/>
    <s v="Desarrollo Agropecuario y Forestal"/>
    <n v="6"/>
    <x v="64"/>
    <x v="0"/>
    <x v="134"/>
    <n v="2"/>
    <s v="Gasto de capital"/>
    <x v="0"/>
    <x v="0"/>
    <x v="1"/>
    <x v="0"/>
    <x v="1"/>
    <x v="0"/>
    <x v="0"/>
    <m/>
    <x v="0"/>
    <x v="1"/>
    <m/>
    <n v="607434866"/>
    <n v="0"/>
    <n v="-20000000"/>
    <n v="587434866"/>
    <n v="573120000"/>
    <m/>
    <x v="1"/>
    <n v="573120000"/>
  </r>
  <r>
    <x v="1"/>
    <x v="18"/>
    <x v="18"/>
    <x v="11"/>
    <s v="Sujetos a Reglas de Operación"/>
    <x v="68"/>
    <x v="541"/>
    <x v="36"/>
    <x v="764"/>
    <n v="3"/>
    <s v="Desarrollo Económico"/>
    <n v="9"/>
    <s v="Desarrollo Sustentable"/>
    <n v="2"/>
    <x v="63"/>
    <x v="9"/>
    <x v="138"/>
    <n v="2"/>
    <s v="Gasto de capital"/>
    <x v="0"/>
    <x v="0"/>
    <x v="1"/>
    <x v="0"/>
    <x v="1"/>
    <x v="0"/>
    <x v="1"/>
    <m/>
    <x v="0"/>
    <x v="1"/>
    <m/>
    <n v="160000000"/>
    <n v="0"/>
    <n v="-1494032"/>
    <n v="158505968"/>
    <n v="210000000"/>
    <m/>
    <x v="1"/>
    <n v="210000000"/>
  </r>
  <r>
    <x v="1"/>
    <x v="18"/>
    <x v="18"/>
    <x v="11"/>
    <s v="Sujetos a Reglas de Operación"/>
    <x v="69"/>
    <x v="542"/>
    <x v="354"/>
    <x v="72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n v="30553520"/>
    <n v="6799380"/>
    <n v="0"/>
    <n v="37352900"/>
    <n v="31629616"/>
    <m/>
    <x v="1"/>
    <n v="31629616"/>
  </r>
  <r>
    <x v="1"/>
    <x v="18"/>
    <x v="18"/>
    <x v="11"/>
    <s v="Sujetos a Reglas de Operación"/>
    <x v="69"/>
    <x v="542"/>
    <x v="325"/>
    <x v="69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241878"/>
    <m/>
    <x v="1"/>
    <n v="1241878"/>
  </r>
  <r>
    <x v="1"/>
    <x v="18"/>
    <x v="18"/>
    <x v="11"/>
    <s v="Sujetos a Reglas de Operación"/>
    <x v="69"/>
    <x v="542"/>
    <x v="326"/>
    <x v="696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666958"/>
    <m/>
    <x v="1"/>
    <n v="1666958"/>
  </r>
  <r>
    <x v="1"/>
    <x v="18"/>
    <x v="18"/>
    <x v="11"/>
    <s v="Sujetos a Reglas de Operación"/>
    <x v="69"/>
    <x v="542"/>
    <x v="327"/>
    <x v="69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347397"/>
    <m/>
    <x v="1"/>
    <n v="1347397"/>
  </r>
  <r>
    <x v="1"/>
    <x v="18"/>
    <x v="18"/>
    <x v="11"/>
    <s v="Sujetos a Reglas de Operación"/>
    <x v="69"/>
    <x v="542"/>
    <x v="328"/>
    <x v="69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034747"/>
    <m/>
    <x v="1"/>
    <n v="1034747"/>
  </r>
  <r>
    <x v="1"/>
    <x v="18"/>
    <x v="18"/>
    <x v="11"/>
    <s v="Sujetos a Reglas de Operación"/>
    <x v="69"/>
    <x v="542"/>
    <x v="329"/>
    <x v="69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918097"/>
    <m/>
    <x v="1"/>
    <n v="918097"/>
  </r>
  <r>
    <x v="1"/>
    <x v="18"/>
    <x v="18"/>
    <x v="11"/>
    <s v="Sujetos a Reglas de Operación"/>
    <x v="69"/>
    <x v="542"/>
    <x v="330"/>
    <x v="700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103893"/>
    <m/>
    <x v="1"/>
    <n v="1103893"/>
  </r>
  <r>
    <x v="1"/>
    <x v="18"/>
    <x v="18"/>
    <x v="11"/>
    <s v="Sujetos a Reglas de Operación"/>
    <x v="69"/>
    <x v="542"/>
    <x v="332"/>
    <x v="702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833601"/>
    <m/>
    <x v="1"/>
    <n v="833601"/>
  </r>
  <r>
    <x v="1"/>
    <x v="18"/>
    <x v="18"/>
    <x v="11"/>
    <s v="Sujetos a Reglas de Operación"/>
    <x v="69"/>
    <x v="542"/>
    <x v="335"/>
    <x v="70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592529"/>
    <m/>
    <x v="1"/>
    <n v="592529"/>
  </r>
  <r>
    <x v="1"/>
    <x v="18"/>
    <x v="18"/>
    <x v="11"/>
    <s v="Sujetos a Reglas de Operación"/>
    <x v="69"/>
    <x v="542"/>
    <x v="337"/>
    <x v="70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790338"/>
    <m/>
    <x v="1"/>
    <n v="790338"/>
  </r>
  <r>
    <x v="1"/>
    <x v="18"/>
    <x v="18"/>
    <x v="11"/>
    <s v="Sujetos a Reglas de Operación"/>
    <x v="69"/>
    <x v="542"/>
    <x v="339"/>
    <x v="70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708521"/>
    <m/>
    <x v="1"/>
    <n v="708521"/>
  </r>
  <r>
    <x v="1"/>
    <x v="18"/>
    <x v="18"/>
    <x v="11"/>
    <s v="Sujetos a Reglas de Operación"/>
    <x v="69"/>
    <x v="542"/>
    <x v="341"/>
    <x v="711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754868"/>
    <m/>
    <x v="1"/>
    <n v="754868"/>
  </r>
  <r>
    <x v="1"/>
    <x v="18"/>
    <x v="18"/>
    <x v="11"/>
    <s v="Sujetos a Reglas de Operación"/>
    <x v="69"/>
    <x v="542"/>
    <x v="319"/>
    <x v="67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079542"/>
    <m/>
    <x v="1"/>
    <n v="1079542"/>
  </r>
  <r>
    <x v="1"/>
    <x v="18"/>
    <x v="18"/>
    <x v="11"/>
    <s v="Sujetos a Reglas de Operación"/>
    <x v="69"/>
    <x v="542"/>
    <x v="345"/>
    <x v="71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034655"/>
    <m/>
    <x v="1"/>
    <n v="1034655"/>
  </r>
  <r>
    <x v="1"/>
    <x v="18"/>
    <x v="18"/>
    <x v="11"/>
    <s v="Sujetos a Reglas de Operación"/>
    <x v="69"/>
    <x v="542"/>
    <x v="346"/>
    <x v="716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669470"/>
    <m/>
    <x v="1"/>
    <n v="2669470"/>
  </r>
  <r>
    <x v="1"/>
    <x v="18"/>
    <x v="18"/>
    <x v="11"/>
    <s v="Sujetos a Reglas de Operación"/>
    <x v="69"/>
    <x v="542"/>
    <x v="347"/>
    <x v="71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022634"/>
    <m/>
    <x v="1"/>
    <n v="1022634"/>
  </r>
  <r>
    <x v="1"/>
    <x v="18"/>
    <x v="18"/>
    <x v="11"/>
    <s v="Sujetos a Reglas de Operación"/>
    <x v="69"/>
    <x v="542"/>
    <x v="348"/>
    <x v="71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126782"/>
    <m/>
    <x v="1"/>
    <n v="1126782"/>
  </r>
  <r>
    <x v="1"/>
    <x v="18"/>
    <x v="18"/>
    <x v="11"/>
    <s v="Sujetos a Reglas de Operación"/>
    <x v="69"/>
    <x v="542"/>
    <x v="350"/>
    <x v="720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616980"/>
    <m/>
    <x v="1"/>
    <n v="1616980"/>
  </r>
  <r>
    <x v="1"/>
    <x v="18"/>
    <x v="18"/>
    <x v="11"/>
    <s v="Sujetos a Reglas de Operación"/>
    <x v="69"/>
    <x v="542"/>
    <x v="352"/>
    <x v="722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918016"/>
    <m/>
    <x v="1"/>
    <n v="918016"/>
  </r>
  <r>
    <x v="1"/>
    <x v="18"/>
    <x v="18"/>
    <x v="11"/>
    <s v="Sujetos a Reglas de Operación"/>
    <x v="62"/>
    <x v="246"/>
    <x v="84"/>
    <x v="752"/>
    <n v="3"/>
    <s v="Desarrollo Económico"/>
    <n v="9"/>
    <s v="Desarrollo Sustentable"/>
    <n v="2"/>
    <x v="63"/>
    <x v="9"/>
    <x v="138"/>
    <n v="1"/>
    <s v="Gasto corriente"/>
    <x v="0"/>
    <x v="0"/>
    <x v="1"/>
    <x v="0"/>
    <x v="1"/>
    <x v="0"/>
    <x v="1"/>
    <m/>
    <x v="0"/>
    <x v="0"/>
    <m/>
    <n v="380000000"/>
    <n v="0"/>
    <n v="0"/>
    <n v="380000000"/>
    <n v="479600000"/>
    <m/>
    <x v="1"/>
    <n v="479600000"/>
  </r>
  <r>
    <x v="1"/>
    <x v="18"/>
    <x v="18"/>
    <x v="11"/>
    <s v="Sujetos a Reglas de Operación"/>
    <x v="62"/>
    <x v="246"/>
    <x v="84"/>
    <x v="752"/>
    <n v="3"/>
    <s v="Desarrollo Económico"/>
    <n v="9"/>
    <s v="Desarrollo Sustentable"/>
    <n v="2"/>
    <x v="63"/>
    <x v="9"/>
    <x v="138"/>
    <n v="1"/>
    <s v="Gasto corriente"/>
    <x v="0"/>
    <x v="0"/>
    <x v="0"/>
    <x v="0"/>
    <x v="1"/>
    <x v="0"/>
    <x v="1"/>
    <m/>
    <x v="0"/>
    <x v="0"/>
    <m/>
    <m/>
    <m/>
    <m/>
    <m/>
    <n v="400000"/>
    <m/>
    <x v="1"/>
    <n v="400000"/>
  </r>
  <r>
    <x v="1"/>
    <x v="18"/>
    <x v="18"/>
    <x v="11"/>
    <s v="Sujetos a Reglas de Operación"/>
    <x v="62"/>
    <x v="246"/>
    <x v="318"/>
    <x v="67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2114940"/>
    <m/>
    <x v="1"/>
    <n v="2114940"/>
  </r>
  <r>
    <x v="1"/>
    <x v="18"/>
    <x v="18"/>
    <x v="11"/>
    <s v="Sujetos a Reglas de Operación"/>
    <x v="62"/>
    <x v="246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5109179"/>
    <m/>
    <x v="1"/>
    <n v="5109179"/>
  </r>
  <r>
    <x v="1"/>
    <x v="18"/>
    <x v="18"/>
    <x v="11"/>
    <s v="Sujetos a Reglas de Operación"/>
    <x v="62"/>
    <x v="246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1957172"/>
    <m/>
    <x v="1"/>
    <n v="1957172"/>
  </r>
  <r>
    <x v="1"/>
    <x v="18"/>
    <x v="18"/>
    <x v="11"/>
    <s v="Sujetos a Reglas de Operación"/>
    <x v="62"/>
    <x v="246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1935301"/>
    <m/>
    <x v="1"/>
    <n v="1935301"/>
  </r>
  <r>
    <x v="1"/>
    <x v="18"/>
    <x v="18"/>
    <x v="11"/>
    <s v="Sujetos a Reglas de Operación"/>
    <x v="62"/>
    <x v="246"/>
    <x v="336"/>
    <x v="70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737863"/>
    <m/>
    <x v="1"/>
    <n v="737863"/>
  </r>
  <r>
    <x v="1"/>
    <x v="18"/>
    <x v="18"/>
    <x v="11"/>
    <s v="Sujetos a Reglas de Operación"/>
    <x v="62"/>
    <x v="246"/>
    <x v="337"/>
    <x v="70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704530"/>
    <m/>
    <x v="1"/>
    <n v="704530"/>
  </r>
  <r>
    <x v="1"/>
    <x v="18"/>
    <x v="18"/>
    <x v="11"/>
    <s v="Sujetos a Reglas de Operación"/>
    <x v="62"/>
    <x v="246"/>
    <x v="339"/>
    <x v="70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4136814"/>
    <m/>
    <x v="1"/>
    <n v="4136814"/>
  </r>
  <r>
    <x v="1"/>
    <x v="18"/>
    <x v="18"/>
    <x v="11"/>
    <s v="Sujetos a Reglas de Operación"/>
    <x v="62"/>
    <x v="246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1"/>
    <x v="0"/>
    <x v="0"/>
    <m/>
    <x v="0"/>
    <x v="0"/>
    <m/>
    <m/>
    <m/>
    <m/>
    <m/>
    <n v="2185153"/>
    <m/>
    <x v="1"/>
    <n v="2185153"/>
  </r>
  <r>
    <x v="1"/>
    <x v="18"/>
    <x v="18"/>
    <x v="11"/>
    <s v="Sujetos a Reglas de Operación"/>
    <x v="127"/>
    <x v="543"/>
    <x v="354"/>
    <x v="72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n v="3862720000"/>
    <n v="1957554719"/>
    <n v="46059087"/>
    <n v="5866333806"/>
    <n v="628261190"/>
    <m/>
    <x v="1"/>
    <n v="628261190"/>
  </r>
  <r>
    <x v="1"/>
    <x v="18"/>
    <x v="18"/>
    <x v="11"/>
    <s v="Sujetos a Reglas de Operación"/>
    <x v="127"/>
    <x v="543"/>
    <x v="318"/>
    <x v="67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14072854"/>
    <m/>
    <x v="1"/>
    <n v="114072854"/>
  </r>
  <r>
    <x v="1"/>
    <x v="18"/>
    <x v="18"/>
    <x v="11"/>
    <s v="Sujetos a Reglas de Operación"/>
    <x v="127"/>
    <x v="543"/>
    <x v="325"/>
    <x v="69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8584675"/>
    <m/>
    <x v="1"/>
    <n v="38584675"/>
  </r>
  <r>
    <x v="1"/>
    <x v="18"/>
    <x v="18"/>
    <x v="11"/>
    <s v="Sujetos a Reglas de Operación"/>
    <x v="127"/>
    <x v="543"/>
    <x v="326"/>
    <x v="696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8253050"/>
    <m/>
    <x v="1"/>
    <n v="78253050"/>
  </r>
  <r>
    <x v="1"/>
    <x v="18"/>
    <x v="18"/>
    <x v="11"/>
    <s v="Sujetos a Reglas de Operación"/>
    <x v="127"/>
    <x v="543"/>
    <x v="327"/>
    <x v="69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8572961"/>
    <m/>
    <x v="1"/>
    <n v="58572961"/>
  </r>
  <r>
    <x v="1"/>
    <x v="18"/>
    <x v="18"/>
    <x v="11"/>
    <s v="Sujetos a Reglas de Operación"/>
    <x v="127"/>
    <x v="543"/>
    <x v="328"/>
    <x v="69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0322085"/>
    <m/>
    <x v="1"/>
    <n v="30322085"/>
  </r>
  <r>
    <x v="1"/>
    <x v="18"/>
    <x v="18"/>
    <x v="11"/>
    <s v="Sujetos a Reglas de Operación"/>
    <x v="127"/>
    <x v="543"/>
    <x v="329"/>
    <x v="69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5098619"/>
    <m/>
    <x v="1"/>
    <n v="25098619"/>
  </r>
  <r>
    <x v="1"/>
    <x v="18"/>
    <x v="18"/>
    <x v="11"/>
    <s v="Sujetos a Reglas de Operación"/>
    <x v="127"/>
    <x v="543"/>
    <x v="330"/>
    <x v="700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8429028"/>
    <m/>
    <x v="1"/>
    <n v="28429028"/>
  </r>
  <r>
    <x v="1"/>
    <x v="18"/>
    <x v="18"/>
    <x v="11"/>
    <s v="Sujetos a Reglas de Operación"/>
    <x v="127"/>
    <x v="543"/>
    <x v="332"/>
    <x v="702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9165335"/>
    <m/>
    <x v="1"/>
    <n v="49165335"/>
  </r>
  <r>
    <x v="1"/>
    <x v="18"/>
    <x v="18"/>
    <x v="11"/>
    <s v="Sujetos a Reglas de Operación"/>
    <x v="127"/>
    <x v="543"/>
    <x v="334"/>
    <x v="70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97649626"/>
    <m/>
    <x v="1"/>
    <n v="97649626"/>
  </r>
  <r>
    <x v="1"/>
    <x v="18"/>
    <x v="18"/>
    <x v="11"/>
    <s v="Sujetos a Reglas de Operación"/>
    <x v="127"/>
    <x v="543"/>
    <x v="337"/>
    <x v="70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9587672"/>
    <m/>
    <x v="1"/>
    <n v="39587672"/>
  </r>
  <r>
    <x v="1"/>
    <x v="18"/>
    <x v="18"/>
    <x v="11"/>
    <s v="Sujetos a Reglas de Operación"/>
    <x v="127"/>
    <x v="543"/>
    <x v="339"/>
    <x v="70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9307226"/>
    <m/>
    <x v="1"/>
    <n v="49307226"/>
  </r>
  <r>
    <x v="1"/>
    <x v="18"/>
    <x v="18"/>
    <x v="11"/>
    <s v="Sujetos a Reglas de Operación"/>
    <x v="127"/>
    <x v="543"/>
    <x v="341"/>
    <x v="711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5822988"/>
    <m/>
    <x v="1"/>
    <n v="45822988"/>
  </r>
  <r>
    <x v="1"/>
    <x v="18"/>
    <x v="18"/>
    <x v="11"/>
    <s v="Sujetos a Reglas de Operación"/>
    <x v="127"/>
    <x v="543"/>
    <x v="319"/>
    <x v="67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96876283"/>
    <m/>
    <x v="1"/>
    <n v="96876283"/>
  </r>
  <r>
    <x v="1"/>
    <x v="18"/>
    <x v="18"/>
    <x v="11"/>
    <s v="Sujetos a Reglas de Operación"/>
    <x v="127"/>
    <x v="543"/>
    <x v="342"/>
    <x v="712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1576"/>
    <m/>
    <x v="1"/>
    <n v="11576"/>
  </r>
  <r>
    <x v="1"/>
    <x v="18"/>
    <x v="18"/>
    <x v="11"/>
    <s v="Sujetos a Reglas de Operación"/>
    <x v="127"/>
    <x v="543"/>
    <x v="344"/>
    <x v="71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3276845"/>
    <m/>
    <x v="1"/>
    <n v="43276845"/>
  </r>
  <r>
    <x v="1"/>
    <x v="18"/>
    <x v="18"/>
    <x v="11"/>
    <s v="Sujetos a Reglas de Operación"/>
    <x v="127"/>
    <x v="543"/>
    <x v="345"/>
    <x v="71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1993151"/>
    <m/>
    <x v="1"/>
    <n v="21993151"/>
  </r>
  <r>
    <x v="1"/>
    <x v="18"/>
    <x v="18"/>
    <x v="11"/>
    <s v="Sujetos a Reglas de Operación"/>
    <x v="127"/>
    <x v="543"/>
    <x v="346"/>
    <x v="716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41761972"/>
    <m/>
    <x v="1"/>
    <n v="141761972"/>
  </r>
  <r>
    <x v="1"/>
    <x v="18"/>
    <x v="18"/>
    <x v="11"/>
    <s v="Sujetos a Reglas de Operación"/>
    <x v="127"/>
    <x v="543"/>
    <x v="347"/>
    <x v="71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60541619"/>
    <m/>
    <x v="1"/>
    <n v="60541619"/>
  </r>
  <r>
    <x v="1"/>
    <x v="18"/>
    <x v="18"/>
    <x v="11"/>
    <s v="Sujetos a Reglas de Operación"/>
    <x v="127"/>
    <x v="543"/>
    <x v="348"/>
    <x v="71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5394592"/>
    <m/>
    <x v="1"/>
    <n v="35394592"/>
  </r>
  <r>
    <x v="1"/>
    <x v="18"/>
    <x v="18"/>
    <x v="11"/>
    <s v="Sujetos a Reglas de Operación"/>
    <x v="127"/>
    <x v="543"/>
    <x v="350"/>
    <x v="720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90503083"/>
    <m/>
    <x v="1"/>
    <n v="90503083"/>
  </r>
  <r>
    <x v="1"/>
    <x v="18"/>
    <x v="18"/>
    <x v="11"/>
    <s v="Sujetos a Reglas de Operación"/>
    <x v="127"/>
    <x v="543"/>
    <x v="352"/>
    <x v="722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80526216"/>
    <m/>
    <x v="1"/>
    <n v="80526216"/>
  </r>
  <r>
    <x v="1"/>
    <x v="18"/>
    <x v="18"/>
    <x v="11"/>
    <s v="Sujetos a Reglas de Operación"/>
    <x v="128"/>
    <x v="544"/>
    <x v="354"/>
    <x v="724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n v="2098023822"/>
    <n v="0"/>
    <n v="-46059087"/>
    <n v="2051964735"/>
    <n v="996178175"/>
    <m/>
    <x v="1"/>
    <n v="996178175"/>
  </r>
  <r>
    <x v="1"/>
    <x v="18"/>
    <x v="18"/>
    <x v="11"/>
    <s v="Sujetos a Reglas de Operación"/>
    <x v="128"/>
    <x v="544"/>
    <x v="325"/>
    <x v="695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0078169"/>
    <m/>
    <x v="1"/>
    <n v="30078169"/>
  </r>
  <r>
    <x v="1"/>
    <x v="18"/>
    <x v="18"/>
    <x v="11"/>
    <s v="Sujetos a Reglas de Operación"/>
    <x v="128"/>
    <x v="544"/>
    <x v="326"/>
    <x v="696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68746115"/>
    <m/>
    <x v="1"/>
    <n v="68746115"/>
  </r>
  <r>
    <x v="1"/>
    <x v="18"/>
    <x v="18"/>
    <x v="11"/>
    <s v="Sujetos a Reglas de Operación"/>
    <x v="128"/>
    <x v="544"/>
    <x v="327"/>
    <x v="697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66666087"/>
    <m/>
    <x v="1"/>
    <n v="66666087"/>
  </r>
  <r>
    <x v="1"/>
    <x v="18"/>
    <x v="18"/>
    <x v="11"/>
    <s v="Sujetos a Reglas de Operación"/>
    <x v="128"/>
    <x v="544"/>
    <x v="328"/>
    <x v="698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0910155"/>
    <m/>
    <x v="1"/>
    <n v="30910155"/>
  </r>
  <r>
    <x v="1"/>
    <x v="18"/>
    <x v="18"/>
    <x v="11"/>
    <s v="Sujetos a Reglas de Operación"/>
    <x v="128"/>
    <x v="544"/>
    <x v="329"/>
    <x v="699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7024645"/>
    <m/>
    <x v="1"/>
    <n v="17024645"/>
  </r>
  <r>
    <x v="1"/>
    <x v="18"/>
    <x v="18"/>
    <x v="11"/>
    <s v="Sujetos a Reglas de Operación"/>
    <x v="128"/>
    <x v="544"/>
    <x v="330"/>
    <x v="700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4029907"/>
    <m/>
    <x v="1"/>
    <n v="24029907"/>
  </r>
  <r>
    <x v="1"/>
    <x v="18"/>
    <x v="18"/>
    <x v="11"/>
    <s v="Sujetos a Reglas de Operación"/>
    <x v="128"/>
    <x v="544"/>
    <x v="331"/>
    <x v="701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9286500"/>
    <m/>
    <x v="1"/>
    <n v="9286500"/>
  </r>
  <r>
    <x v="1"/>
    <x v="18"/>
    <x v="18"/>
    <x v="11"/>
    <s v="Sujetos a Reglas de Operación"/>
    <x v="128"/>
    <x v="544"/>
    <x v="332"/>
    <x v="702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0186228"/>
    <m/>
    <x v="1"/>
    <n v="20186228"/>
  </r>
  <r>
    <x v="1"/>
    <x v="18"/>
    <x v="18"/>
    <x v="11"/>
    <s v="Sujetos a Reglas de Operación"/>
    <x v="128"/>
    <x v="544"/>
    <x v="337"/>
    <x v="707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0186228"/>
    <m/>
    <x v="1"/>
    <n v="20186228"/>
  </r>
  <r>
    <x v="1"/>
    <x v="18"/>
    <x v="18"/>
    <x v="11"/>
    <s v="Sujetos a Reglas de Operación"/>
    <x v="128"/>
    <x v="544"/>
    <x v="339"/>
    <x v="709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6412128"/>
    <m/>
    <x v="1"/>
    <n v="16412128"/>
  </r>
  <r>
    <x v="1"/>
    <x v="18"/>
    <x v="18"/>
    <x v="11"/>
    <s v="Sujetos a Reglas de Operación"/>
    <x v="128"/>
    <x v="544"/>
    <x v="341"/>
    <x v="711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1766934"/>
    <m/>
    <x v="1"/>
    <n v="41766934"/>
  </r>
  <r>
    <x v="1"/>
    <x v="18"/>
    <x v="18"/>
    <x v="11"/>
    <s v="Sujetos a Reglas de Operación"/>
    <x v="128"/>
    <x v="544"/>
    <x v="319"/>
    <x v="678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1183312"/>
    <m/>
    <x v="1"/>
    <n v="41183312"/>
  </r>
  <r>
    <x v="1"/>
    <x v="18"/>
    <x v="18"/>
    <x v="11"/>
    <s v="Sujetos a Reglas de Operación"/>
    <x v="128"/>
    <x v="544"/>
    <x v="342"/>
    <x v="712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2031"/>
    <m/>
    <x v="1"/>
    <n v="12031"/>
  </r>
  <r>
    <x v="1"/>
    <x v="18"/>
    <x v="18"/>
    <x v="11"/>
    <s v="Sujetos a Reglas de Operación"/>
    <x v="128"/>
    <x v="544"/>
    <x v="344"/>
    <x v="714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34012412"/>
    <m/>
    <x v="1"/>
    <n v="34012412"/>
  </r>
  <r>
    <x v="1"/>
    <x v="18"/>
    <x v="18"/>
    <x v="11"/>
    <s v="Sujetos a Reglas de Operación"/>
    <x v="128"/>
    <x v="544"/>
    <x v="345"/>
    <x v="715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5716703"/>
    <m/>
    <x v="1"/>
    <n v="25716703"/>
  </r>
  <r>
    <x v="1"/>
    <x v="18"/>
    <x v="18"/>
    <x v="11"/>
    <s v="Sujetos a Reglas de Operación"/>
    <x v="128"/>
    <x v="544"/>
    <x v="346"/>
    <x v="716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104895605"/>
    <m/>
    <x v="1"/>
    <n v="104895605"/>
  </r>
  <r>
    <x v="1"/>
    <x v="18"/>
    <x v="18"/>
    <x v="11"/>
    <s v="Sujetos a Reglas de Operación"/>
    <x v="128"/>
    <x v="544"/>
    <x v="347"/>
    <x v="717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7284205"/>
    <m/>
    <x v="1"/>
    <n v="7284205"/>
  </r>
  <r>
    <x v="1"/>
    <x v="18"/>
    <x v="18"/>
    <x v="11"/>
    <s v="Sujetos a Reglas de Operación"/>
    <x v="128"/>
    <x v="544"/>
    <x v="350"/>
    <x v="720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25082164"/>
    <m/>
    <x v="1"/>
    <n v="25082164"/>
  </r>
  <r>
    <x v="1"/>
    <x v="18"/>
    <x v="18"/>
    <x v="11"/>
    <s v="Sujetos a Reglas de Operación"/>
    <x v="128"/>
    <x v="544"/>
    <x v="352"/>
    <x v="722"/>
    <n v="2"/>
    <s v="Desarrollo Social"/>
    <n v="4"/>
    <s v="Agua Potable y Alcantarillado"/>
    <n v="1"/>
    <x v="62"/>
    <x v="1"/>
    <x v="132"/>
    <n v="2"/>
    <s v="Gasto de capital"/>
    <x v="0"/>
    <x v="0"/>
    <x v="1"/>
    <x v="0"/>
    <x v="1"/>
    <x v="0"/>
    <x v="0"/>
    <m/>
    <x v="0"/>
    <x v="0"/>
    <m/>
    <m/>
    <m/>
    <m/>
    <m/>
    <n v="45417556"/>
    <m/>
    <x v="1"/>
    <n v="45417556"/>
  </r>
  <r>
    <x v="1"/>
    <x v="18"/>
    <x v="18"/>
    <x v="11"/>
    <s v="Sujetos a Reglas de Operación"/>
    <x v="129"/>
    <x v="545"/>
    <x v="360"/>
    <x v="76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6000000"/>
    <n v="0"/>
    <n v="-6000000"/>
    <n v="0"/>
    <m/>
    <m/>
    <x v="1"/>
    <n v="0"/>
  </r>
  <r>
    <x v="1"/>
    <x v="18"/>
    <x v="18"/>
    <x v="11"/>
    <s v="Sujetos a Reglas de Operación"/>
    <x v="129"/>
    <x v="545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737041507"/>
    <n v="442944002"/>
    <n v="6000000"/>
    <n v="1185985509"/>
    <n v="87155412"/>
    <m/>
    <x v="1"/>
    <n v="87155412"/>
  </r>
  <r>
    <x v="1"/>
    <x v="18"/>
    <x v="18"/>
    <x v="11"/>
    <s v="Sujetos a Reglas de Operación"/>
    <x v="129"/>
    <x v="545"/>
    <x v="325"/>
    <x v="69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6233704"/>
    <m/>
    <x v="1"/>
    <n v="16233704"/>
  </r>
  <r>
    <x v="1"/>
    <x v="18"/>
    <x v="18"/>
    <x v="11"/>
    <s v="Sujetos a Reglas de Operación"/>
    <x v="129"/>
    <x v="545"/>
    <x v="357"/>
    <x v="72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9358636"/>
    <m/>
    <x v="1"/>
    <n v="9358636"/>
  </r>
  <r>
    <x v="1"/>
    <x v="18"/>
    <x v="18"/>
    <x v="11"/>
    <s v="Sujetos a Reglas de Operación"/>
    <x v="129"/>
    <x v="545"/>
    <x v="326"/>
    <x v="69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7387631"/>
    <m/>
    <x v="1"/>
    <n v="27387631"/>
  </r>
  <r>
    <x v="1"/>
    <x v="18"/>
    <x v="18"/>
    <x v="11"/>
    <s v="Sujetos a Reglas de Operación"/>
    <x v="129"/>
    <x v="545"/>
    <x v="327"/>
    <x v="69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4242803"/>
    <m/>
    <x v="1"/>
    <n v="24242803"/>
  </r>
  <r>
    <x v="1"/>
    <x v="18"/>
    <x v="18"/>
    <x v="11"/>
    <s v="Sujetos a Reglas de Operación"/>
    <x v="129"/>
    <x v="545"/>
    <x v="328"/>
    <x v="69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88289018"/>
    <m/>
    <x v="1"/>
    <n v="88289018"/>
  </r>
  <r>
    <x v="1"/>
    <x v="18"/>
    <x v="18"/>
    <x v="11"/>
    <s v="Sujetos a Reglas de Operación"/>
    <x v="129"/>
    <x v="545"/>
    <x v="329"/>
    <x v="69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7609218"/>
    <m/>
    <x v="1"/>
    <n v="37609218"/>
  </r>
  <r>
    <x v="1"/>
    <x v="18"/>
    <x v="18"/>
    <x v="11"/>
    <s v="Sujetos a Reglas de Operación"/>
    <x v="129"/>
    <x v="545"/>
    <x v="358"/>
    <x v="72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40379539"/>
    <m/>
    <x v="1"/>
    <n v="140379539"/>
  </r>
  <r>
    <x v="1"/>
    <x v="18"/>
    <x v="18"/>
    <x v="11"/>
    <s v="Sujetos a Reglas de Operación"/>
    <x v="129"/>
    <x v="545"/>
    <x v="330"/>
    <x v="70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44287992"/>
    <m/>
    <x v="1"/>
    <n v="144287992"/>
  </r>
  <r>
    <x v="1"/>
    <x v="18"/>
    <x v="18"/>
    <x v="11"/>
    <s v="Sujetos a Reglas de Operación"/>
    <x v="129"/>
    <x v="545"/>
    <x v="332"/>
    <x v="70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05992041"/>
    <m/>
    <x v="1"/>
    <n v="105992041"/>
  </r>
  <r>
    <x v="1"/>
    <x v="18"/>
    <x v="18"/>
    <x v="11"/>
    <s v="Sujetos a Reglas de Operación"/>
    <x v="129"/>
    <x v="545"/>
    <x v="333"/>
    <x v="703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8828902"/>
    <m/>
    <x v="1"/>
    <n v="8828902"/>
  </r>
  <r>
    <x v="1"/>
    <x v="18"/>
    <x v="18"/>
    <x v="11"/>
    <s v="Sujetos a Reglas de Operación"/>
    <x v="129"/>
    <x v="545"/>
    <x v="334"/>
    <x v="70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783502"/>
    <m/>
    <x v="1"/>
    <n v="7783502"/>
  </r>
  <r>
    <x v="1"/>
    <x v="18"/>
    <x v="18"/>
    <x v="11"/>
    <s v="Sujetos a Reglas de Operación"/>
    <x v="129"/>
    <x v="545"/>
    <x v="335"/>
    <x v="70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243353"/>
    <m/>
    <x v="1"/>
    <n v="13243353"/>
  </r>
  <r>
    <x v="1"/>
    <x v="18"/>
    <x v="18"/>
    <x v="11"/>
    <s v="Sujetos a Reglas de Operación"/>
    <x v="129"/>
    <x v="545"/>
    <x v="336"/>
    <x v="70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267124"/>
    <m/>
    <x v="1"/>
    <n v="17267124"/>
  </r>
  <r>
    <x v="1"/>
    <x v="18"/>
    <x v="18"/>
    <x v="11"/>
    <s v="Sujetos a Reglas de Operación"/>
    <x v="129"/>
    <x v="545"/>
    <x v="338"/>
    <x v="70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657804"/>
    <m/>
    <x v="1"/>
    <n v="17657804"/>
  </r>
  <r>
    <x v="1"/>
    <x v="18"/>
    <x v="18"/>
    <x v="11"/>
    <s v="Sujetos a Reglas de Operación"/>
    <x v="129"/>
    <x v="545"/>
    <x v="340"/>
    <x v="71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8717272"/>
    <m/>
    <x v="1"/>
    <n v="18717272"/>
  </r>
  <r>
    <x v="1"/>
    <x v="18"/>
    <x v="18"/>
    <x v="11"/>
    <s v="Sujetos a Reglas de Operación"/>
    <x v="129"/>
    <x v="545"/>
    <x v="341"/>
    <x v="71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657804"/>
    <m/>
    <x v="1"/>
    <n v="17657804"/>
  </r>
  <r>
    <x v="1"/>
    <x v="18"/>
    <x v="18"/>
    <x v="11"/>
    <s v="Sujetos a Reglas de Operación"/>
    <x v="129"/>
    <x v="545"/>
    <x v="359"/>
    <x v="73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8075907"/>
    <m/>
    <x v="1"/>
    <n v="28075907"/>
  </r>
  <r>
    <x v="1"/>
    <x v="18"/>
    <x v="18"/>
    <x v="11"/>
    <s v="Sujetos a Reglas de Operación"/>
    <x v="129"/>
    <x v="545"/>
    <x v="319"/>
    <x v="67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6883052"/>
    <m/>
    <x v="1"/>
    <n v="16883052"/>
  </r>
  <r>
    <x v="1"/>
    <x v="18"/>
    <x v="18"/>
    <x v="11"/>
    <s v="Sujetos a Reglas de Operación"/>
    <x v="129"/>
    <x v="545"/>
    <x v="342"/>
    <x v="71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4135746"/>
    <m/>
    <x v="1"/>
    <n v="44135746"/>
  </r>
  <r>
    <x v="1"/>
    <x v="18"/>
    <x v="18"/>
    <x v="11"/>
    <s v="Sujetos a Reglas de Operación"/>
    <x v="129"/>
    <x v="545"/>
    <x v="343"/>
    <x v="713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4830300"/>
    <m/>
    <x v="1"/>
    <n v="14830300"/>
  </r>
  <r>
    <x v="1"/>
    <x v="18"/>
    <x v="18"/>
    <x v="11"/>
    <s v="Sujetos a Reglas de Operación"/>
    <x v="129"/>
    <x v="545"/>
    <x v="344"/>
    <x v="71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6818156"/>
    <m/>
    <x v="1"/>
    <n v="6818156"/>
  </r>
  <r>
    <x v="1"/>
    <x v="18"/>
    <x v="18"/>
    <x v="11"/>
    <s v="Sujetos a Reglas de Operación"/>
    <x v="129"/>
    <x v="545"/>
    <x v="345"/>
    <x v="71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4174374"/>
    <m/>
    <x v="1"/>
    <n v="44174374"/>
  </r>
  <r>
    <x v="1"/>
    <x v="18"/>
    <x v="18"/>
    <x v="11"/>
    <s v="Sujetos a Reglas de Operación"/>
    <x v="129"/>
    <x v="545"/>
    <x v="346"/>
    <x v="71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657804"/>
    <m/>
    <x v="1"/>
    <n v="17657804"/>
  </r>
  <r>
    <x v="1"/>
    <x v="18"/>
    <x v="18"/>
    <x v="11"/>
    <s v="Sujetos a Reglas de Operación"/>
    <x v="129"/>
    <x v="545"/>
    <x v="347"/>
    <x v="71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4332131"/>
    <m/>
    <x v="1"/>
    <n v="14332131"/>
  </r>
  <r>
    <x v="1"/>
    <x v="18"/>
    <x v="18"/>
    <x v="11"/>
    <s v="Sujetos a Reglas de Operación"/>
    <x v="129"/>
    <x v="545"/>
    <x v="348"/>
    <x v="71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925302"/>
    <m/>
    <x v="1"/>
    <n v="5925302"/>
  </r>
  <r>
    <x v="1"/>
    <x v="18"/>
    <x v="18"/>
    <x v="11"/>
    <s v="Sujetos a Reglas de Operación"/>
    <x v="129"/>
    <x v="545"/>
    <x v="349"/>
    <x v="71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657804"/>
    <m/>
    <x v="1"/>
    <n v="17657804"/>
  </r>
  <r>
    <x v="1"/>
    <x v="18"/>
    <x v="18"/>
    <x v="11"/>
    <s v="Sujetos a Reglas de Operación"/>
    <x v="129"/>
    <x v="545"/>
    <x v="351"/>
    <x v="72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01898"/>
    <m/>
    <x v="1"/>
    <n v="701898"/>
  </r>
  <r>
    <x v="1"/>
    <x v="18"/>
    <x v="18"/>
    <x v="11"/>
    <s v="Sujetos a Reglas de Operación"/>
    <x v="129"/>
    <x v="545"/>
    <x v="352"/>
    <x v="72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4679318"/>
    <m/>
    <x v="1"/>
    <n v="4679318"/>
  </r>
  <r>
    <x v="1"/>
    <x v="18"/>
    <x v="18"/>
    <x v="11"/>
    <s v="Sujetos a Reglas de Operación"/>
    <x v="130"/>
    <x v="546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0"/>
    <x v="1"/>
    <x v="0"/>
    <x v="1"/>
    <x v="0"/>
    <x v="0"/>
    <m/>
    <x v="0"/>
    <x v="1"/>
    <m/>
    <m/>
    <m/>
    <m/>
    <m/>
    <n v="33440000"/>
    <m/>
    <x v="1"/>
    <n v="33440000"/>
  </r>
  <r>
    <x v="1"/>
    <x v="18"/>
    <x v="18"/>
    <x v="11"/>
    <s v="Sujetos a Reglas de Operación"/>
    <x v="130"/>
    <x v="546"/>
    <x v="320"/>
    <x v="690"/>
    <n v="3"/>
    <s v="Desarrollo Económico"/>
    <n v="2"/>
    <s v="Desarrollo Agropecuario y Forestal"/>
    <n v="6"/>
    <x v="64"/>
    <x v="0"/>
    <x v="134"/>
    <n v="2"/>
    <s v="Gasto de capital"/>
    <x v="0"/>
    <x v="0"/>
    <x v="1"/>
    <x v="0"/>
    <x v="1"/>
    <x v="0"/>
    <x v="0"/>
    <m/>
    <x v="0"/>
    <x v="1"/>
    <m/>
    <n v="836300980"/>
    <n v="0"/>
    <n v="0"/>
    <n v="836300980"/>
    <n v="802560000"/>
    <m/>
    <x v="1"/>
    <n v="802560000"/>
  </r>
  <r>
    <x v="1"/>
    <x v="18"/>
    <x v="18"/>
    <x v="11"/>
    <s v="Sujetos a Reglas de Operación"/>
    <x v="131"/>
    <x v="547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0"/>
    <x v="0"/>
    <x v="0"/>
    <x v="1"/>
    <x v="0"/>
    <x v="0"/>
    <m/>
    <x v="0"/>
    <x v="1"/>
    <m/>
    <m/>
    <m/>
    <m/>
    <m/>
    <n v="70611600"/>
    <m/>
    <x v="1"/>
    <n v="70611600"/>
  </r>
  <r>
    <x v="1"/>
    <x v="18"/>
    <x v="18"/>
    <x v="11"/>
    <s v="Sujetos a Reglas de Operación"/>
    <x v="131"/>
    <x v="547"/>
    <x v="320"/>
    <x v="690"/>
    <n v="3"/>
    <s v="Desarrollo Económico"/>
    <n v="2"/>
    <s v="Desarrollo Agropecuario y Forestal"/>
    <n v="6"/>
    <x v="64"/>
    <x v="0"/>
    <x v="134"/>
    <n v="2"/>
    <s v="Gasto de capital"/>
    <x v="0"/>
    <x v="0"/>
    <x v="1"/>
    <x v="0"/>
    <x v="1"/>
    <x v="0"/>
    <x v="0"/>
    <m/>
    <x v="0"/>
    <x v="1"/>
    <m/>
    <n v="833450000"/>
    <n v="0"/>
    <n v="-10000000"/>
    <n v="823450000"/>
    <n v="1658678400"/>
    <m/>
    <x v="1"/>
    <n v="1658678400"/>
  </r>
  <r>
    <x v="1"/>
    <x v="18"/>
    <x v="18"/>
    <x v="11"/>
    <s v="Sujetos a Reglas de Operación"/>
    <x v="132"/>
    <x v="548"/>
    <x v="360"/>
    <x v="761"/>
    <n v="3"/>
    <s v="Desarrollo Económico"/>
    <n v="2"/>
    <s v="Desarrollo Agropecuario y Forestal"/>
    <n v="5"/>
    <x v="66"/>
    <x v="1"/>
    <x v="132"/>
    <n v="1"/>
    <s v="Gasto corriente"/>
    <x v="0"/>
    <x v="0"/>
    <x v="0"/>
    <x v="0"/>
    <x v="1"/>
    <x v="0"/>
    <x v="0"/>
    <m/>
    <x v="0"/>
    <x v="0"/>
    <m/>
    <n v="51200000"/>
    <n v="0"/>
    <n v="-328558"/>
    <n v="50871442"/>
    <m/>
    <m/>
    <x v="1"/>
    <n v="0"/>
  </r>
  <r>
    <x v="1"/>
    <x v="18"/>
    <x v="18"/>
    <x v="11"/>
    <s v="Sujetos a Reglas de Operación"/>
    <x v="132"/>
    <x v="548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330937993"/>
    <n v="167391289"/>
    <n v="328558"/>
    <n v="498657840"/>
    <n v="146969724"/>
    <m/>
    <x v="1"/>
    <n v="146969724"/>
  </r>
  <r>
    <x v="1"/>
    <x v="18"/>
    <x v="18"/>
    <x v="11"/>
    <s v="Sujetos a Reglas de Operación"/>
    <x v="132"/>
    <x v="548"/>
    <x v="318"/>
    <x v="67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430029"/>
    <m/>
    <x v="1"/>
    <n v="3430029"/>
  </r>
  <r>
    <x v="1"/>
    <x v="18"/>
    <x v="18"/>
    <x v="11"/>
    <s v="Sujetos a Reglas de Operación"/>
    <x v="132"/>
    <x v="548"/>
    <x v="325"/>
    <x v="69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556271"/>
    <m/>
    <x v="1"/>
    <n v="17556271"/>
  </r>
  <r>
    <x v="1"/>
    <x v="18"/>
    <x v="18"/>
    <x v="11"/>
    <s v="Sujetos a Reglas de Operación"/>
    <x v="132"/>
    <x v="548"/>
    <x v="357"/>
    <x v="72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9402095"/>
    <m/>
    <x v="1"/>
    <n v="29402095"/>
  </r>
  <r>
    <x v="1"/>
    <x v="18"/>
    <x v="18"/>
    <x v="11"/>
    <s v="Sujetos a Reglas de Operación"/>
    <x v="132"/>
    <x v="548"/>
    <x v="326"/>
    <x v="69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9322052"/>
    <m/>
    <x v="1"/>
    <n v="19322052"/>
  </r>
  <r>
    <x v="1"/>
    <x v="18"/>
    <x v="18"/>
    <x v="11"/>
    <s v="Sujetos a Reglas de Operación"/>
    <x v="132"/>
    <x v="548"/>
    <x v="327"/>
    <x v="69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1682514"/>
    <m/>
    <x v="1"/>
    <n v="31682514"/>
  </r>
  <r>
    <x v="1"/>
    <x v="18"/>
    <x v="18"/>
    <x v="11"/>
    <s v="Sujetos a Reglas de Operación"/>
    <x v="132"/>
    <x v="548"/>
    <x v="328"/>
    <x v="69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556271"/>
    <m/>
    <x v="1"/>
    <n v="17556271"/>
  </r>
  <r>
    <x v="1"/>
    <x v="18"/>
    <x v="18"/>
    <x v="11"/>
    <s v="Sujetos a Reglas de Operación"/>
    <x v="132"/>
    <x v="548"/>
    <x v="329"/>
    <x v="69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3523340"/>
    <m/>
    <x v="1"/>
    <n v="33523340"/>
  </r>
  <r>
    <x v="1"/>
    <x v="18"/>
    <x v="18"/>
    <x v="11"/>
    <s v="Sujetos a Reglas de Operación"/>
    <x v="132"/>
    <x v="548"/>
    <x v="358"/>
    <x v="72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2468760"/>
    <m/>
    <x v="1"/>
    <n v="22468760"/>
  </r>
  <r>
    <x v="1"/>
    <x v="18"/>
    <x v="18"/>
    <x v="11"/>
    <s v="Sujetos a Reglas de Operación"/>
    <x v="132"/>
    <x v="548"/>
    <x v="330"/>
    <x v="70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0799624"/>
    <m/>
    <x v="1"/>
    <n v="30799624"/>
  </r>
  <r>
    <x v="1"/>
    <x v="18"/>
    <x v="18"/>
    <x v="11"/>
    <s v="Sujetos a Reglas de Operación"/>
    <x v="132"/>
    <x v="548"/>
    <x v="331"/>
    <x v="70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6385173"/>
    <m/>
    <x v="1"/>
    <n v="26385173"/>
  </r>
  <r>
    <x v="1"/>
    <x v="18"/>
    <x v="18"/>
    <x v="11"/>
    <s v="Sujetos a Reglas de Operación"/>
    <x v="132"/>
    <x v="548"/>
    <x v="332"/>
    <x v="70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5502283"/>
    <m/>
    <x v="1"/>
    <n v="25502283"/>
  </r>
  <r>
    <x v="1"/>
    <x v="18"/>
    <x v="18"/>
    <x v="11"/>
    <s v="Sujetos a Reglas de Operación"/>
    <x v="132"/>
    <x v="548"/>
    <x v="334"/>
    <x v="70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7556271"/>
    <m/>
    <x v="1"/>
    <n v="17556271"/>
  </r>
  <r>
    <x v="1"/>
    <x v="18"/>
    <x v="18"/>
    <x v="11"/>
    <s v="Sujetos a Reglas de Operación"/>
    <x v="132"/>
    <x v="548"/>
    <x v="335"/>
    <x v="70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648671"/>
    <m/>
    <x v="1"/>
    <n v="2648671"/>
  </r>
  <r>
    <x v="1"/>
    <x v="18"/>
    <x v="18"/>
    <x v="11"/>
    <s v="Sujetos a Reglas de Operación"/>
    <x v="132"/>
    <x v="548"/>
    <x v="336"/>
    <x v="70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999493"/>
    <m/>
    <x v="1"/>
    <n v="3999493"/>
  </r>
  <r>
    <x v="1"/>
    <x v="18"/>
    <x v="18"/>
    <x v="11"/>
    <s v="Sujetos a Reglas de Operación"/>
    <x v="132"/>
    <x v="548"/>
    <x v="337"/>
    <x v="70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9168815"/>
    <m/>
    <x v="1"/>
    <n v="9168815"/>
  </r>
  <r>
    <x v="1"/>
    <x v="18"/>
    <x v="18"/>
    <x v="11"/>
    <s v="Sujetos a Reglas de Operación"/>
    <x v="132"/>
    <x v="548"/>
    <x v="339"/>
    <x v="709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9610259"/>
    <m/>
    <x v="1"/>
    <n v="9610259"/>
  </r>
  <r>
    <x v="1"/>
    <x v="18"/>
    <x v="18"/>
    <x v="11"/>
    <s v="Sujetos a Reglas de Operación"/>
    <x v="132"/>
    <x v="548"/>
    <x v="340"/>
    <x v="71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3280"/>
    <m/>
    <x v="1"/>
    <n v="73280"/>
  </r>
  <r>
    <x v="1"/>
    <x v="18"/>
    <x v="18"/>
    <x v="11"/>
    <s v="Sujetos a Reglas de Operación"/>
    <x v="132"/>
    <x v="548"/>
    <x v="341"/>
    <x v="71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2072255"/>
    <m/>
    <x v="1"/>
    <n v="22072255"/>
  </r>
  <r>
    <x v="1"/>
    <x v="18"/>
    <x v="18"/>
    <x v="11"/>
    <s v="Sujetos a Reglas de Operación"/>
    <x v="132"/>
    <x v="548"/>
    <x v="359"/>
    <x v="730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5292277"/>
    <m/>
    <x v="1"/>
    <n v="15292277"/>
  </r>
  <r>
    <x v="1"/>
    <x v="18"/>
    <x v="18"/>
    <x v="11"/>
    <s v="Sujetos a Reglas de Operación"/>
    <x v="132"/>
    <x v="548"/>
    <x v="319"/>
    <x v="67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6385173"/>
    <m/>
    <x v="1"/>
    <n v="26385173"/>
  </r>
  <r>
    <x v="1"/>
    <x v="18"/>
    <x v="18"/>
    <x v="11"/>
    <s v="Sujetos a Reglas de Operación"/>
    <x v="132"/>
    <x v="548"/>
    <x v="342"/>
    <x v="71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116349"/>
    <m/>
    <x v="1"/>
    <n v="5116349"/>
  </r>
  <r>
    <x v="1"/>
    <x v="18"/>
    <x v="18"/>
    <x v="11"/>
    <s v="Sujetos a Reglas de Operación"/>
    <x v="132"/>
    <x v="548"/>
    <x v="343"/>
    <x v="713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2547139"/>
    <m/>
    <x v="1"/>
    <n v="2547139"/>
  </r>
  <r>
    <x v="1"/>
    <x v="18"/>
    <x v="18"/>
    <x v="11"/>
    <s v="Sujetos a Reglas de Operación"/>
    <x v="132"/>
    <x v="548"/>
    <x v="344"/>
    <x v="71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141821"/>
    <m/>
    <x v="1"/>
    <n v="13141821"/>
  </r>
  <r>
    <x v="1"/>
    <x v="18"/>
    <x v="18"/>
    <x v="11"/>
    <s v="Sujetos a Reglas de Operación"/>
    <x v="132"/>
    <x v="548"/>
    <x v="345"/>
    <x v="715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195809"/>
    <m/>
    <x v="1"/>
    <n v="5195809"/>
  </r>
  <r>
    <x v="1"/>
    <x v="18"/>
    <x v="18"/>
    <x v="11"/>
    <s v="Sujetos a Reglas de Operación"/>
    <x v="132"/>
    <x v="548"/>
    <x v="346"/>
    <x v="716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38579652"/>
    <m/>
    <x v="1"/>
    <n v="38579652"/>
  </r>
  <r>
    <x v="1"/>
    <x v="18"/>
    <x v="18"/>
    <x v="11"/>
    <s v="Sujetos a Reglas de Operación"/>
    <x v="132"/>
    <x v="548"/>
    <x v="347"/>
    <x v="717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7285875"/>
    <m/>
    <x v="1"/>
    <n v="7285875"/>
  </r>
  <r>
    <x v="1"/>
    <x v="18"/>
    <x v="18"/>
    <x v="11"/>
    <s v="Sujetos a Reglas de Operación"/>
    <x v="132"/>
    <x v="548"/>
    <x v="348"/>
    <x v="718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8727369"/>
    <m/>
    <x v="1"/>
    <n v="8727369"/>
  </r>
  <r>
    <x v="1"/>
    <x v="18"/>
    <x v="18"/>
    <x v="11"/>
    <s v="Sujetos a Reglas de Operación"/>
    <x v="132"/>
    <x v="548"/>
    <x v="351"/>
    <x v="72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0672376"/>
    <m/>
    <x v="1"/>
    <n v="10672376"/>
  </r>
  <r>
    <x v="1"/>
    <x v="18"/>
    <x v="18"/>
    <x v="11"/>
    <s v="Sujetos a Reglas de Operación"/>
    <x v="132"/>
    <x v="548"/>
    <x v="352"/>
    <x v="722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13243353"/>
    <m/>
    <x v="1"/>
    <n v="13243353"/>
  </r>
  <r>
    <x v="1"/>
    <x v="18"/>
    <x v="18"/>
    <x v="11"/>
    <s v="Sujetos a Reglas de Operación"/>
    <x v="133"/>
    <x v="549"/>
    <x v="354"/>
    <x v="72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n v="1950197896"/>
    <n v="500163502"/>
    <n v="0"/>
    <n v="2450361398"/>
    <n v="905533955"/>
    <m/>
    <x v="1"/>
    <n v="905533955"/>
  </r>
  <r>
    <x v="1"/>
    <x v="18"/>
    <x v="18"/>
    <x v="11"/>
    <s v="Sujetos a Reglas de Operación"/>
    <x v="133"/>
    <x v="549"/>
    <x v="325"/>
    <x v="69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60633326"/>
    <m/>
    <x v="1"/>
    <n v="60633326"/>
  </r>
  <r>
    <x v="1"/>
    <x v="18"/>
    <x v="18"/>
    <x v="11"/>
    <s v="Sujetos a Reglas de Operación"/>
    <x v="133"/>
    <x v="549"/>
    <x v="326"/>
    <x v="696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0661624"/>
    <m/>
    <x v="1"/>
    <n v="10661624"/>
  </r>
  <r>
    <x v="1"/>
    <x v="18"/>
    <x v="18"/>
    <x v="11"/>
    <s v="Sujetos a Reglas de Operación"/>
    <x v="133"/>
    <x v="549"/>
    <x v="327"/>
    <x v="69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93093089"/>
    <m/>
    <x v="1"/>
    <n v="93093089"/>
  </r>
  <r>
    <x v="1"/>
    <x v="18"/>
    <x v="18"/>
    <x v="11"/>
    <s v="Sujetos a Reglas de Operación"/>
    <x v="133"/>
    <x v="549"/>
    <x v="328"/>
    <x v="69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7200981"/>
    <m/>
    <x v="1"/>
    <n v="27200981"/>
  </r>
  <r>
    <x v="1"/>
    <x v="18"/>
    <x v="18"/>
    <x v="11"/>
    <s v="Sujetos a Reglas de Operación"/>
    <x v="133"/>
    <x v="549"/>
    <x v="329"/>
    <x v="69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6900202"/>
    <m/>
    <x v="1"/>
    <n v="6900202"/>
  </r>
  <r>
    <x v="1"/>
    <x v="18"/>
    <x v="18"/>
    <x v="11"/>
    <s v="Sujetos a Reglas de Operación"/>
    <x v="133"/>
    <x v="549"/>
    <x v="330"/>
    <x v="700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54799227"/>
    <m/>
    <x v="1"/>
    <n v="54799227"/>
  </r>
  <r>
    <x v="1"/>
    <x v="18"/>
    <x v="18"/>
    <x v="11"/>
    <s v="Sujetos a Reglas de Operación"/>
    <x v="133"/>
    <x v="549"/>
    <x v="334"/>
    <x v="70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1985715"/>
    <m/>
    <x v="1"/>
    <n v="11985715"/>
  </r>
  <r>
    <x v="1"/>
    <x v="18"/>
    <x v="18"/>
    <x v="11"/>
    <s v="Sujetos a Reglas de Operación"/>
    <x v="133"/>
    <x v="549"/>
    <x v="339"/>
    <x v="70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48162968"/>
    <m/>
    <x v="1"/>
    <n v="48162968"/>
  </r>
  <r>
    <x v="1"/>
    <x v="18"/>
    <x v="18"/>
    <x v="11"/>
    <s v="Sujetos a Reglas de Operación"/>
    <x v="133"/>
    <x v="549"/>
    <x v="341"/>
    <x v="711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47360853"/>
    <m/>
    <x v="1"/>
    <n v="47360853"/>
  </r>
  <r>
    <x v="1"/>
    <x v="18"/>
    <x v="18"/>
    <x v="11"/>
    <s v="Sujetos a Reglas de Operación"/>
    <x v="133"/>
    <x v="549"/>
    <x v="319"/>
    <x v="67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28313377"/>
    <m/>
    <x v="1"/>
    <n v="28313377"/>
  </r>
  <r>
    <x v="1"/>
    <x v="18"/>
    <x v="18"/>
    <x v="11"/>
    <s v="Sujetos a Reglas de Operación"/>
    <x v="133"/>
    <x v="549"/>
    <x v="345"/>
    <x v="71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32999721"/>
    <m/>
    <x v="1"/>
    <n v="32999721"/>
  </r>
  <r>
    <x v="1"/>
    <x v="18"/>
    <x v="18"/>
    <x v="11"/>
    <s v="Sujetos a Reglas de Operación"/>
    <x v="133"/>
    <x v="549"/>
    <x v="347"/>
    <x v="71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6052391"/>
    <m/>
    <x v="1"/>
    <n v="6052391"/>
  </r>
  <r>
    <x v="1"/>
    <x v="18"/>
    <x v="18"/>
    <x v="11"/>
    <s v="Sujetos a Reglas de Operación"/>
    <x v="133"/>
    <x v="549"/>
    <x v="350"/>
    <x v="720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157612318"/>
    <m/>
    <x v="1"/>
    <n v="157612318"/>
  </r>
  <r>
    <x v="1"/>
    <x v="18"/>
    <x v="18"/>
    <x v="11"/>
    <s v="Sujetos a Reglas de Operación"/>
    <x v="133"/>
    <x v="549"/>
    <x v="352"/>
    <x v="722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1"/>
    <m/>
    <m/>
    <m/>
    <m/>
    <m/>
    <n v="9603565"/>
    <m/>
    <x v="1"/>
    <n v="9603565"/>
  </r>
  <r>
    <x v="1"/>
    <x v="18"/>
    <x v="18"/>
    <x v="7"/>
    <s v="Otros Subsidios"/>
    <x v="4"/>
    <x v="550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1"/>
    <x v="1"/>
    <x v="0"/>
    <x v="1"/>
    <x v="0"/>
    <x v="0"/>
    <m/>
    <x v="0"/>
    <x v="1"/>
    <m/>
    <n v="6113910"/>
    <n v="0"/>
    <n v="0"/>
    <n v="6113910"/>
    <m/>
    <m/>
    <x v="1"/>
    <n v="0"/>
  </r>
  <r>
    <x v="1"/>
    <x v="18"/>
    <x v="18"/>
    <x v="7"/>
    <s v="Otros Subsidios"/>
    <x v="4"/>
    <x v="550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0"/>
    <x v="1"/>
    <x v="0"/>
    <x v="1"/>
    <x v="0"/>
    <x v="0"/>
    <m/>
    <x v="0"/>
    <x v="1"/>
    <m/>
    <n v="206238001"/>
    <n v="14200000"/>
    <n v="-2000000"/>
    <n v="218438001"/>
    <n v="31304050"/>
    <m/>
    <x v="1"/>
    <n v="31304050"/>
  </r>
  <r>
    <x v="1"/>
    <x v="18"/>
    <x v="18"/>
    <x v="7"/>
    <s v="Otros Subsidios"/>
    <x v="4"/>
    <x v="550"/>
    <x v="320"/>
    <x v="690"/>
    <n v="3"/>
    <s v="Desarrollo Económico"/>
    <n v="2"/>
    <s v="Desarrollo Agropecuario y Forestal"/>
    <n v="6"/>
    <x v="64"/>
    <x v="0"/>
    <x v="134"/>
    <n v="2"/>
    <s v="Gasto de capital"/>
    <x v="0"/>
    <x v="0"/>
    <x v="1"/>
    <x v="0"/>
    <x v="1"/>
    <x v="0"/>
    <x v="0"/>
    <m/>
    <x v="0"/>
    <x v="1"/>
    <m/>
    <n v="484857358"/>
    <n v="30466000"/>
    <n v="-10000000"/>
    <n v="505323358"/>
    <n v="735264000"/>
    <m/>
    <x v="1"/>
    <n v="735264000"/>
  </r>
  <r>
    <x v="1"/>
    <x v="18"/>
    <x v="18"/>
    <x v="7"/>
    <s v="Otros Subsidios"/>
    <x v="6"/>
    <x v="551"/>
    <x v="320"/>
    <x v="690"/>
    <n v="3"/>
    <s v="Desarrollo Económico"/>
    <n v="2"/>
    <s v="Desarrollo Agropecuario y Forestal"/>
    <n v="6"/>
    <x v="64"/>
    <x v="0"/>
    <x v="134"/>
    <n v="1"/>
    <s v="Gasto corriente"/>
    <x v="0"/>
    <x v="0"/>
    <x v="0"/>
    <x v="0"/>
    <x v="1"/>
    <x v="0"/>
    <x v="0"/>
    <m/>
    <x v="0"/>
    <x v="1"/>
    <m/>
    <n v="10290000"/>
    <n v="0"/>
    <n v="0"/>
    <n v="10290000"/>
    <n v="13184000"/>
    <m/>
    <x v="1"/>
    <n v="13184000"/>
  </r>
  <r>
    <x v="1"/>
    <x v="18"/>
    <x v="18"/>
    <x v="7"/>
    <s v="Otros Subsidios"/>
    <x v="6"/>
    <x v="551"/>
    <x v="320"/>
    <x v="690"/>
    <n v="3"/>
    <s v="Desarrollo Económico"/>
    <n v="2"/>
    <s v="Desarrollo Agropecuario y Forestal"/>
    <n v="6"/>
    <x v="64"/>
    <x v="0"/>
    <x v="134"/>
    <n v="2"/>
    <s v="Gasto de capital"/>
    <x v="0"/>
    <x v="0"/>
    <x v="1"/>
    <x v="0"/>
    <x v="1"/>
    <x v="0"/>
    <x v="0"/>
    <m/>
    <x v="0"/>
    <x v="1"/>
    <m/>
    <n v="409032424"/>
    <n v="180000000"/>
    <n v="-9278309"/>
    <n v="579754115"/>
    <n v="590016000"/>
    <m/>
    <x v="1"/>
    <n v="590016000"/>
  </r>
  <r>
    <x v="1"/>
    <x v="18"/>
    <x v="18"/>
    <x v="7"/>
    <s v="Otros Subsidios"/>
    <x v="6"/>
    <x v="551"/>
    <x v="320"/>
    <x v="690"/>
    <n v="3"/>
    <s v="Desarrollo Económico"/>
    <n v="2"/>
    <s v="Desarrollo Agropecuario y Forestal"/>
    <n v="6"/>
    <x v="64"/>
    <x v="0"/>
    <x v="134"/>
    <n v="2"/>
    <s v="Gasto de capital"/>
    <x v="0"/>
    <x v="0"/>
    <x v="0"/>
    <x v="0"/>
    <x v="1"/>
    <x v="0"/>
    <x v="0"/>
    <m/>
    <x v="0"/>
    <x v="1"/>
    <m/>
    <n v="203400"/>
    <n v="13000000"/>
    <n v="0"/>
    <n v="13203400"/>
    <m/>
    <m/>
    <x v="1"/>
    <n v="0"/>
  </r>
  <r>
    <x v="1"/>
    <x v="18"/>
    <x v="18"/>
    <x v="7"/>
    <s v="Otros Subsidios"/>
    <x v="10"/>
    <x v="552"/>
    <x v="36"/>
    <x v="764"/>
    <n v="3"/>
    <s v="Desarrollo Económico"/>
    <n v="9"/>
    <s v="Desarrollo Sustentable"/>
    <n v="2"/>
    <x v="63"/>
    <x v="9"/>
    <x v="138"/>
    <n v="1"/>
    <s v="Gasto corriente"/>
    <x v="0"/>
    <x v="0"/>
    <x v="0"/>
    <x v="0"/>
    <x v="1"/>
    <x v="0"/>
    <x v="0"/>
    <m/>
    <x v="0"/>
    <x v="0"/>
    <m/>
    <m/>
    <m/>
    <m/>
    <m/>
    <n v="2200000"/>
    <m/>
    <x v="1"/>
    <n v="2200000"/>
  </r>
  <r>
    <x v="1"/>
    <x v="18"/>
    <x v="18"/>
    <x v="7"/>
    <s v="Otros Subsidios"/>
    <x v="10"/>
    <x v="552"/>
    <x v="36"/>
    <x v="764"/>
    <n v="3"/>
    <s v="Desarrollo Económico"/>
    <n v="9"/>
    <s v="Desarrollo Sustentable"/>
    <n v="2"/>
    <x v="63"/>
    <x v="9"/>
    <x v="138"/>
    <n v="2"/>
    <s v="Gasto de capital"/>
    <x v="0"/>
    <x v="0"/>
    <x v="0"/>
    <x v="0"/>
    <x v="1"/>
    <x v="0"/>
    <x v="0"/>
    <m/>
    <x v="0"/>
    <x v="0"/>
    <m/>
    <n v="69982093"/>
    <n v="0"/>
    <n v="-700000"/>
    <n v="69282093"/>
    <n v="57800000"/>
    <m/>
    <x v="1"/>
    <n v="57800000"/>
  </r>
  <r>
    <x v="1"/>
    <x v="18"/>
    <x v="18"/>
    <x v="7"/>
    <s v="Otros Subsidios"/>
    <x v="11"/>
    <x v="553"/>
    <x v="324"/>
    <x v="694"/>
    <n v="2"/>
    <s v="Desarrollo Social"/>
    <n v="4"/>
    <s v="Agua Potable y Alcantarillado"/>
    <n v="1"/>
    <x v="62"/>
    <x v="1"/>
    <x v="132"/>
    <n v="1"/>
    <s v="Gasto corriente"/>
    <x v="0"/>
    <x v="0"/>
    <x v="0"/>
    <x v="0"/>
    <x v="0"/>
    <x v="0"/>
    <x v="0"/>
    <m/>
    <x v="0"/>
    <x v="0"/>
    <m/>
    <n v="13640596"/>
    <n v="0"/>
    <n v="0"/>
    <n v="13640596"/>
    <n v="213935"/>
    <m/>
    <x v="1"/>
    <n v="213935"/>
  </r>
  <r>
    <x v="1"/>
    <x v="18"/>
    <x v="18"/>
    <x v="7"/>
    <s v="Otros Subsidios"/>
    <x v="11"/>
    <x v="553"/>
    <x v="324"/>
    <x v="69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n v="20100000"/>
    <n v="0"/>
    <n v="0"/>
    <n v="20100000"/>
    <n v="33865527"/>
    <m/>
    <x v="1"/>
    <n v="33865527"/>
  </r>
  <r>
    <x v="1"/>
    <x v="18"/>
    <x v="18"/>
    <x v="7"/>
    <s v="Otros Subsidios"/>
    <x v="11"/>
    <x v="553"/>
    <x v="318"/>
    <x v="67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684593"/>
    <m/>
    <x v="1"/>
    <n v="684593"/>
  </r>
  <r>
    <x v="1"/>
    <x v="18"/>
    <x v="18"/>
    <x v="7"/>
    <s v="Otros Subsidios"/>
    <x v="11"/>
    <x v="553"/>
    <x v="325"/>
    <x v="69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590922"/>
    <m/>
    <x v="1"/>
    <n v="590922"/>
  </r>
  <r>
    <x v="1"/>
    <x v="18"/>
    <x v="18"/>
    <x v="7"/>
    <s v="Otros Subsidios"/>
    <x v="11"/>
    <x v="553"/>
    <x v="326"/>
    <x v="696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855741"/>
    <m/>
    <x v="1"/>
    <n v="855741"/>
  </r>
  <r>
    <x v="1"/>
    <x v="18"/>
    <x v="18"/>
    <x v="7"/>
    <s v="Otros Subsidios"/>
    <x v="11"/>
    <x v="553"/>
    <x v="327"/>
    <x v="69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585734"/>
    <m/>
    <x v="1"/>
    <n v="585734"/>
  </r>
  <r>
    <x v="1"/>
    <x v="18"/>
    <x v="18"/>
    <x v="7"/>
    <s v="Otros Subsidios"/>
    <x v="11"/>
    <x v="553"/>
    <x v="328"/>
    <x v="69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599018"/>
    <m/>
    <x v="1"/>
    <n v="599018"/>
  </r>
  <r>
    <x v="1"/>
    <x v="18"/>
    <x v="18"/>
    <x v="7"/>
    <s v="Otros Subsidios"/>
    <x v="11"/>
    <x v="553"/>
    <x v="329"/>
    <x v="69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513444"/>
    <m/>
    <x v="1"/>
    <n v="513444"/>
  </r>
  <r>
    <x v="1"/>
    <x v="18"/>
    <x v="18"/>
    <x v="7"/>
    <s v="Otros Subsidios"/>
    <x v="11"/>
    <x v="553"/>
    <x v="331"/>
    <x v="701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855741"/>
    <m/>
    <x v="1"/>
    <n v="855741"/>
  </r>
  <r>
    <x v="1"/>
    <x v="18"/>
    <x v="18"/>
    <x v="7"/>
    <s v="Otros Subsidios"/>
    <x v="11"/>
    <x v="553"/>
    <x v="332"/>
    <x v="702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385083"/>
    <m/>
    <x v="1"/>
    <n v="385083"/>
  </r>
  <r>
    <x v="1"/>
    <x v="18"/>
    <x v="18"/>
    <x v="7"/>
    <s v="Otros Subsidios"/>
    <x v="11"/>
    <x v="553"/>
    <x v="334"/>
    <x v="70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770167"/>
    <m/>
    <x v="1"/>
    <n v="770167"/>
  </r>
  <r>
    <x v="1"/>
    <x v="18"/>
    <x v="18"/>
    <x v="7"/>
    <s v="Otros Subsidios"/>
    <x v="11"/>
    <x v="553"/>
    <x v="336"/>
    <x v="706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385083"/>
    <m/>
    <x v="1"/>
    <n v="385083"/>
  </r>
  <r>
    <x v="1"/>
    <x v="18"/>
    <x v="18"/>
    <x v="7"/>
    <s v="Otros Subsidios"/>
    <x v="11"/>
    <x v="553"/>
    <x v="337"/>
    <x v="707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385083"/>
    <m/>
    <x v="1"/>
    <n v="385083"/>
  </r>
  <r>
    <x v="1"/>
    <x v="18"/>
    <x v="18"/>
    <x v="7"/>
    <s v="Otros Subsidios"/>
    <x v="11"/>
    <x v="553"/>
    <x v="339"/>
    <x v="709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385083"/>
    <m/>
    <x v="1"/>
    <n v="385083"/>
  </r>
  <r>
    <x v="1"/>
    <x v="18"/>
    <x v="18"/>
    <x v="7"/>
    <s v="Otros Subsidios"/>
    <x v="11"/>
    <x v="553"/>
    <x v="341"/>
    <x v="711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855741"/>
    <m/>
    <x v="1"/>
    <n v="855741"/>
  </r>
  <r>
    <x v="1"/>
    <x v="18"/>
    <x v="18"/>
    <x v="7"/>
    <s v="Otros Subsidios"/>
    <x v="11"/>
    <x v="553"/>
    <x v="319"/>
    <x v="67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684593"/>
    <m/>
    <x v="1"/>
    <n v="684593"/>
  </r>
  <r>
    <x v="1"/>
    <x v="18"/>
    <x v="18"/>
    <x v="7"/>
    <s v="Otros Subsidios"/>
    <x v="11"/>
    <x v="553"/>
    <x v="343"/>
    <x v="713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427870"/>
    <m/>
    <x v="1"/>
    <n v="427870"/>
  </r>
  <r>
    <x v="1"/>
    <x v="18"/>
    <x v="18"/>
    <x v="7"/>
    <s v="Otros Subsidios"/>
    <x v="11"/>
    <x v="553"/>
    <x v="344"/>
    <x v="714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684593"/>
    <m/>
    <x v="1"/>
    <n v="684593"/>
  </r>
  <r>
    <x v="1"/>
    <x v="18"/>
    <x v="18"/>
    <x v="7"/>
    <s v="Otros Subsidios"/>
    <x v="11"/>
    <x v="553"/>
    <x v="345"/>
    <x v="715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427870"/>
    <m/>
    <x v="1"/>
    <n v="427870"/>
  </r>
  <r>
    <x v="1"/>
    <x v="18"/>
    <x v="18"/>
    <x v="7"/>
    <s v="Otros Subsidios"/>
    <x v="11"/>
    <x v="553"/>
    <x v="346"/>
    <x v="716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1026888"/>
    <m/>
    <x v="1"/>
    <n v="1026888"/>
  </r>
  <r>
    <x v="1"/>
    <x v="18"/>
    <x v="18"/>
    <x v="7"/>
    <s v="Otros Subsidios"/>
    <x v="11"/>
    <x v="553"/>
    <x v="348"/>
    <x v="718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242404"/>
    <m/>
    <x v="1"/>
    <n v="242404"/>
  </r>
  <r>
    <x v="1"/>
    <x v="18"/>
    <x v="18"/>
    <x v="7"/>
    <s v="Otros Subsidios"/>
    <x v="11"/>
    <x v="553"/>
    <x v="350"/>
    <x v="720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898527"/>
    <m/>
    <x v="1"/>
    <n v="898527"/>
  </r>
  <r>
    <x v="1"/>
    <x v="18"/>
    <x v="18"/>
    <x v="7"/>
    <s v="Otros Subsidios"/>
    <x v="11"/>
    <x v="553"/>
    <x v="352"/>
    <x v="722"/>
    <n v="2"/>
    <s v="Desarrollo Social"/>
    <n v="4"/>
    <s v="Agua Potable y Alcantarillado"/>
    <n v="1"/>
    <x v="62"/>
    <x v="1"/>
    <x v="132"/>
    <n v="2"/>
    <s v="Gasto de capital"/>
    <x v="0"/>
    <x v="0"/>
    <x v="0"/>
    <x v="0"/>
    <x v="0"/>
    <x v="0"/>
    <x v="0"/>
    <m/>
    <x v="0"/>
    <x v="0"/>
    <m/>
    <m/>
    <m/>
    <m/>
    <m/>
    <n v="684593"/>
    <m/>
    <x v="1"/>
    <n v="684593"/>
  </r>
  <r>
    <x v="1"/>
    <x v="18"/>
    <x v="18"/>
    <x v="7"/>
    <s v="Otros Subsidios"/>
    <x v="13"/>
    <x v="554"/>
    <x v="76"/>
    <x v="778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m/>
    <m/>
    <m/>
    <m/>
    <n v="22429564"/>
    <m/>
    <x v="1"/>
    <n v="22429564"/>
  </r>
  <r>
    <x v="1"/>
    <x v="18"/>
    <x v="18"/>
    <x v="7"/>
    <s v="Otros Subsidios"/>
    <x v="13"/>
    <x v="554"/>
    <x v="76"/>
    <x v="778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0"/>
    <x v="0"/>
    <x v="0"/>
    <m/>
    <x v="0"/>
    <x v="0"/>
    <m/>
    <n v="186748230"/>
    <n v="547316977"/>
    <n v="-23231639"/>
    <n v="710833568"/>
    <n v="400902456"/>
    <m/>
    <x v="1"/>
    <n v="400902456"/>
  </r>
  <r>
    <x v="1"/>
    <x v="18"/>
    <x v="18"/>
    <x v="7"/>
    <s v="Otros Subsidios"/>
    <x v="16"/>
    <x v="555"/>
    <x v="323"/>
    <x v="69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n v="40000000"/>
    <n v="0"/>
    <n v="0"/>
    <n v="40000000"/>
    <n v="13999260"/>
    <m/>
    <x v="1"/>
    <n v="13999260"/>
  </r>
  <r>
    <x v="1"/>
    <x v="18"/>
    <x v="18"/>
    <x v="7"/>
    <s v="Otros Subsidios"/>
    <x v="16"/>
    <x v="555"/>
    <x v="325"/>
    <x v="69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33709"/>
    <m/>
    <x v="1"/>
    <n v="633709"/>
  </r>
  <r>
    <x v="1"/>
    <x v="18"/>
    <x v="18"/>
    <x v="7"/>
    <s v="Otros Subsidios"/>
    <x v="16"/>
    <x v="555"/>
    <x v="326"/>
    <x v="69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364277"/>
    <m/>
    <x v="1"/>
    <n v="4364277"/>
  </r>
  <r>
    <x v="1"/>
    <x v="18"/>
    <x v="18"/>
    <x v="7"/>
    <s v="Otros Subsidios"/>
    <x v="16"/>
    <x v="555"/>
    <x v="327"/>
    <x v="69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353287"/>
    <m/>
    <x v="1"/>
    <n v="2353287"/>
  </r>
  <r>
    <x v="1"/>
    <x v="18"/>
    <x v="18"/>
    <x v="7"/>
    <s v="Otros Subsidios"/>
    <x v="16"/>
    <x v="555"/>
    <x v="328"/>
    <x v="69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41805"/>
    <m/>
    <x v="1"/>
    <n v="641805"/>
  </r>
  <r>
    <x v="1"/>
    <x v="18"/>
    <x v="18"/>
    <x v="7"/>
    <s v="Otros Subsidios"/>
    <x v="16"/>
    <x v="555"/>
    <x v="329"/>
    <x v="69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84593"/>
    <m/>
    <x v="1"/>
    <n v="684593"/>
  </r>
  <r>
    <x v="1"/>
    <x v="18"/>
    <x v="18"/>
    <x v="7"/>
    <s v="Otros Subsidios"/>
    <x v="16"/>
    <x v="555"/>
    <x v="331"/>
    <x v="70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27380"/>
    <m/>
    <x v="1"/>
    <n v="727380"/>
  </r>
  <r>
    <x v="1"/>
    <x v="18"/>
    <x v="18"/>
    <x v="7"/>
    <s v="Otros Subsidios"/>
    <x v="16"/>
    <x v="555"/>
    <x v="332"/>
    <x v="702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968203"/>
    <m/>
    <x v="1"/>
    <n v="1968203"/>
  </r>
  <r>
    <x v="1"/>
    <x v="18"/>
    <x v="18"/>
    <x v="7"/>
    <s v="Otros Subsidios"/>
    <x v="16"/>
    <x v="555"/>
    <x v="336"/>
    <x v="70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84593"/>
    <m/>
    <x v="1"/>
    <n v="684593"/>
  </r>
  <r>
    <x v="1"/>
    <x v="18"/>
    <x v="18"/>
    <x v="7"/>
    <s v="Otros Subsidios"/>
    <x v="16"/>
    <x v="555"/>
    <x v="339"/>
    <x v="709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70167"/>
    <m/>
    <x v="1"/>
    <n v="770167"/>
  </r>
  <r>
    <x v="1"/>
    <x v="18"/>
    <x v="18"/>
    <x v="7"/>
    <s v="Otros Subsidios"/>
    <x v="16"/>
    <x v="555"/>
    <x v="341"/>
    <x v="711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754269"/>
    <m/>
    <x v="1"/>
    <n v="1754269"/>
  </r>
  <r>
    <x v="1"/>
    <x v="18"/>
    <x v="18"/>
    <x v="7"/>
    <s v="Otros Subsidios"/>
    <x v="16"/>
    <x v="555"/>
    <x v="319"/>
    <x v="67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27870"/>
    <m/>
    <x v="1"/>
    <n v="427870"/>
  </r>
  <r>
    <x v="1"/>
    <x v="18"/>
    <x v="18"/>
    <x v="7"/>
    <s v="Otros Subsidios"/>
    <x v="16"/>
    <x v="555"/>
    <x v="343"/>
    <x v="713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4103276"/>
    <m/>
    <x v="1"/>
    <n v="4103276"/>
  </r>
  <r>
    <x v="1"/>
    <x v="18"/>
    <x v="18"/>
    <x v="7"/>
    <s v="Otros Subsidios"/>
    <x v="16"/>
    <x v="555"/>
    <x v="344"/>
    <x v="714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2567222"/>
    <m/>
    <x v="1"/>
    <n v="2567222"/>
  </r>
  <r>
    <x v="1"/>
    <x v="18"/>
    <x v="18"/>
    <x v="7"/>
    <s v="Otros Subsidios"/>
    <x v="16"/>
    <x v="555"/>
    <x v="345"/>
    <x v="715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770167"/>
    <m/>
    <x v="1"/>
    <n v="770167"/>
  </r>
  <r>
    <x v="1"/>
    <x v="18"/>
    <x v="18"/>
    <x v="7"/>
    <s v="Otros Subsidios"/>
    <x v="16"/>
    <x v="555"/>
    <x v="346"/>
    <x v="716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283611"/>
    <m/>
    <x v="1"/>
    <n v="1283611"/>
  </r>
  <r>
    <x v="1"/>
    <x v="18"/>
    <x v="18"/>
    <x v="7"/>
    <s v="Otros Subsidios"/>
    <x v="16"/>
    <x v="555"/>
    <x v="347"/>
    <x v="717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546733"/>
    <m/>
    <x v="1"/>
    <n v="546733"/>
  </r>
  <r>
    <x v="1"/>
    <x v="18"/>
    <x v="18"/>
    <x v="7"/>
    <s v="Otros Subsidios"/>
    <x v="16"/>
    <x v="555"/>
    <x v="348"/>
    <x v="718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1112463"/>
    <m/>
    <x v="1"/>
    <n v="1112463"/>
  </r>
  <r>
    <x v="1"/>
    <x v="18"/>
    <x v="18"/>
    <x v="7"/>
    <s v="Otros Subsidios"/>
    <x v="16"/>
    <x v="555"/>
    <x v="350"/>
    <x v="720"/>
    <n v="3"/>
    <s v="Desarrollo Económico"/>
    <n v="9"/>
    <s v="Desarrollo Sustentable"/>
    <n v="1"/>
    <x v="65"/>
    <x v="1"/>
    <x v="132"/>
    <n v="1"/>
    <s v="Gasto corriente"/>
    <x v="0"/>
    <x v="0"/>
    <x v="0"/>
    <x v="0"/>
    <x v="0"/>
    <x v="0"/>
    <x v="0"/>
    <m/>
    <x v="0"/>
    <x v="0"/>
    <m/>
    <m/>
    <m/>
    <m/>
    <m/>
    <n v="684593"/>
    <m/>
    <x v="1"/>
    <n v="684593"/>
  </r>
  <r>
    <x v="1"/>
    <x v="18"/>
    <x v="18"/>
    <x v="7"/>
    <s v="Otros Subsidios"/>
    <x v="22"/>
    <x v="556"/>
    <x v="360"/>
    <x v="761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n v="50000000"/>
    <n v="0"/>
    <n v="0"/>
    <n v="50000000"/>
    <n v="67150918"/>
    <m/>
    <x v="1"/>
    <n v="67150918"/>
  </r>
  <r>
    <x v="1"/>
    <x v="18"/>
    <x v="18"/>
    <x v="7"/>
    <s v="Otros Subsidios"/>
    <x v="23"/>
    <x v="557"/>
    <x v="87"/>
    <x v="757"/>
    <n v="3"/>
    <s v="Desarrollo Económico"/>
    <n v="9"/>
    <s v="Desarrollo Sustentable"/>
    <n v="2"/>
    <x v="63"/>
    <x v="9"/>
    <x v="138"/>
    <n v="1"/>
    <s v="Gasto corriente"/>
    <x v="0"/>
    <x v="0"/>
    <x v="1"/>
    <x v="0"/>
    <x v="1"/>
    <x v="0"/>
    <x v="0"/>
    <m/>
    <x v="0"/>
    <x v="0"/>
    <m/>
    <n v="443000"/>
    <n v="798000"/>
    <n v="0"/>
    <n v="1241000"/>
    <n v="5071530"/>
    <m/>
    <x v="1"/>
    <n v="5071530"/>
  </r>
  <r>
    <x v="1"/>
    <x v="18"/>
    <x v="18"/>
    <x v="7"/>
    <s v="Otros Subsidios"/>
    <x v="23"/>
    <x v="557"/>
    <x v="87"/>
    <x v="757"/>
    <n v="3"/>
    <s v="Desarrollo Económico"/>
    <n v="9"/>
    <s v="Desarrollo Sustentable"/>
    <n v="2"/>
    <x v="63"/>
    <x v="9"/>
    <x v="138"/>
    <n v="2"/>
    <s v="Gasto de capital"/>
    <x v="0"/>
    <x v="0"/>
    <x v="1"/>
    <x v="0"/>
    <x v="1"/>
    <x v="0"/>
    <x v="0"/>
    <m/>
    <x v="0"/>
    <x v="0"/>
    <m/>
    <n v="70949250"/>
    <n v="52855494"/>
    <n v="0"/>
    <n v="123804744"/>
    <n v="74524720"/>
    <m/>
    <x v="119"/>
    <n v="1724524720"/>
  </r>
  <r>
    <x v="1"/>
    <x v="18"/>
    <x v="18"/>
    <x v="7"/>
    <s v="Otros Subsidios"/>
    <x v="24"/>
    <x v="558"/>
    <x v="18"/>
    <x v="73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64700"/>
    <n v="0"/>
    <n v="0"/>
    <n v="64700"/>
    <n v="49400"/>
    <m/>
    <x v="1"/>
    <n v="49400"/>
  </r>
  <r>
    <x v="1"/>
    <x v="18"/>
    <x v="18"/>
    <x v="7"/>
    <s v="Otros Subsidios"/>
    <x v="24"/>
    <x v="558"/>
    <x v="83"/>
    <x v="73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42354"/>
    <n v="0"/>
    <n v="0"/>
    <n v="42354"/>
    <n v="42354"/>
    <m/>
    <x v="1"/>
    <n v="42354"/>
  </r>
  <r>
    <x v="1"/>
    <x v="18"/>
    <x v="18"/>
    <x v="7"/>
    <s v="Otros Subsidios"/>
    <x v="24"/>
    <x v="558"/>
    <x v="108"/>
    <x v="68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37600"/>
    <n v="0"/>
    <n v="0"/>
    <n v="37600"/>
    <n v="37600"/>
    <m/>
    <x v="1"/>
    <n v="37600"/>
  </r>
  <r>
    <x v="1"/>
    <x v="18"/>
    <x v="18"/>
    <x v="7"/>
    <s v="Otros Subsidios"/>
    <x v="24"/>
    <x v="558"/>
    <x v="109"/>
    <x v="733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56381"/>
    <n v="0"/>
    <n v="0"/>
    <n v="56381"/>
    <n v="56381"/>
    <m/>
    <x v="1"/>
    <n v="56381"/>
  </r>
  <r>
    <x v="1"/>
    <x v="18"/>
    <x v="18"/>
    <x v="7"/>
    <s v="Otros Subsidios"/>
    <x v="24"/>
    <x v="558"/>
    <x v="110"/>
    <x v="734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51300"/>
    <n v="0"/>
    <n v="0"/>
    <n v="51300"/>
    <n v="51300"/>
    <m/>
    <x v="1"/>
    <n v="51300"/>
  </r>
  <r>
    <x v="1"/>
    <x v="18"/>
    <x v="18"/>
    <x v="7"/>
    <s v="Otros Subsidios"/>
    <x v="24"/>
    <x v="558"/>
    <x v="26"/>
    <x v="68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298621"/>
    <n v="0"/>
    <n v="0"/>
    <n v="298621"/>
    <n v="161300"/>
    <m/>
    <x v="1"/>
    <n v="161300"/>
  </r>
  <r>
    <x v="1"/>
    <x v="18"/>
    <x v="18"/>
    <x v="7"/>
    <s v="Otros Subsidios"/>
    <x v="24"/>
    <x v="558"/>
    <x v="27"/>
    <x v="735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51600"/>
    <n v="0"/>
    <n v="0"/>
    <n v="51600"/>
    <n v="51600"/>
    <m/>
    <x v="1"/>
    <n v="51600"/>
  </r>
  <r>
    <x v="1"/>
    <x v="18"/>
    <x v="18"/>
    <x v="7"/>
    <s v="Otros Subsidios"/>
    <x v="24"/>
    <x v="558"/>
    <x v="28"/>
    <x v="736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49250"/>
    <n v="0"/>
    <n v="0"/>
    <n v="49250"/>
    <n v="42550"/>
    <m/>
    <x v="1"/>
    <n v="42550"/>
  </r>
  <r>
    <x v="1"/>
    <x v="18"/>
    <x v="18"/>
    <x v="7"/>
    <s v="Otros Subsidios"/>
    <x v="24"/>
    <x v="558"/>
    <x v="29"/>
    <x v="683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35200"/>
    <n v="0"/>
    <n v="0"/>
    <n v="35200"/>
    <n v="33200"/>
    <m/>
    <x v="1"/>
    <n v="33200"/>
  </r>
  <r>
    <x v="1"/>
    <x v="18"/>
    <x v="18"/>
    <x v="7"/>
    <s v="Otros Subsidios"/>
    <x v="24"/>
    <x v="558"/>
    <x v="111"/>
    <x v="684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14425"/>
    <n v="0"/>
    <n v="0"/>
    <n v="114425"/>
    <n v="97900"/>
    <m/>
    <x v="1"/>
    <n v="97900"/>
  </r>
  <r>
    <x v="1"/>
    <x v="18"/>
    <x v="18"/>
    <x v="7"/>
    <s v="Otros Subsidios"/>
    <x v="24"/>
    <x v="558"/>
    <x v="121"/>
    <x v="685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60131"/>
    <n v="0"/>
    <n v="0"/>
    <n v="60131"/>
    <n v="60131"/>
    <m/>
    <x v="1"/>
    <n v="60131"/>
  </r>
  <r>
    <x v="1"/>
    <x v="18"/>
    <x v="18"/>
    <x v="7"/>
    <s v="Otros Subsidios"/>
    <x v="24"/>
    <x v="558"/>
    <x v="122"/>
    <x v="737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45870"/>
    <n v="0"/>
    <n v="0"/>
    <n v="145870"/>
    <n v="145870"/>
    <m/>
    <x v="1"/>
    <n v="145870"/>
  </r>
  <r>
    <x v="1"/>
    <x v="18"/>
    <x v="18"/>
    <x v="7"/>
    <s v="Otros Subsidios"/>
    <x v="24"/>
    <x v="558"/>
    <x v="123"/>
    <x v="740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66965"/>
    <n v="0"/>
    <n v="0"/>
    <n v="66965"/>
    <n v="66965"/>
    <m/>
    <x v="1"/>
    <n v="66965"/>
  </r>
  <r>
    <x v="1"/>
    <x v="18"/>
    <x v="18"/>
    <x v="7"/>
    <s v="Otros Subsidios"/>
    <x v="24"/>
    <x v="558"/>
    <x v="116"/>
    <x v="686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6600"/>
    <n v="0"/>
    <n v="0"/>
    <n v="16600"/>
    <n v="17400"/>
    <m/>
    <x v="1"/>
    <n v="17400"/>
  </r>
  <r>
    <x v="1"/>
    <x v="18"/>
    <x v="18"/>
    <x v="7"/>
    <s v="Otros Subsidios"/>
    <x v="24"/>
    <x v="558"/>
    <x v="114"/>
    <x v="74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5110"/>
    <n v="0"/>
    <n v="0"/>
    <n v="5110"/>
    <n v="5160"/>
    <m/>
    <x v="1"/>
    <n v="5160"/>
  </r>
  <r>
    <x v="1"/>
    <x v="18"/>
    <x v="18"/>
    <x v="7"/>
    <s v="Otros Subsidios"/>
    <x v="24"/>
    <x v="558"/>
    <x v="117"/>
    <x v="687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81332"/>
    <n v="0"/>
    <n v="0"/>
    <n v="81332"/>
    <n v="85379"/>
    <m/>
    <x v="1"/>
    <n v="85379"/>
  </r>
  <r>
    <x v="1"/>
    <x v="18"/>
    <x v="18"/>
    <x v="7"/>
    <s v="Otros Subsidios"/>
    <x v="24"/>
    <x v="558"/>
    <x v="124"/>
    <x v="74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28900"/>
    <n v="0"/>
    <n v="0"/>
    <n v="28900"/>
    <n v="36900"/>
    <m/>
    <x v="1"/>
    <n v="36900"/>
  </r>
  <r>
    <x v="1"/>
    <x v="18"/>
    <x v="18"/>
    <x v="7"/>
    <s v="Otros Subsidios"/>
    <x v="24"/>
    <x v="558"/>
    <x v="125"/>
    <x v="688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50106"/>
    <n v="0"/>
    <n v="0"/>
    <n v="150106"/>
    <n v="150106"/>
    <m/>
    <x v="1"/>
    <n v="150106"/>
  </r>
  <r>
    <x v="1"/>
    <x v="18"/>
    <x v="18"/>
    <x v="7"/>
    <s v="Otros Subsidios"/>
    <x v="24"/>
    <x v="558"/>
    <x v="126"/>
    <x v="743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49750"/>
    <n v="0"/>
    <n v="0"/>
    <n v="49750"/>
    <n v="49750"/>
    <m/>
    <x v="1"/>
    <n v="49750"/>
  </r>
  <r>
    <x v="1"/>
    <x v="18"/>
    <x v="18"/>
    <x v="7"/>
    <s v="Otros Subsidios"/>
    <x v="24"/>
    <x v="558"/>
    <x v="127"/>
    <x v="744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5725"/>
    <n v="0"/>
    <n v="0"/>
    <n v="5725"/>
    <n v="5725"/>
    <m/>
    <x v="1"/>
    <n v="5725"/>
  </r>
  <r>
    <x v="1"/>
    <x v="18"/>
    <x v="18"/>
    <x v="7"/>
    <s v="Otros Subsidios"/>
    <x v="24"/>
    <x v="558"/>
    <x v="128"/>
    <x v="745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66800"/>
    <n v="0"/>
    <n v="0"/>
    <n v="66800"/>
    <n v="58500"/>
    <m/>
    <x v="1"/>
    <n v="58500"/>
  </r>
  <r>
    <x v="1"/>
    <x v="18"/>
    <x v="18"/>
    <x v="7"/>
    <s v="Otros Subsidios"/>
    <x v="24"/>
    <x v="558"/>
    <x v="129"/>
    <x v="746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80280"/>
    <n v="0"/>
    <n v="0"/>
    <n v="180280"/>
    <n v="180280"/>
    <m/>
    <x v="1"/>
    <n v="180280"/>
  </r>
  <r>
    <x v="1"/>
    <x v="18"/>
    <x v="18"/>
    <x v="7"/>
    <s v="Otros Subsidios"/>
    <x v="24"/>
    <x v="558"/>
    <x v="131"/>
    <x v="748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98600"/>
    <n v="0"/>
    <n v="0"/>
    <n v="198600"/>
    <n v="208600"/>
    <m/>
    <x v="1"/>
    <n v="208600"/>
  </r>
  <r>
    <x v="1"/>
    <x v="18"/>
    <x v="18"/>
    <x v="7"/>
    <s v="Otros Subsidios"/>
    <x v="24"/>
    <x v="558"/>
    <x v="132"/>
    <x v="749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86330"/>
    <n v="0"/>
    <n v="0"/>
    <n v="186330"/>
    <n v="272530"/>
    <m/>
    <x v="1"/>
    <n v="272530"/>
  </r>
  <r>
    <x v="1"/>
    <x v="18"/>
    <x v="18"/>
    <x v="7"/>
    <s v="Otros Subsidios"/>
    <x v="24"/>
    <x v="558"/>
    <x v="133"/>
    <x v="689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1109640"/>
    <n v="0"/>
    <n v="0"/>
    <n v="1109640"/>
    <n v="1109640"/>
    <m/>
    <x v="1"/>
    <n v="1109640"/>
  </r>
  <r>
    <x v="1"/>
    <x v="18"/>
    <x v="18"/>
    <x v="7"/>
    <s v="Otros Subsidios"/>
    <x v="24"/>
    <x v="558"/>
    <x v="134"/>
    <x v="750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24690"/>
    <n v="0"/>
    <n v="0"/>
    <n v="24690"/>
    <n v="24690"/>
    <m/>
    <x v="1"/>
    <n v="24690"/>
  </r>
  <r>
    <x v="1"/>
    <x v="18"/>
    <x v="18"/>
    <x v="7"/>
    <s v="Otros Subsidios"/>
    <x v="24"/>
    <x v="558"/>
    <x v="135"/>
    <x v="751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1"/>
    <x v="0"/>
    <x v="0"/>
    <m/>
    <x v="0"/>
    <x v="0"/>
    <m/>
    <n v="36750"/>
    <n v="0"/>
    <n v="0"/>
    <n v="36750"/>
    <n v="36750"/>
    <m/>
    <x v="1"/>
    <n v="36750"/>
  </r>
  <r>
    <x v="1"/>
    <x v="18"/>
    <x v="18"/>
    <x v="7"/>
    <s v="Otros Subsidios"/>
    <x v="24"/>
    <x v="558"/>
    <x v="84"/>
    <x v="752"/>
    <n v="3"/>
    <s v="Desarrollo Económico"/>
    <n v="9"/>
    <s v="Desarrollo Sustentable"/>
    <n v="2"/>
    <x v="63"/>
    <x v="15"/>
    <x v="133"/>
    <n v="1"/>
    <s v="Gasto corriente"/>
    <x v="0"/>
    <x v="1"/>
    <x v="0"/>
    <x v="0"/>
    <x v="0"/>
    <x v="0"/>
    <x v="0"/>
    <m/>
    <x v="0"/>
    <x v="0"/>
    <m/>
    <n v="678038"/>
    <n v="0"/>
    <n v="0"/>
    <n v="678038"/>
    <n v="812374"/>
    <m/>
    <x v="1"/>
    <n v="812374"/>
  </r>
  <r>
    <x v="1"/>
    <x v="18"/>
    <x v="18"/>
    <x v="7"/>
    <s v="Otros Subsidios"/>
    <x v="24"/>
    <x v="558"/>
    <x v="84"/>
    <x v="752"/>
    <n v="3"/>
    <s v="Desarrollo Económico"/>
    <n v="9"/>
    <s v="Desarrollo Sustentable"/>
    <n v="2"/>
    <x v="63"/>
    <x v="15"/>
    <x v="133"/>
    <n v="1"/>
    <s v="Gasto corriente"/>
    <x v="0"/>
    <x v="0"/>
    <x v="0"/>
    <x v="0"/>
    <x v="0"/>
    <x v="0"/>
    <x v="0"/>
    <m/>
    <x v="0"/>
    <x v="0"/>
    <m/>
    <n v="17627923"/>
    <n v="70606120"/>
    <n v="-270541"/>
    <n v="87963502"/>
    <n v="17444807"/>
    <m/>
    <x v="1"/>
    <n v="17444807"/>
  </r>
  <r>
    <x v="1"/>
    <x v="18"/>
    <x v="18"/>
    <x v="7"/>
    <s v="Otros Subsidios"/>
    <x v="24"/>
    <x v="558"/>
    <x v="84"/>
    <x v="752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0"/>
    <x v="0"/>
    <x v="0"/>
    <m/>
    <x v="0"/>
    <x v="0"/>
    <m/>
    <n v="0"/>
    <n v="53211840"/>
    <n v="0"/>
    <n v="53211840"/>
    <n v="5000000"/>
    <m/>
    <x v="1"/>
    <n v="5000000"/>
  </r>
  <r>
    <x v="1"/>
    <x v="18"/>
    <x v="18"/>
    <x v="7"/>
    <s v="Otros Subsidios"/>
    <x v="24"/>
    <x v="558"/>
    <x v="84"/>
    <x v="752"/>
    <n v="3"/>
    <s v="Desarrollo Económico"/>
    <n v="9"/>
    <s v="Desarrollo Sustentable"/>
    <n v="2"/>
    <x v="63"/>
    <x v="9"/>
    <x v="138"/>
    <n v="1"/>
    <s v="Gasto corriente"/>
    <x v="0"/>
    <x v="0"/>
    <x v="0"/>
    <x v="0"/>
    <x v="0"/>
    <x v="0"/>
    <x v="0"/>
    <m/>
    <x v="0"/>
    <x v="0"/>
    <m/>
    <m/>
    <m/>
    <m/>
    <m/>
    <n v="2600000"/>
    <m/>
    <x v="1"/>
    <n v="2600000"/>
  </r>
  <r>
    <x v="1"/>
    <x v="18"/>
    <x v="18"/>
    <x v="7"/>
    <s v="Otros Subsidios"/>
    <x v="24"/>
    <x v="558"/>
    <x v="84"/>
    <x v="752"/>
    <n v="3"/>
    <s v="Desarrollo Económico"/>
    <n v="9"/>
    <s v="Desarrollo Sustentable"/>
    <n v="2"/>
    <x v="63"/>
    <x v="9"/>
    <x v="138"/>
    <n v="2"/>
    <s v="Gasto de capital"/>
    <x v="0"/>
    <x v="0"/>
    <x v="0"/>
    <x v="0"/>
    <x v="0"/>
    <x v="0"/>
    <x v="0"/>
    <m/>
    <x v="0"/>
    <x v="0"/>
    <m/>
    <n v="5000000"/>
    <n v="0"/>
    <n v="0"/>
    <n v="5000000"/>
    <n v="4400000"/>
    <m/>
    <x v="1"/>
    <n v="4400000"/>
  </r>
  <r>
    <x v="1"/>
    <x v="18"/>
    <x v="18"/>
    <x v="7"/>
    <s v="Otros Subsidios"/>
    <x v="20"/>
    <x v="559"/>
    <x v="1"/>
    <x v="78"/>
    <n v="3"/>
    <s v="Desarrollo Económico"/>
    <n v="9"/>
    <s v="Desarrollo Sustentable"/>
    <n v="2"/>
    <x v="63"/>
    <x v="9"/>
    <x v="138"/>
    <n v="1"/>
    <s v="Gasto corriente"/>
    <x v="0"/>
    <x v="0"/>
    <x v="1"/>
    <x v="0"/>
    <x v="0"/>
    <x v="0"/>
    <x v="0"/>
    <m/>
    <x v="0"/>
    <x v="1"/>
    <m/>
    <n v="47700000"/>
    <n v="8800000"/>
    <n v="0"/>
    <n v="56500000"/>
    <n v="152700000"/>
    <m/>
    <x v="1"/>
    <n v="152700000"/>
  </r>
  <r>
    <x v="1"/>
    <x v="18"/>
    <x v="18"/>
    <x v="7"/>
    <s v="Otros Subsidios"/>
    <x v="20"/>
    <x v="559"/>
    <x v="20"/>
    <x v="679"/>
    <n v="3"/>
    <s v="Desarrollo Económico"/>
    <n v="9"/>
    <s v="Desarrollo Sustentable"/>
    <n v="2"/>
    <x v="63"/>
    <x v="15"/>
    <x v="133"/>
    <n v="1"/>
    <s v="Gasto corriente"/>
    <x v="0"/>
    <x v="1"/>
    <x v="1"/>
    <x v="0"/>
    <x v="0"/>
    <x v="0"/>
    <x v="0"/>
    <m/>
    <x v="0"/>
    <x v="1"/>
    <m/>
    <m/>
    <m/>
    <m/>
    <m/>
    <n v="1008856"/>
    <m/>
    <x v="1"/>
    <n v="1008856"/>
  </r>
  <r>
    <x v="1"/>
    <x v="18"/>
    <x v="18"/>
    <x v="7"/>
    <s v="Otros Subsidios"/>
    <x v="20"/>
    <x v="559"/>
    <x v="20"/>
    <x v="679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1"/>
    <m/>
    <m/>
    <m/>
    <m/>
    <m/>
    <n v="35122902"/>
    <m/>
    <x v="1"/>
    <n v="35122902"/>
  </r>
  <r>
    <x v="1"/>
    <x v="18"/>
    <x v="18"/>
    <x v="7"/>
    <s v="Otros Subsidios"/>
    <x v="20"/>
    <x v="559"/>
    <x v="107"/>
    <x v="680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138239"/>
    <m/>
    <x v="1"/>
    <n v="138239"/>
  </r>
  <r>
    <x v="1"/>
    <x v="18"/>
    <x v="18"/>
    <x v="7"/>
    <s v="Otros Subsidios"/>
    <x v="20"/>
    <x v="559"/>
    <x v="108"/>
    <x v="681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36750"/>
    <m/>
    <x v="1"/>
    <n v="36750"/>
  </r>
  <r>
    <x v="1"/>
    <x v="18"/>
    <x v="18"/>
    <x v="7"/>
    <s v="Otros Subsidios"/>
    <x v="20"/>
    <x v="559"/>
    <x v="26"/>
    <x v="682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136175"/>
    <m/>
    <x v="1"/>
    <n v="136175"/>
  </r>
  <r>
    <x v="1"/>
    <x v="18"/>
    <x v="18"/>
    <x v="7"/>
    <s v="Otros Subsidios"/>
    <x v="20"/>
    <x v="559"/>
    <x v="29"/>
    <x v="683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163530"/>
    <m/>
    <x v="1"/>
    <n v="163530"/>
  </r>
  <r>
    <x v="1"/>
    <x v="18"/>
    <x v="18"/>
    <x v="7"/>
    <s v="Otros Subsidios"/>
    <x v="20"/>
    <x v="559"/>
    <x v="29"/>
    <x v="683"/>
    <n v="3"/>
    <s v="Desarrollo Económico"/>
    <n v="9"/>
    <s v="Desarrollo Sustentable"/>
    <n v="2"/>
    <x v="63"/>
    <x v="15"/>
    <x v="133"/>
    <n v="2"/>
    <s v="Gasto de capital"/>
    <x v="0"/>
    <x v="0"/>
    <x v="1"/>
    <x v="0"/>
    <x v="1"/>
    <x v="0"/>
    <x v="0"/>
    <m/>
    <x v="0"/>
    <x v="1"/>
    <m/>
    <n v="310000"/>
    <n v="0"/>
    <n v="0"/>
    <n v="310000"/>
    <n v="310000"/>
    <m/>
    <x v="1"/>
    <n v="310000"/>
  </r>
  <r>
    <x v="1"/>
    <x v="18"/>
    <x v="18"/>
    <x v="7"/>
    <s v="Otros Subsidios"/>
    <x v="20"/>
    <x v="559"/>
    <x v="111"/>
    <x v="684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50000"/>
    <m/>
    <x v="1"/>
    <n v="50000"/>
  </r>
  <r>
    <x v="1"/>
    <x v="18"/>
    <x v="18"/>
    <x v="7"/>
    <s v="Otros Subsidios"/>
    <x v="20"/>
    <x v="559"/>
    <x v="121"/>
    <x v="685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29512"/>
    <m/>
    <x v="1"/>
    <n v="29512"/>
  </r>
  <r>
    <x v="1"/>
    <x v="18"/>
    <x v="18"/>
    <x v="7"/>
    <s v="Otros Subsidios"/>
    <x v="20"/>
    <x v="559"/>
    <x v="116"/>
    <x v="686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42500"/>
    <m/>
    <x v="1"/>
    <n v="42500"/>
  </r>
  <r>
    <x v="1"/>
    <x v="18"/>
    <x v="18"/>
    <x v="7"/>
    <s v="Otros Subsidios"/>
    <x v="20"/>
    <x v="559"/>
    <x v="117"/>
    <x v="687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89423"/>
    <m/>
    <x v="1"/>
    <n v="89423"/>
  </r>
  <r>
    <x v="1"/>
    <x v="18"/>
    <x v="18"/>
    <x v="7"/>
    <s v="Otros Subsidios"/>
    <x v="20"/>
    <x v="559"/>
    <x v="125"/>
    <x v="688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120964"/>
    <m/>
    <x v="1"/>
    <n v="120964"/>
  </r>
  <r>
    <x v="1"/>
    <x v="18"/>
    <x v="18"/>
    <x v="7"/>
    <s v="Otros Subsidios"/>
    <x v="20"/>
    <x v="559"/>
    <x v="133"/>
    <x v="689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1"/>
    <x v="0"/>
    <x v="0"/>
    <m/>
    <x v="0"/>
    <x v="1"/>
    <m/>
    <m/>
    <m/>
    <m/>
    <m/>
    <n v="27873"/>
    <m/>
    <x v="1"/>
    <n v="27873"/>
  </r>
  <r>
    <x v="1"/>
    <x v="18"/>
    <x v="18"/>
    <x v="7"/>
    <s v="Otros Subsidios"/>
    <x v="20"/>
    <x v="559"/>
    <x v="38"/>
    <x v="772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1"/>
    <m/>
    <m/>
    <m/>
    <m/>
    <m/>
    <n v="53609230"/>
    <m/>
    <x v="1"/>
    <n v="53609230"/>
  </r>
  <r>
    <x v="1"/>
    <x v="18"/>
    <x v="18"/>
    <x v="7"/>
    <s v="Otros Subsidios"/>
    <x v="20"/>
    <x v="559"/>
    <x v="72"/>
    <x v="777"/>
    <n v="3"/>
    <s v="Desarrollo Económico"/>
    <n v="9"/>
    <s v="Desarrollo Sustentable"/>
    <n v="2"/>
    <x v="63"/>
    <x v="15"/>
    <x v="133"/>
    <n v="1"/>
    <s v="Gasto corriente"/>
    <x v="0"/>
    <x v="0"/>
    <x v="1"/>
    <x v="0"/>
    <x v="0"/>
    <x v="0"/>
    <x v="0"/>
    <m/>
    <x v="0"/>
    <x v="1"/>
    <m/>
    <n v="1007500"/>
    <n v="0"/>
    <n v="-60750"/>
    <n v="946750"/>
    <n v="946750"/>
    <m/>
    <x v="1"/>
    <n v="946750"/>
  </r>
  <r>
    <x v="1"/>
    <x v="18"/>
    <x v="18"/>
    <x v="7"/>
    <s v="Otros Subsidios"/>
    <x v="20"/>
    <x v="559"/>
    <x v="72"/>
    <x v="777"/>
    <n v="3"/>
    <s v="Desarrollo Económico"/>
    <n v="9"/>
    <s v="Desarrollo Sustentable"/>
    <n v="2"/>
    <x v="63"/>
    <x v="15"/>
    <x v="133"/>
    <n v="2"/>
    <s v="Gasto de capital"/>
    <x v="0"/>
    <x v="0"/>
    <x v="1"/>
    <x v="0"/>
    <x v="0"/>
    <x v="0"/>
    <x v="0"/>
    <m/>
    <x v="0"/>
    <x v="1"/>
    <m/>
    <n v="3647600"/>
    <n v="0"/>
    <n v="0"/>
    <n v="3647600"/>
    <n v="3647600"/>
    <m/>
    <x v="1"/>
    <n v="3647600"/>
  </r>
  <r>
    <x v="1"/>
    <x v="18"/>
    <x v="18"/>
    <x v="7"/>
    <s v="Otros Subsidios"/>
    <x v="20"/>
    <x v="559"/>
    <x v="40"/>
    <x v="725"/>
    <n v="3"/>
    <s v="Desarrollo Económico"/>
    <n v="7"/>
    <s v="Ciencia y Tecnología"/>
    <n v="1"/>
    <x v="33"/>
    <x v="4"/>
    <x v="136"/>
    <n v="1"/>
    <s v="Gasto corriente"/>
    <x v="0"/>
    <x v="0"/>
    <x v="1"/>
    <x v="1"/>
    <x v="0"/>
    <x v="0"/>
    <x v="0"/>
    <m/>
    <x v="0"/>
    <x v="1"/>
    <m/>
    <m/>
    <m/>
    <m/>
    <m/>
    <n v="5000000"/>
    <m/>
    <x v="1"/>
    <n v="5000000"/>
  </r>
  <r>
    <x v="1"/>
    <x v="18"/>
    <x v="18"/>
    <x v="7"/>
    <s v="Otros Subsidios"/>
    <x v="21"/>
    <x v="560"/>
    <x v="62"/>
    <x v="754"/>
    <n v="3"/>
    <s v="Desarrollo Económico"/>
    <n v="9"/>
    <s v="Desarrollo Sustentable"/>
    <n v="2"/>
    <x v="63"/>
    <x v="15"/>
    <x v="133"/>
    <n v="2"/>
    <s v="Gasto de capital"/>
    <x v="0"/>
    <x v="0"/>
    <x v="0"/>
    <x v="0"/>
    <x v="0"/>
    <x v="0"/>
    <x v="0"/>
    <m/>
    <x v="0"/>
    <x v="0"/>
    <m/>
    <n v="675468708"/>
    <n v="5800000"/>
    <n v="0"/>
    <n v="681268708"/>
    <n v="781449960"/>
    <m/>
    <x v="1"/>
    <n v="781449960"/>
  </r>
  <r>
    <x v="1"/>
    <x v="18"/>
    <x v="18"/>
    <x v="7"/>
    <s v="Otros Subsidios"/>
    <x v="47"/>
    <x v="561"/>
    <x v="36"/>
    <x v="764"/>
    <n v="3"/>
    <s v="Desarrollo Económico"/>
    <n v="9"/>
    <s v="Desarrollo Sustentable"/>
    <n v="2"/>
    <x v="63"/>
    <x v="9"/>
    <x v="138"/>
    <n v="1"/>
    <s v="Gasto corriente"/>
    <x v="0"/>
    <x v="0"/>
    <x v="0"/>
    <x v="0"/>
    <x v="1"/>
    <x v="0"/>
    <x v="0"/>
    <m/>
    <x v="0"/>
    <x v="0"/>
    <m/>
    <m/>
    <m/>
    <m/>
    <m/>
    <n v="15000000"/>
    <m/>
    <x v="1"/>
    <n v="15000000"/>
  </r>
  <r>
    <x v="1"/>
    <x v="18"/>
    <x v="18"/>
    <x v="7"/>
    <s v="Otros Subsidios"/>
    <x v="47"/>
    <x v="561"/>
    <x v="36"/>
    <x v="764"/>
    <n v="3"/>
    <s v="Desarrollo Económico"/>
    <n v="9"/>
    <s v="Desarrollo Sustentable"/>
    <n v="2"/>
    <x v="63"/>
    <x v="9"/>
    <x v="138"/>
    <n v="2"/>
    <s v="Gasto de capital"/>
    <x v="0"/>
    <x v="0"/>
    <x v="0"/>
    <x v="0"/>
    <x v="1"/>
    <x v="0"/>
    <x v="0"/>
    <m/>
    <x v="0"/>
    <x v="0"/>
    <m/>
    <m/>
    <m/>
    <m/>
    <m/>
    <n v="5000000"/>
    <m/>
    <x v="1"/>
    <n v="5000000"/>
  </r>
  <r>
    <x v="1"/>
    <x v="18"/>
    <x v="18"/>
    <x v="7"/>
    <s v="Otros Subsidios"/>
    <x v="0"/>
    <x v="562"/>
    <x v="36"/>
    <x v="764"/>
    <n v="3"/>
    <s v="Desarrollo Económico"/>
    <n v="9"/>
    <s v="Desarrollo Sustentable"/>
    <n v="2"/>
    <x v="63"/>
    <x v="9"/>
    <x v="138"/>
    <n v="1"/>
    <s v="Gasto corriente"/>
    <x v="0"/>
    <x v="0"/>
    <x v="0"/>
    <x v="0"/>
    <x v="1"/>
    <x v="0"/>
    <x v="0"/>
    <m/>
    <x v="0"/>
    <x v="0"/>
    <m/>
    <n v="9200000"/>
    <n v="0"/>
    <n v="0"/>
    <n v="9200000"/>
    <n v="9200000"/>
    <m/>
    <x v="1"/>
    <n v="9200000"/>
  </r>
  <r>
    <x v="1"/>
    <x v="18"/>
    <x v="18"/>
    <x v="7"/>
    <s v="Otros Subsidios"/>
    <x v="0"/>
    <x v="562"/>
    <x v="36"/>
    <x v="764"/>
    <n v="3"/>
    <s v="Desarrollo Económico"/>
    <n v="9"/>
    <s v="Desarrollo Sustentable"/>
    <n v="2"/>
    <x v="63"/>
    <x v="9"/>
    <x v="138"/>
    <n v="2"/>
    <s v="Gasto de capital"/>
    <x v="0"/>
    <x v="0"/>
    <x v="0"/>
    <x v="0"/>
    <x v="1"/>
    <x v="0"/>
    <x v="0"/>
    <m/>
    <x v="0"/>
    <x v="0"/>
    <m/>
    <n v="30000000"/>
    <n v="0"/>
    <n v="-500000"/>
    <n v="29500000"/>
    <m/>
    <m/>
    <x v="1"/>
    <n v="0"/>
  </r>
  <r>
    <x v="1"/>
    <x v="18"/>
    <x v="18"/>
    <x v="7"/>
    <s v="Otros Subsidios"/>
    <x v="25"/>
    <x v="563"/>
    <x v="40"/>
    <x v="725"/>
    <n v="3"/>
    <s v="Desarrollo Económico"/>
    <n v="7"/>
    <s v="Ciencia y Tecnología"/>
    <n v="1"/>
    <x v="33"/>
    <x v="4"/>
    <x v="136"/>
    <n v="1"/>
    <s v="Gasto corriente"/>
    <x v="0"/>
    <x v="0"/>
    <x v="0"/>
    <x v="1"/>
    <x v="0"/>
    <x v="0"/>
    <x v="0"/>
    <m/>
    <x v="0"/>
    <x v="0"/>
    <m/>
    <m/>
    <m/>
    <m/>
    <m/>
    <n v="14605417"/>
    <m/>
    <x v="1"/>
    <n v="14605417"/>
  </r>
  <r>
    <x v="1"/>
    <x v="18"/>
    <x v="18"/>
    <x v="7"/>
    <s v="Otros Subsidios"/>
    <x v="31"/>
    <x v="564"/>
    <x v="334"/>
    <x v="704"/>
    <n v="3"/>
    <s v="Desarrollo Económico"/>
    <n v="2"/>
    <s v="Desarrollo Agropecuario y Forestal"/>
    <n v="5"/>
    <x v="66"/>
    <x v="1"/>
    <x v="132"/>
    <n v="2"/>
    <s v="Gasto de capital"/>
    <x v="0"/>
    <x v="0"/>
    <x v="0"/>
    <x v="0"/>
    <x v="1"/>
    <x v="0"/>
    <x v="0"/>
    <m/>
    <x v="0"/>
    <x v="0"/>
    <m/>
    <m/>
    <m/>
    <m/>
    <m/>
    <n v="50000000"/>
    <m/>
    <x v="1"/>
    <n v="50000000"/>
  </r>
  <r>
    <x v="1"/>
    <x v="18"/>
    <x v="18"/>
    <x v="7"/>
    <s v="Otros Subsidios"/>
    <x v="26"/>
    <x v="565"/>
    <x v="36"/>
    <x v="764"/>
    <n v="3"/>
    <s v="Desarrollo Económico"/>
    <n v="9"/>
    <s v="Desarrollo Sustentable"/>
    <n v="2"/>
    <x v="63"/>
    <x v="9"/>
    <x v="138"/>
    <n v="2"/>
    <s v="Gasto de capital"/>
    <x v="0"/>
    <x v="0"/>
    <x v="1"/>
    <x v="0"/>
    <x v="1"/>
    <x v="0"/>
    <x v="0"/>
    <m/>
    <x v="0"/>
    <x v="0"/>
    <m/>
    <m/>
    <m/>
    <m/>
    <m/>
    <n v="35000000"/>
    <m/>
    <x v="1"/>
    <n v="35000000"/>
  </r>
  <r>
    <x v="1"/>
    <x v="19"/>
    <x v="19"/>
    <x v="4"/>
    <s v="Prestación de Servicios Públicos"/>
    <x v="3"/>
    <x v="566"/>
    <x v="1"/>
    <x v="780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1"/>
    <m/>
    <x v="0"/>
    <x v="0"/>
    <m/>
    <n v="5952464"/>
    <n v="0"/>
    <n v="0"/>
    <n v="5952464"/>
    <n v="7482173"/>
    <m/>
    <x v="1"/>
    <n v="7482173"/>
  </r>
  <r>
    <x v="1"/>
    <x v="19"/>
    <x v="19"/>
    <x v="4"/>
    <s v="Prestación de Servicios Públicos"/>
    <x v="3"/>
    <x v="566"/>
    <x v="1"/>
    <x v="780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1"/>
    <m/>
    <x v="0"/>
    <x v="0"/>
    <m/>
    <n v="207255603"/>
    <n v="18300000"/>
    <n v="0"/>
    <n v="225555603"/>
    <n v="278511499"/>
    <m/>
    <x v="1"/>
    <n v="278511499"/>
  </r>
  <r>
    <x v="1"/>
    <x v="19"/>
    <x v="19"/>
    <x v="4"/>
    <s v="Prestación de Servicios Públicos"/>
    <x v="3"/>
    <x v="566"/>
    <x v="3"/>
    <x v="9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444242"/>
    <n v="0"/>
    <n v="0"/>
    <n v="2444242"/>
    <n v="3002106"/>
    <m/>
    <x v="1"/>
    <n v="3002106"/>
  </r>
  <r>
    <x v="1"/>
    <x v="19"/>
    <x v="19"/>
    <x v="4"/>
    <s v="Prestación de Servicios Públicos"/>
    <x v="3"/>
    <x v="566"/>
    <x v="3"/>
    <x v="9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87660820"/>
    <n v="0"/>
    <n v="0"/>
    <n v="187660820"/>
    <n v="179610488"/>
    <m/>
    <x v="1"/>
    <n v="179610488"/>
  </r>
  <r>
    <x v="1"/>
    <x v="19"/>
    <x v="19"/>
    <x v="4"/>
    <s v="Prestación de Servicios Públicos"/>
    <x v="3"/>
    <x v="566"/>
    <x v="19"/>
    <x v="781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34530257"/>
    <n v="0"/>
    <n v="0"/>
    <n v="34530257"/>
    <n v="43738383"/>
    <m/>
    <x v="1"/>
    <n v="43738383"/>
  </r>
  <r>
    <x v="1"/>
    <x v="19"/>
    <x v="19"/>
    <x v="4"/>
    <s v="Prestación de Servicios Públicos"/>
    <x v="3"/>
    <x v="566"/>
    <x v="19"/>
    <x v="781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764556303"/>
    <n v="0"/>
    <n v="0"/>
    <n v="764556303"/>
    <n v="731881164"/>
    <m/>
    <x v="1"/>
    <n v="731881164"/>
  </r>
  <r>
    <x v="1"/>
    <x v="19"/>
    <x v="19"/>
    <x v="4"/>
    <s v="Prestación de Servicios Públicos"/>
    <x v="3"/>
    <x v="566"/>
    <x v="24"/>
    <x v="78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79938655"/>
    <n v="0"/>
    <n v="0"/>
    <n v="79938655"/>
    <n v="111909388"/>
    <m/>
    <x v="1"/>
    <n v="111909388"/>
  </r>
  <r>
    <x v="1"/>
    <x v="19"/>
    <x v="19"/>
    <x v="4"/>
    <s v="Prestación de Servicios Públicos"/>
    <x v="3"/>
    <x v="566"/>
    <x v="24"/>
    <x v="78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638842456"/>
    <n v="0"/>
    <n v="-108000000"/>
    <n v="1530842456"/>
    <n v="2270434927"/>
    <n v="102285992"/>
    <x v="1"/>
    <n v="2168148935"/>
  </r>
  <r>
    <x v="1"/>
    <x v="19"/>
    <x v="19"/>
    <x v="4"/>
    <s v="Prestación de Servicios Públicos"/>
    <x v="3"/>
    <x v="566"/>
    <x v="24"/>
    <x v="782"/>
    <n v="1"/>
    <s v="Gobierno"/>
    <n v="6"/>
    <s v="Orden, Seguridad y Justicia"/>
    <n v="3"/>
    <x v="27"/>
    <x v="0"/>
    <x v="139"/>
    <n v="2"/>
    <s v="Gasto de capital"/>
    <x v="0"/>
    <x v="0"/>
    <x v="0"/>
    <x v="0"/>
    <x v="0"/>
    <x v="0"/>
    <x v="0"/>
    <m/>
    <x v="0"/>
    <x v="0"/>
    <m/>
    <n v="49849773"/>
    <n v="0"/>
    <n v="-2158798"/>
    <n v="47690975"/>
    <m/>
    <m/>
    <x v="1"/>
    <n v="0"/>
  </r>
  <r>
    <x v="1"/>
    <x v="19"/>
    <x v="19"/>
    <x v="4"/>
    <s v="Prestación de Servicios Públicos"/>
    <x v="3"/>
    <x v="566"/>
    <x v="7"/>
    <x v="78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44652034"/>
    <n v="0"/>
    <n v="0"/>
    <n v="44652034"/>
    <n v="50851066"/>
    <m/>
    <x v="1"/>
    <n v="50851066"/>
  </r>
  <r>
    <x v="1"/>
    <x v="19"/>
    <x v="19"/>
    <x v="4"/>
    <s v="Prestación de Servicios Públicos"/>
    <x v="3"/>
    <x v="566"/>
    <x v="7"/>
    <x v="78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072422340"/>
    <n v="0"/>
    <n v="-75000000"/>
    <n v="997422340"/>
    <n v="902995222"/>
    <m/>
    <x v="1"/>
    <n v="902995222"/>
  </r>
  <r>
    <x v="1"/>
    <x v="19"/>
    <x v="19"/>
    <x v="4"/>
    <s v="Prestación de Servicios Públicos"/>
    <x v="3"/>
    <x v="566"/>
    <x v="53"/>
    <x v="784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633339"/>
    <n v="0"/>
    <n v="0"/>
    <n v="1633339"/>
    <n v="2078380"/>
    <m/>
    <x v="1"/>
    <n v="2078380"/>
  </r>
  <r>
    <x v="1"/>
    <x v="19"/>
    <x v="19"/>
    <x v="4"/>
    <s v="Prestación de Servicios Públicos"/>
    <x v="3"/>
    <x v="566"/>
    <x v="53"/>
    <x v="784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9118052"/>
    <n v="0"/>
    <n v="0"/>
    <n v="29118052"/>
    <n v="29276839"/>
    <m/>
    <x v="1"/>
    <n v="29276839"/>
  </r>
  <r>
    <x v="1"/>
    <x v="19"/>
    <x v="19"/>
    <x v="4"/>
    <s v="Prestación de Servicios Públicos"/>
    <x v="3"/>
    <x v="566"/>
    <x v="54"/>
    <x v="785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268961"/>
    <n v="0"/>
    <n v="0"/>
    <n v="1268961"/>
    <n v="1570332"/>
    <m/>
    <x v="1"/>
    <n v="1570332"/>
  </r>
  <r>
    <x v="1"/>
    <x v="19"/>
    <x v="19"/>
    <x v="4"/>
    <s v="Prestación de Servicios Públicos"/>
    <x v="3"/>
    <x v="566"/>
    <x v="54"/>
    <x v="785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5039124"/>
    <n v="0"/>
    <n v="0"/>
    <n v="25039124"/>
    <n v="23136151"/>
    <m/>
    <x v="1"/>
    <n v="23136151"/>
  </r>
  <r>
    <x v="1"/>
    <x v="19"/>
    <x v="19"/>
    <x v="4"/>
    <s v="Prestación de Servicios Públicos"/>
    <x v="3"/>
    <x v="566"/>
    <x v="55"/>
    <x v="786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070384"/>
    <n v="0"/>
    <n v="0"/>
    <n v="2070384"/>
    <n v="2586429"/>
    <m/>
    <x v="1"/>
    <n v="2586429"/>
  </r>
  <r>
    <x v="1"/>
    <x v="19"/>
    <x v="19"/>
    <x v="4"/>
    <s v="Prestación de Servicios Públicos"/>
    <x v="3"/>
    <x v="566"/>
    <x v="55"/>
    <x v="786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0844584"/>
    <n v="0"/>
    <n v="0"/>
    <n v="30844584"/>
    <n v="29082739"/>
    <m/>
    <x v="1"/>
    <n v="29082739"/>
  </r>
  <r>
    <x v="1"/>
    <x v="19"/>
    <x v="19"/>
    <x v="4"/>
    <s v="Prestación de Servicios Públicos"/>
    <x v="3"/>
    <x v="566"/>
    <x v="161"/>
    <x v="27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8408766"/>
    <n v="0"/>
    <n v="0"/>
    <n v="18408766"/>
    <n v="6650820"/>
    <m/>
    <x v="1"/>
    <n v="6650820"/>
  </r>
  <r>
    <x v="1"/>
    <x v="19"/>
    <x v="19"/>
    <x v="4"/>
    <s v="Prestación de Servicios Públicos"/>
    <x v="3"/>
    <x v="566"/>
    <x v="161"/>
    <x v="27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44640695"/>
    <n v="0"/>
    <n v="0"/>
    <n v="244640695"/>
    <n v="74061957"/>
    <m/>
    <x v="1"/>
    <n v="74061957"/>
  </r>
  <r>
    <x v="1"/>
    <x v="19"/>
    <x v="19"/>
    <x v="4"/>
    <s v="Prestación de Servicios Públicos"/>
    <x v="3"/>
    <x v="566"/>
    <x v="278"/>
    <x v="787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m/>
    <m/>
    <m/>
    <m/>
    <n v="1154655"/>
    <m/>
    <x v="1"/>
    <n v="1154655"/>
  </r>
  <r>
    <x v="1"/>
    <x v="19"/>
    <x v="19"/>
    <x v="4"/>
    <s v="Prestación de Servicios Públicos"/>
    <x v="3"/>
    <x v="566"/>
    <x v="278"/>
    <x v="787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m/>
    <m/>
    <m/>
    <m/>
    <n v="27020828"/>
    <m/>
    <x v="1"/>
    <n v="27020828"/>
  </r>
  <r>
    <x v="1"/>
    <x v="19"/>
    <x v="19"/>
    <x v="4"/>
    <s v="Prestación de Servicios Públicos"/>
    <x v="3"/>
    <x v="566"/>
    <x v="365"/>
    <x v="64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048150"/>
    <n v="0"/>
    <n v="0"/>
    <n v="1048150"/>
    <n v="1293214"/>
    <m/>
    <x v="1"/>
    <n v="1293214"/>
  </r>
  <r>
    <x v="1"/>
    <x v="19"/>
    <x v="19"/>
    <x v="4"/>
    <s v="Prestación de Servicios Públicos"/>
    <x v="3"/>
    <x v="566"/>
    <x v="365"/>
    <x v="64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0425256"/>
    <n v="0"/>
    <n v="0"/>
    <n v="20425256"/>
    <n v="19530075"/>
    <m/>
    <x v="1"/>
    <n v="19530075"/>
  </r>
  <r>
    <x v="1"/>
    <x v="19"/>
    <x v="19"/>
    <x v="4"/>
    <s v="Prestación de Servicios Públicos"/>
    <x v="3"/>
    <x v="566"/>
    <x v="366"/>
    <x v="64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902311"/>
    <n v="0"/>
    <n v="0"/>
    <n v="2902311"/>
    <n v="3279223"/>
    <m/>
    <x v="1"/>
    <n v="3279223"/>
  </r>
  <r>
    <x v="1"/>
    <x v="19"/>
    <x v="19"/>
    <x v="4"/>
    <s v="Prestación de Servicios Públicos"/>
    <x v="3"/>
    <x v="566"/>
    <x v="366"/>
    <x v="64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61141975"/>
    <n v="0"/>
    <n v="0"/>
    <n v="61141975"/>
    <n v="57816941"/>
    <m/>
    <x v="1"/>
    <n v="57816941"/>
  </r>
  <r>
    <x v="1"/>
    <x v="19"/>
    <x v="19"/>
    <x v="4"/>
    <s v="Prestación de Servicios Públicos"/>
    <x v="3"/>
    <x v="566"/>
    <x v="367"/>
    <x v="644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055965"/>
    <n v="0"/>
    <n v="0"/>
    <n v="1055965"/>
    <n v="1200842"/>
    <m/>
    <x v="1"/>
    <n v="1200842"/>
  </r>
  <r>
    <x v="1"/>
    <x v="19"/>
    <x v="19"/>
    <x v="4"/>
    <s v="Prestación de Servicios Públicos"/>
    <x v="3"/>
    <x v="566"/>
    <x v="367"/>
    <x v="644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0284828"/>
    <n v="0"/>
    <n v="0"/>
    <n v="20284828"/>
    <n v="21940270"/>
    <m/>
    <x v="1"/>
    <n v="21940270"/>
  </r>
  <r>
    <x v="1"/>
    <x v="19"/>
    <x v="19"/>
    <x v="4"/>
    <s v="Prestación de Servicios Públicos"/>
    <x v="3"/>
    <x v="566"/>
    <x v="368"/>
    <x v="645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010584"/>
    <n v="0"/>
    <n v="0"/>
    <n v="1010584"/>
    <n v="1247028"/>
    <m/>
    <x v="1"/>
    <n v="1247028"/>
  </r>
  <r>
    <x v="1"/>
    <x v="19"/>
    <x v="19"/>
    <x v="4"/>
    <s v="Prestación de Servicios Públicos"/>
    <x v="3"/>
    <x v="566"/>
    <x v="368"/>
    <x v="645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0688104"/>
    <n v="0"/>
    <n v="0"/>
    <n v="20688104"/>
    <n v="20106101"/>
    <m/>
    <x v="1"/>
    <n v="20106101"/>
  </r>
  <r>
    <x v="1"/>
    <x v="19"/>
    <x v="19"/>
    <x v="4"/>
    <s v="Prestación de Servicios Públicos"/>
    <x v="3"/>
    <x v="566"/>
    <x v="369"/>
    <x v="646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833441"/>
    <n v="0"/>
    <n v="0"/>
    <n v="1833441"/>
    <n v="2124566"/>
    <m/>
    <x v="1"/>
    <n v="2124566"/>
  </r>
  <r>
    <x v="1"/>
    <x v="19"/>
    <x v="19"/>
    <x v="4"/>
    <s v="Prestación de Servicios Públicos"/>
    <x v="3"/>
    <x v="566"/>
    <x v="369"/>
    <x v="646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4705227"/>
    <n v="0"/>
    <n v="0"/>
    <n v="34705227"/>
    <n v="32174435"/>
    <m/>
    <x v="1"/>
    <n v="32174435"/>
  </r>
  <r>
    <x v="1"/>
    <x v="19"/>
    <x v="19"/>
    <x v="4"/>
    <s v="Prestación de Servicios Públicos"/>
    <x v="3"/>
    <x v="566"/>
    <x v="370"/>
    <x v="647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012483"/>
    <n v="0"/>
    <n v="0"/>
    <n v="1012483"/>
    <n v="1247028"/>
    <m/>
    <x v="1"/>
    <n v="1247028"/>
  </r>
  <r>
    <x v="1"/>
    <x v="19"/>
    <x v="19"/>
    <x v="4"/>
    <s v="Prestación de Servicios Públicos"/>
    <x v="3"/>
    <x v="566"/>
    <x v="370"/>
    <x v="647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0503769"/>
    <n v="0"/>
    <n v="0"/>
    <n v="20503769"/>
    <n v="21745904"/>
    <m/>
    <x v="1"/>
    <n v="21745904"/>
  </r>
  <r>
    <x v="1"/>
    <x v="19"/>
    <x v="19"/>
    <x v="4"/>
    <s v="Prestación de Servicios Públicos"/>
    <x v="3"/>
    <x v="566"/>
    <x v="371"/>
    <x v="648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282493"/>
    <n v="0"/>
    <n v="0"/>
    <n v="2282493"/>
    <n v="2863547"/>
    <m/>
    <x v="1"/>
    <n v="2863547"/>
  </r>
  <r>
    <x v="1"/>
    <x v="19"/>
    <x v="19"/>
    <x v="4"/>
    <s v="Prestación de Servicios Públicos"/>
    <x v="3"/>
    <x v="566"/>
    <x v="371"/>
    <x v="648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48238474"/>
    <n v="0"/>
    <n v="0"/>
    <n v="48238474"/>
    <n v="47196674"/>
    <m/>
    <x v="1"/>
    <n v="47196674"/>
  </r>
  <r>
    <x v="1"/>
    <x v="19"/>
    <x v="19"/>
    <x v="4"/>
    <s v="Prestación de Servicios Públicos"/>
    <x v="3"/>
    <x v="566"/>
    <x v="372"/>
    <x v="64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539317"/>
    <n v="0"/>
    <n v="0"/>
    <n v="2539317"/>
    <n v="3094478"/>
    <m/>
    <x v="1"/>
    <n v="3094478"/>
  </r>
  <r>
    <x v="1"/>
    <x v="19"/>
    <x v="19"/>
    <x v="4"/>
    <s v="Prestación de Servicios Públicos"/>
    <x v="3"/>
    <x v="566"/>
    <x v="372"/>
    <x v="64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53586505"/>
    <n v="0"/>
    <n v="0"/>
    <n v="53586505"/>
    <n v="50074204"/>
    <m/>
    <x v="1"/>
    <n v="50074204"/>
  </r>
  <r>
    <x v="1"/>
    <x v="19"/>
    <x v="19"/>
    <x v="4"/>
    <s v="Prestación de Servicios Públicos"/>
    <x v="3"/>
    <x v="566"/>
    <x v="373"/>
    <x v="650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6544160"/>
    <n v="0"/>
    <n v="0"/>
    <n v="6544160"/>
    <n v="7990221"/>
    <m/>
    <x v="1"/>
    <n v="7990221"/>
  </r>
  <r>
    <x v="1"/>
    <x v="19"/>
    <x v="19"/>
    <x v="4"/>
    <s v="Prestación de Servicios Públicos"/>
    <x v="3"/>
    <x v="566"/>
    <x v="373"/>
    <x v="650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86810182"/>
    <n v="0"/>
    <n v="0"/>
    <n v="86810182"/>
    <n v="82451875"/>
    <m/>
    <x v="1"/>
    <n v="82451875"/>
  </r>
  <r>
    <x v="1"/>
    <x v="19"/>
    <x v="19"/>
    <x v="4"/>
    <s v="Prestación de Servicios Públicos"/>
    <x v="3"/>
    <x v="566"/>
    <x v="374"/>
    <x v="651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404248"/>
    <n v="0"/>
    <n v="0"/>
    <n v="1404248"/>
    <n v="1755076"/>
    <m/>
    <x v="1"/>
    <n v="1755076"/>
  </r>
  <r>
    <x v="1"/>
    <x v="19"/>
    <x v="19"/>
    <x v="4"/>
    <s v="Prestación de Servicios Públicos"/>
    <x v="3"/>
    <x v="566"/>
    <x v="374"/>
    <x v="651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8935867"/>
    <n v="0"/>
    <n v="0"/>
    <n v="28935867"/>
    <n v="27211521"/>
    <m/>
    <x v="1"/>
    <n v="27211521"/>
  </r>
  <r>
    <x v="1"/>
    <x v="19"/>
    <x v="19"/>
    <x v="4"/>
    <s v="Prestación de Servicios Públicos"/>
    <x v="3"/>
    <x v="566"/>
    <x v="375"/>
    <x v="65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907982"/>
    <n v="0"/>
    <n v="0"/>
    <n v="1907982"/>
    <n v="2355498"/>
    <m/>
    <x v="1"/>
    <n v="2355498"/>
  </r>
  <r>
    <x v="1"/>
    <x v="19"/>
    <x v="19"/>
    <x v="4"/>
    <s v="Prestación de Servicios Públicos"/>
    <x v="3"/>
    <x v="566"/>
    <x v="375"/>
    <x v="65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4140822"/>
    <n v="0"/>
    <n v="0"/>
    <n v="34140822"/>
    <n v="33404530"/>
    <m/>
    <x v="1"/>
    <n v="33404530"/>
  </r>
  <r>
    <x v="1"/>
    <x v="19"/>
    <x v="19"/>
    <x v="4"/>
    <s v="Prestación de Servicios Públicos"/>
    <x v="3"/>
    <x v="566"/>
    <x v="376"/>
    <x v="65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963288"/>
    <n v="0"/>
    <n v="0"/>
    <n v="1963288"/>
    <n v="2263126"/>
    <m/>
    <x v="1"/>
    <n v="2263126"/>
  </r>
  <r>
    <x v="1"/>
    <x v="19"/>
    <x v="19"/>
    <x v="4"/>
    <s v="Prestación de Servicios Públicos"/>
    <x v="3"/>
    <x v="566"/>
    <x v="376"/>
    <x v="65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6942124"/>
    <n v="0"/>
    <n v="0"/>
    <n v="36942124"/>
    <n v="34219700"/>
    <m/>
    <x v="1"/>
    <n v="34219700"/>
  </r>
  <r>
    <x v="1"/>
    <x v="19"/>
    <x v="19"/>
    <x v="4"/>
    <s v="Prestación de Servicios Públicos"/>
    <x v="3"/>
    <x v="566"/>
    <x v="377"/>
    <x v="654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255850"/>
    <n v="0"/>
    <n v="0"/>
    <n v="1255850"/>
    <n v="1524145"/>
    <m/>
    <x v="1"/>
    <n v="1524145"/>
  </r>
  <r>
    <x v="1"/>
    <x v="19"/>
    <x v="19"/>
    <x v="4"/>
    <s v="Prestación de Servicios Públicos"/>
    <x v="3"/>
    <x v="566"/>
    <x v="377"/>
    <x v="654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3169422"/>
    <n v="0"/>
    <n v="0"/>
    <n v="23169422"/>
    <n v="23226158"/>
    <m/>
    <x v="1"/>
    <n v="23226158"/>
  </r>
  <r>
    <x v="1"/>
    <x v="19"/>
    <x v="19"/>
    <x v="4"/>
    <s v="Prestación de Servicios Públicos"/>
    <x v="3"/>
    <x v="566"/>
    <x v="378"/>
    <x v="655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3231294"/>
    <n v="0"/>
    <n v="0"/>
    <n v="3231294"/>
    <n v="3694900"/>
    <m/>
    <x v="1"/>
    <n v="3694900"/>
  </r>
  <r>
    <x v="1"/>
    <x v="19"/>
    <x v="19"/>
    <x v="4"/>
    <s v="Prestación de Servicios Públicos"/>
    <x v="3"/>
    <x v="566"/>
    <x v="378"/>
    <x v="655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65697324"/>
    <n v="0"/>
    <n v="0"/>
    <n v="65697324"/>
    <n v="67726518"/>
    <m/>
    <x v="1"/>
    <n v="67726518"/>
  </r>
  <r>
    <x v="1"/>
    <x v="19"/>
    <x v="19"/>
    <x v="4"/>
    <s v="Prestación de Servicios Públicos"/>
    <x v="3"/>
    <x v="566"/>
    <x v="379"/>
    <x v="656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467468"/>
    <n v="0"/>
    <n v="0"/>
    <n v="2467468"/>
    <n v="2955919"/>
    <m/>
    <x v="1"/>
    <n v="2955919"/>
  </r>
  <r>
    <x v="1"/>
    <x v="19"/>
    <x v="19"/>
    <x v="4"/>
    <s v="Prestación de Servicios Públicos"/>
    <x v="3"/>
    <x v="566"/>
    <x v="379"/>
    <x v="656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41919082"/>
    <n v="0"/>
    <n v="0"/>
    <n v="41919082"/>
    <n v="42375872"/>
    <m/>
    <x v="1"/>
    <n v="42375872"/>
  </r>
  <r>
    <x v="1"/>
    <x v="19"/>
    <x v="19"/>
    <x v="4"/>
    <s v="Prestación de Servicios Públicos"/>
    <x v="3"/>
    <x v="566"/>
    <x v="380"/>
    <x v="657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103488"/>
    <n v="0"/>
    <n v="0"/>
    <n v="2103488"/>
    <n v="2540243"/>
    <m/>
    <x v="1"/>
    <n v="2540243"/>
  </r>
  <r>
    <x v="1"/>
    <x v="19"/>
    <x v="19"/>
    <x v="4"/>
    <s v="Prestación de Servicios Públicos"/>
    <x v="3"/>
    <x v="566"/>
    <x v="380"/>
    <x v="657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7947404"/>
    <n v="0"/>
    <n v="0"/>
    <n v="37947404"/>
    <n v="36035552"/>
    <m/>
    <x v="1"/>
    <n v="36035552"/>
  </r>
  <r>
    <x v="1"/>
    <x v="19"/>
    <x v="19"/>
    <x v="4"/>
    <s v="Prestación de Servicios Públicos"/>
    <x v="3"/>
    <x v="566"/>
    <x v="381"/>
    <x v="658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531334"/>
    <n v="0"/>
    <n v="0"/>
    <n v="1531334"/>
    <n v="1847449"/>
    <m/>
    <x v="1"/>
    <n v="1847449"/>
  </r>
  <r>
    <x v="1"/>
    <x v="19"/>
    <x v="19"/>
    <x v="4"/>
    <s v="Prestación de Servicios Públicos"/>
    <x v="3"/>
    <x v="566"/>
    <x v="381"/>
    <x v="658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9184795"/>
    <n v="0"/>
    <n v="0"/>
    <n v="29184795"/>
    <n v="28951708"/>
    <m/>
    <x v="1"/>
    <n v="28951708"/>
  </r>
  <r>
    <x v="1"/>
    <x v="19"/>
    <x v="19"/>
    <x v="4"/>
    <s v="Prestación de Servicios Públicos"/>
    <x v="3"/>
    <x v="566"/>
    <x v="382"/>
    <x v="65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101565"/>
    <n v="0"/>
    <n v="0"/>
    <n v="1101565"/>
    <n v="1385586"/>
    <m/>
    <x v="1"/>
    <n v="1385586"/>
  </r>
  <r>
    <x v="1"/>
    <x v="19"/>
    <x v="19"/>
    <x v="4"/>
    <s v="Prestación de Servicios Públicos"/>
    <x v="3"/>
    <x v="566"/>
    <x v="382"/>
    <x v="65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2985707"/>
    <n v="0"/>
    <n v="0"/>
    <n v="22985707"/>
    <n v="22798669"/>
    <m/>
    <x v="1"/>
    <n v="22798669"/>
  </r>
  <r>
    <x v="1"/>
    <x v="19"/>
    <x v="19"/>
    <x v="4"/>
    <s v="Prestación de Servicios Públicos"/>
    <x v="3"/>
    <x v="566"/>
    <x v="383"/>
    <x v="660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101820"/>
    <n v="0"/>
    <n v="0"/>
    <n v="2101820"/>
    <n v="2586429"/>
    <m/>
    <x v="1"/>
    <n v="2586429"/>
  </r>
  <r>
    <x v="1"/>
    <x v="19"/>
    <x v="19"/>
    <x v="4"/>
    <s v="Prestación de Servicios Públicos"/>
    <x v="3"/>
    <x v="566"/>
    <x v="383"/>
    <x v="660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8691261"/>
    <n v="0"/>
    <n v="0"/>
    <n v="38691261"/>
    <n v="36612111"/>
    <m/>
    <x v="1"/>
    <n v="36612111"/>
  </r>
  <r>
    <x v="1"/>
    <x v="19"/>
    <x v="19"/>
    <x v="4"/>
    <s v="Prestación de Servicios Públicos"/>
    <x v="3"/>
    <x v="566"/>
    <x v="384"/>
    <x v="661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014432"/>
    <n v="0"/>
    <n v="0"/>
    <n v="2014432"/>
    <n v="2447870"/>
    <m/>
    <x v="1"/>
    <n v="2447870"/>
  </r>
  <r>
    <x v="1"/>
    <x v="19"/>
    <x v="19"/>
    <x v="4"/>
    <s v="Prestación de Servicios Públicos"/>
    <x v="3"/>
    <x v="566"/>
    <x v="384"/>
    <x v="661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5512150"/>
    <n v="0"/>
    <n v="0"/>
    <n v="35512150"/>
    <n v="34892270"/>
    <m/>
    <x v="1"/>
    <n v="34892270"/>
  </r>
  <r>
    <x v="1"/>
    <x v="19"/>
    <x v="19"/>
    <x v="4"/>
    <s v="Prestación de Servicios Públicos"/>
    <x v="3"/>
    <x v="566"/>
    <x v="385"/>
    <x v="66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332718"/>
    <n v="0"/>
    <n v="0"/>
    <n v="1332718"/>
    <n v="1616518"/>
    <m/>
    <x v="1"/>
    <n v="1616518"/>
  </r>
  <r>
    <x v="1"/>
    <x v="19"/>
    <x v="19"/>
    <x v="4"/>
    <s v="Prestación de Servicios Públicos"/>
    <x v="3"/>
    <x v="566"/>
    <x v="385"/>
    <x v="66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5272697"/>
    <n v="0"/>
    <n v="0"/>
    <n v="25272697"/>
    <n v="24199428"/>
    <m/>
    <x v="1"/>
    <n v="24199428"/>
  </r>
  <r>
    <x v="1"/>
    <x v="19"/>
    <x v="19"/>
    <x v="4"/>
    <s v="Prestación de Servicios Públicos"/>
    <x v="3"/>
    <x v="566"/>
    <x v="386"/>
    <x v="66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186298"/>
    <n v="0"/>
    <n v="0"/>
    <n v="1186298"/>
    <n v="1339401"/>
    <m/>
    <x v="1"/>
    <n v="1339401"/>
  </r>
  <r>
    <x v="1"/>
    <x v="19"/>
    <x v="19"/>
    <x v="4"/>
    <s v="Prestación de Servicios Públicos"/>
    <x v="3"/>
    <x v="566"/>
    <x v="386"/>
    <x v="66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3660925"/>
    <n v="0"/>
    <n v="0"/>
    <n v="23660925"/>
    <n v="21762316"/>
    <m/>
    <x v="1"/>
    <n v="21762316"/>
  </r>
  <r>
    <x v="1"/>
    <x v="19"/>
    <x v="19"/>
    <x v="4"/>
    <s v="Prestación de Servicios Públicos"/>
    <x v="3"/>
    <x v="566"/>
    <x v="387"/>
    <x v="664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327866"/>
    <n v="0"/>
    <n v="0"/>
    <n v="1327866"/>
    <n v="1524145"/>
    <m/>
    <x v="1"/>
    <n v="1524145"/>
  </r>
  <r>
    <x v="1"/>
    <x v="19"/>
    <x v="19"/>
    <x v="4"/>
    <s v="Prestación de Servicios Públicos"/>
    <x v="3"/>
    <x v="566"/>
    <x v="387"/>
    <x v="664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9497104"/>
    <n v="0"/>
    <n v="0"/>
    <n v="29497104"/>
    <n v="27875277"/>
    <m/>
    <x v="1"/>
    <n v="27875277"/>
  </r>
  <r>
    <x v="1"/>
    <x v="19"/>
    <x v="19"/>
    <x v="4"/>
    <s v="Prestación de Servicios Públicos"/>
    <x v="3"/>
    <x v="566"/>
    <x v="388"/>
    <x v="665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395076"/>
    <n v="0"/>
    <n v="0"/>
    <n v="1395076"/>
    <n v="1755076"/>
    <m/>
    <x v="1"/>
    <n v="1755076"/>
  </r>
  <r>
    <x v="1"/>
    <x v="19"/>
    <x v="19"/>
    <x v="4"/>
    <s v="Prestación de Servicios Públicos"/>
    <x v="3"/>
    <x v="566"/>
    <x v="388"/>
    <x v="665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6670100"/>
    <n v="0"/>
    <n v="0"/>
    <n v="26670100"/>
    <n v="26178143"/>
    <m/>
    <x v="1"/>
    <n v="26178143"/>
  </r>
  <r>
    <x v="1"/>
    <x v="19"/>
    <x v="19"/>
    <x v="4"/>
    <s v="Prestación de Servicios Públicos"/>
    <x v="3"/>
    <x v="566"/>
    <x v="389"/>
    <x v="666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936134"/>
    <n v="0"/>
    <n v="0"/>
    <n v="2936134"/>
    <n v="3417782"/>
    <m/>
    <x v="1"/>
    <n v="3417782"/>
  </r>
  <r>
    <x v="1"/>
    <x v="19"/>
    <x v="19"/>
    <x v="4"/>
    <s v="Prestación de Servicios Públicos"/>
    <x v="3"/>
    <x v="566"/>
    <x v="389"/>
    <x v="666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53576047"/>
    <n v="0"/>
    <n v="0"/>
    <n v="53576047"/>
    <n v="50789514"/>
    <m/>
    <x v="1"/>
    <n v="50789514"/>
  </r>
  <r>
    <x v="1"/>
    <x v="19"/>
    <x v="19"/>
    <x v="4"/>
    <s v="Prestación de Servicios Públicos"/>
    <x v="3"/>
    <x v="566"/>
    <x v="390"/>
    <x v="667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877425"/>
    <n v="0"/>
    <n v="0"/>
    <n v="2877425"/>
    <n v="3002106"/>
    <m/>
    <x v="1"/>
    <n v="3002106"/>
  </r>
  <r>
    <x v="1"/>
    <x v="19"/>
    <x v="19"/>
    <x v="4"/>
    <s v="Prestación de Servicios Públicos"/>
    <x v="3"/>
    <x v="566"/>
    <x v="390"/>
    <x v="667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53765736"/>
    <n v="0"/>
    <n v="0"/>
    <n v="53765736"/>
    <n v="46806405"/>
    <m/>
    <x v="1"/>
    <n v="46806405"/>
  </r>
  <r>
    <x v="1"/>
    <x v="19"/>
    <x v="19"/>
    <x v="4"/>
    <s v="Prestación de Servicios Públicos"/>
    <x v="3"/>
    <x v="566"/>
    <x v="391"/>
    <x v="668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417473"/>
    <n v="0"/>
    <n v="0"/>
    <n v="1417473"/>
    <n v="1616518"/>
    <m/>
    <x v="1"/>
    <n v="1616518"/>
  </r>
  <r>
    <x v="1"/>
    <x v="19"/>
    <x v="19"/>
    <x v="4"/>
    <s v="Prestación de Servicios Públicos"/>
    <x v="3"/>
    <x v="566"/>
    <x v="391"/>
    <x v="668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9932294"/>
    <n v="0"/>
    <n v="0"/>
    <n v="29932294"/>
    <n v="27054344"/>
    <m/>
    <x v="1"/>
    <n v="27054344"/>
  </r>
  <r>
    <x v="1"/>
    <x v="19"/>
    <x v="19"/>
    <x v="4"/>
    <s v="Prestación de Servicios Públicos"/>
    <x v="3"/>
    <x v="566"/>
    <x v="392"/>
    <x v="66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445201"/>
    <n v="0"/>
    <n v="0"/>
    <n v="2445201"/>
    <n v="2955919"/>
    <m/>
    <x v="1"/>
    <n v="2955919"/>
  </r>
  <r>
    <x v="1"/>
    <x v="19"/>
    <x v="19"/>
    <x v="4"/>
    <s v="Prestación de Servicios Públicos"/>
    <x v="3"/>
    <x v="566"/>
    <x v="392"/>
    <x v="66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44810978"/>
    <n v="0"/>
    <n v="0"/>
    <n v="44810978"/>
    <n v="44956419"/>
    <m/>
    <x v="1"/>
    <n v="44956419"/>
  </r>
  <r>
    <x v="1"/>
    <x v="19"/>
    <x v="19"/>
    <x v="4"/>
    <s v="Prestación de Servicios Públicos"/>
    <x v="3"/>
    <x v="566"/>
    <x v="393"/>
    <x v="670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972371"/>
    <n v="0"/>
    <n v="0"/>
    <n v="972371"/>
    <n v="1200842"/>
    <m/>
    <x v="1"/>
    <n v="1200842"/>
  </r>
  <r>
    <x v="1"/>
    <x v="19"/>
    <x v="19"/>
    <x v="4"/>
    <s v="Prestación de Servicios Públicos"/>
    <x v="3"/>
    <x v="566"/>
    <x v="393"/>
    <x v="670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9501724"/>
    <n v="0"/>
    <n v="0"/>
    <n v="19501724"/>
    <n v="19176827"/>
    <m/>
    <x v="1"/>
    <n v="19176827"/>
  </r>
  <r>
    <x v="1"/>
    <x v="19"/>
    <x v="19"/>
    <x v="4"/>
    <s v="Prestación de Servicios Públicos"/>
    <x v="3"/>
    <x v="566"/>
    <x v="394"/>
    <x v="671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283818"/>
    <n v="0"/>
    <n v="0"/>
    <n v="2283818"/>
    <n v="2771174"/>
    <m/>
    <x v="1"/>
    <n v="2771174"/>
  </r>
  <r>
    <x v="1"/>
    <x v="19"/>
    <x v="19"/>
    <x v="4"/>
    <s v="Prestación de Servicios Públicos"/>
    <x v="3"/>
    <x v="566"/>
    <x v="394"/>
    <x v="671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43170208"/>
    <n v="0"/>
    <n v="0"/>
    <n v="43170208"/>
    <n v="42584625"/>
    <m/>
    <x v="1"/>
    <n v="42584625"/>
  </r>
  <r>
    <x v="1"/>
    <x v="19"/>
    <x v="19"/>
    <x v="4"/>
    <s v="Prestación de Servicios Públicos"/>
    <x v="3"/>
    <x v="566"/>
    <x v="395"/>
    <x v="67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274390"/>
    <n v="0"/>
    <n v="0"/>
    <n v="1274390"/>
    <n v="1570332"/>
    <m/>
    <x v="1"/>
    <n v="1570332"/>
  </r>
  <r>
    <x v="1"/>
    <x v="19"/>
    <x v="19"/>
    <x v="4"/>
    <s v="Prestación de Servicios Públicos"/>
    <x v="3"/>
    <x v="566"/>
    <x v="395"/>
    <x v="67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3932472"/>
    <n v="0"/>
    <n v="0"/>
    <n v="23932472"/>
    <n v="22206286"/>
    <m/>
    <x v="1"/>
    <n v="22206286"/>
  </r>
  <r>
    <x v="1"/>
    <x v="19"/>
    <x v="19"/>
    <x v="4"/>
    <s v="Prestación de Servicios Públicos"/>
    <x v="3"/>
    <x v="566"/>
    <x v="396"/>
    <x v="67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108929"/>
    <n v="0"/>
    <n v="0"/>
    <n v="1108929"/>
    <n v="1385586"/>
    <m/>
    <x v="1"/>
    <n v="1385586"/>
  </r>
  <r>
    <x v="1"/>
    <x v="19"/>
    <x v="19"/>
    <x v="4"/>
    <s v="Prestación de Servicios Públicos"/>
    <x v="3"/>
    <x v="566"/>
    <x v="396"/>
    <x v="67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0319806"/>
    <n v="0"/>
    <n v="0"/>
    <n v="20319806"/>
    <n v="19926817"/>
    <m/>
    <x v="1"/>
    <n v="19926817"/>
  </r>
  <r>
    <x v="1"/>
    <x v="19"/>
    <x v="19"/>
    <x v="4"/>
    <s v="Prestación de Servicios Públicos"/>
    <x v="3"/>
    <x v="566"/>
    <x v="46"/>
    <x v="6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m/>
    <m/>
    <m/>
    <m/>
    <n v="80752253"/>
    <m/>
    <x v="1"/>
    <n v="80752253"/>
  </r>
  <r>
    <x v="1"/>
    <x v="19"/>
    <x v="19"/>
    <x v="4"/>
    <s v="Prestación de Servicios Públicos"/>
    <x v="3"/>
    <x v="566"/>
    <x v="47"/>
    <x v="71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609608340"/>
    <n v="0"/>
    <n v="-4400000"/>
    <n v="605208340"/>
    <n v="778518484"/>
    <m/>
    <x v="1"/>
    <n v="778518484"/>
  </r>
  <r>
    <x v="1"/>
    <x v="19"/>
    <x v="19"/>
    <x v="4"/>
    <s v="Prestación de Servicios Públicos"/>
    <x v="3"/>
    <x v="566"/>
    <x v="47"/>
    <x v="71"/>
    <n v="1"/>
    <s v="Gobierno"/>
    <n v="6"/>
    <s v="Orden, Seguridad y Justicia"/>
    <n v="3"/>
    <x v="27"/>
    <x v="0"/>
    <x v="139"/>
    <n v="2"/>
    <s v="Gasto de capital"/>
    <x v="0"/>
    <x v="0"/>
    <x v="0"/>
    <x v="0"/>
    <x v="0"/>
    <x v="0"/>
    <x v="0"/>
    <m/>
    <x v="0"/>
    <x v="0"/>
    <m/>
    <n v="55924012"/>
    <n v="0"/>
    <n v="-5000000"/>
    <n v="50924012"/>
    <m/>
    <m/>
    <x v="1"/>
    <n v="0"/>
  </r>
  <r>
    <x v="1"/>
    <x v="19"/>
    <x v="19"/>
    <x v="4"/>
    <s v="Prestación de Servicios Públicos"/>
    <x v="3"/>
    <x v="566"/>
    <x v="397"/>
    <x v="788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070471"/>
    <n v="0"/>
    <n v="0"/>
    <n v="2070471"/>
    <n v="2494057"/>
    <m/>
    <x v="1"/>
    <n v="2494057"/>
  </r>
  <r>
    <x v="1"/>
    <x v="19"/>
    <x v="19"/>
    <x v="4"/>
    <s v="Prestación de Servicios Públicos"/>
    <x v="3"/>
    <x v="566"/>
    <x v="397"/>
    <x v="788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5564242"/>
    <n v="0"/>
    <n v="0"/>
    <n v="35564242"/>
    <n v="36569221"/>
    <m/>
    <x v="1"/>
    <n v="36569221"/>
  </r>
  <r>
    <x v="1"/>
    <x v="19"/>
    <x v="19"/>
    <x v="4"/>
    <s v="Prestación de Servicios Públicos"/>
    <x v="3"/>
    <x v="566"/>
    <x v="57"/>
    <x v="78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4964908"/>
    <n v="0"/>
    <n v="0"/>
    <n v="4964908"/>
    <m/>
    <m/>
    <x v="1"/>
    <n v="0"/>
  </r>
  <r>
    <x v="1"/>
    <x v="19"/>
    <x v="19"/>
    <x v="4"/>
    <s v="Prestación de Servicios Públicos"/>
    <x v="3"/>
    <x v="566"/>
    <x v="57"/>
    <x v="78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41082763"/>
    <n v="0"/>
    <n v="-3400000"/>
    <n v="137682763"/>
    <m/>
    <m/>
    <x v="1"/>
    <n v="0"/>
  </r>
  <r>
    <x v="1"/>
    <x v="19"/>
    <x v="19"/>
    <x v="4"/>
    <s v="Prestación de Servicios Públicos"/>
    <x v="4"/>
    <x v="567"/>
    <x v="18"/>
    <x v="790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100192"/>
    <n v="0"/>
    <n v="0"/>
    <n v="1100192"/>
    <n v="831352"/>
    <m/>
    <x v="1"/>
    <n v="831352"/>
  </r>
  <r>
    <x v="1"/>
    <x v="19"/>
    <x v="19"/>
    <x v="4"/>
    <s v="Prestación de Servicios Públicos"/>
    <x v="4"/>
    <x v="567"/>
    <x v="18"/>
    <x v="790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6141618"/>
    <n v="0"/>
    <n v="0"/>
    <n v="36141618"/>
    <n v="23119767"/>
    <m/>
    <x v="1"/>
    <n v="23119767"/>
  </r>
  <r>
    <x v="1"/>
    <x v="19"/>
    <x v="19"/>
    <x v="4"/>
    <s v="Prestación de Servicios Públicos"/>
    <x v="4"/>
    <x v="567"/>
    <x v="38"/>
    <x v="791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1"/>
    <m/>
    <x v="0"/>
    <x v="0"/>
    <m/>
    <n v="23070585"/>
    <n v="0"/>
    <n v="0"/>
    <n v="23070585"/>
    <n v="22354146"/>
    <m/>
    <x v="1"/>
    <n v="22354146"/>
  </r>
  <r>
    <x v="1"/>
    <x v="19"/>
    <x v="19"/>
    <x v="4"/>
    <s v="Prestación de Servicios Públicos"/>
    <x v="4"/>
    <x v="567"/>
    <x v="38"/>
    <x v="791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1"/>
    <m/>
    <x v="0"/>
    <x v="0"/>
    <m/>
    <n v="598854943"/>
    <n v="0"/>
    <n v="-46974024"/>
    <n v="551880919"/>
    <n v="489227483"/>
    <m/>
    <x v="1"/>
    <n v="489227483"/>
  </r>
  <r>
    <x v="1"/>
    <x v="19"/>
    <x v="19"/>
    <x v="4"/>
    <s v="Prestación de Servicios Públicos"/>
    <x v="4"/>
    <x v="567"/>
    <x v="38"/>
    <x v="791"/>
    <n v="1"/>
    <s v="Gobierno"/>
    <n v="6"/>
    <s v="Orden, Seguridad y Justicia"/>
    <n v="3"/>
    <x v="27"/>
    <x v="0"/>
    <x v="139"/>
    <n v="2"/>
    <s v="Gasto de capital"/>
    <x v="0"/>
    <x v="0"/>
    <x v="0"/>
    <x v="0"/>
    <x v="0"/>
    <x v="0"/>
    <x v="1"/>
    <m/>
    <x v="0"/>
    <x v="0"/>
    <m/>
    <m/>
    <m/>
    <m/>
    <m/>
    <n v="36452106"/>
    <m/>
    <x v="1"/>
    <n v="36452106"/>
  </r>
  <r>
    <x v="1"/>
    <x v="19"/>
    <x v="19"/>
    <x v="4"/>
    <s v="Prestación de Servicios Públicos"/>
    <x v="4"/>
    <x v="567"/>
    <x v="39"/>
    <x v="79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326678"/>
    <n v="0"/>
    <n v="0"/>
    <n v="326678"/>
    <n v="415675"/>
    <m/>
    <x v="1"/>
    <n v="415675"/>
  </r>
  <r>
    <x v="1"/>
    <x v="19"/>
    <x v="19"/>
    <x v="4"/>
    <s v="Prestación de Servicios Públicos"/>
    <x v="4"/>
    <x v="567"/>
    <x v="39"/>
    <x v="79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9265338"/>
    <n v="0"/>
    <n v="0"/>
    <n v="19265338"/>
    <n v="19173602"/>
    <m/>
    <x v="1"/>
    <n v="19173602"/>
  </r>
  <r>
    <x v="1"/>
    <x v="19"/>
    <x v="19"/>
    <x v="4"/>
    <s v="Prestación de Servicios Públicos"/>
    <x v="4"/>
    <x v="567"/>
    <x v="56"/>
    <x v="79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552825"/>
    <n v="0"/>
    <n v="0"/>
    <n v="552825"/>
    <n v="785165"/>
    <m/>
    <x v="1"/>
    <n v="785165"/>
  </r>
  <r>
    <x v="1"/>
    <x v="19"/>
    <x v="19"/>
    <x v="4"/>
    <s v="Prestación de Servicios Públicos"/>
    <x v="4"/>
    <x v="567"/>
    <x v="56"/>
    <x v="79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0167727"/>
    <n v="0"/>
    <n v="0"/>
    <n v="30167727"/>
    <n v="30277027"/>
    <m/>
    <x v="1"/>
    <n v="30277027"/>
  </r>
  <r>
    <x v="1"/>
    <x v="19"/>
    <x v="19"/>
    <x v="4"/>
    <s v="Prestación de Servicios Públicos"/>
    <x v="4"/>
    <x v="567"/>
    <x v="73"/>
    <x v="794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558848"/>
    <n v="0"/>
    <n v="0"/>
    <n v="558848"/>
    <n v="738979"/>
    <m/>
    <x v="1"/>
    <n v="738979"/>
  </r>
  <r>
    <x v="1"/>
    <x v="19"/>
    <x v="19"/>
    <x v="4"/>
    <s v="Prestación de Servicios Públicos"/>
    <x v="4"/>
    <x v="567"/>
    <x v="73"/>
    <x v="794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7074691"/>
    <n v="0"/>
    <n v="0"/>
    <n v="27074691"/>
    <n v="26288010"/>
    <m/>
    <x v="1"/>
    <n v="26288010"/>
  </r>
  <r>
    <x v="1"/>
    <x v="19"/>
    <x v="19"/>
    <x v="4"/>
    <s v="Prestación de Servicios Públicos"/>
    <x v="4"/>
    <x v="567"/>
    <x v="84"/>
    <x v="795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317170"/>
    <n v="0"/>
    <n v="0"/>
    <n v="317170"/>
    <n v="415675"/>
    <m/>
    <x v="1"/>
    <n v="415675"/>
  </r>
  <r>
    <x v="1"/>
    <x v="19"/>
    <x v="19"/>
    <x v="4"/>
    <s v="Prestación de Servicios Públicos"/>
    <x v="4"/>
    <x v="567"/>
    <x v="84"/>
    <x v="795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5530367"/>
    <n v="0"/>
    <n v="0"/>
    <n v="15530367"/>
    <n v="15137719"/>
    <m/>
    <x v="1"/>
    <n v="15137719"/>
  </r>
  <r>
    <x v="1"/>
    <x v="19"/>
    <x v="19"/>
    <x v="4"/>
    <s v="Prestación de Servicios Públicos"/>
    <x v="4"/>
    <x v="567"/>
    <x v="187"/>
    <x v="796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291902"/>
    <n v="0"/>
    <n v="0"/>
    <n v="291902"/>
    <n v="369489"/>
    <m/>
    <x v="1"/>
    <n v="369489"/>
  </r>
  <r>
    <x v="1"/>
    <x v="19"/>
    <x v="19"/>
    <x v="4"/>
    <s v="Prestación de Servicios Públicos"/>
    <x v="4"/>
    <x v="567"/>
    <x v="187"/>
    <x v="796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6823335"/>
    <n v="0"/>
    <n v="0"/>
    <n v="16823335"/>
    <n v="16876284"/>
    <m/>
    <x v="1"/>
    <n v="16876284"/>
  </r>
  <r>
    <x v="1"/>
    <x v="19"/>
    <x v="19"/>
    <x v="4"/>
    <s v="Prestación de Servicios Públicos"/>
    <x v="4"/>
    <x v="567"/>
    <x v="101"/>
    <x v="797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90910"/>
    <n v="0"/>
    <n v="0"/>
    <n v="190910"/>
    <n v="230930"/>
    <m/>
    <x v="1"/>
    <n v="230930"/>
  </r>
  <r>
    <x v="1"/>
    <x v="19"/>
    <x v="19"/>
    <x v="4"/>
    <s v="Prestación de Servicios Públicos"/>
    <x v="4"/>
    <x v="567"/>
    <x v="101"/>
    <x v="797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1934942"/>
    <n v="0"/>
    <n v="0"/>
    <n v="11934942"/>
    <n v="12043842"/>
    <m/>
    <x v="1"/>
    <n v="12043842"/>
  </r>
  <r>
    <x v="1"/>
    <x v="19"/>
    <x v="19"/>
    <x v="4"/>
    <s v="Prestación de Servicios Públicos"/>
    <x v="4"/>
    <x v="567"/>
    <x v="398"/>
    <x v="798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9964412"/>
    <n v="0"/>
    <n v="0"/>
    <n v="19964412"/>
    <n v="21661352"/>
    <m/>
    <x v="1"/>
    <n v="21661352"/>
  </r>
  <r>
    <x v="1"/>
    <x v="19"/>
    <x v="19"/>
    <x v="4"/>
    <s v="Prestación de Servicios Públicos"/>
    <x v="4"/>
    <x v="567"/>
    <x v="398"/>
    <x v="798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770334480"/>
    <n v="0"/>
    <n v="0"/>
    <n v="770334480"/>
    <n v="787952494"/>
    <m/>
    <x v="1"/>
    <n v="787952494"/>
  </r>
  <r>
    <x v="1"/>
    <x v="19"/>
    <x v="19"/>
    <x v="4"/>
    <s v="Prestación de Servicios Públicos"/>
    <x v="4"/>
    <x v="567"/>
    <x v="57"/>
    <x v="78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m/>
    <m/>
    <m/>
    <m/>
    <n v="5709644"/>
    <m/>
    <x v="1"/>
    <n v="5709644"/>
  </r>
  <r>
    <x v="1"/>
    <x v="19"/>
    <x v="19"/>
    <x v="4"/>
    <s v="Prestación de Servicios Públicos"/>
    <x v="4"/>
    <x v="567"/>
    <x v="57"/>
    <x v="78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m/>
    <m/>
    <m/>
    <m/>
    <n v="135106435"/>
    <m/>
    <x v="1"/>
    <n v="135106435"/>
  </r>
  <r>
    <x v="1"/>
    <x v="19"/>
    <x v="19"/>
    <x v="4"/>
    <s v="Prestación de Servicios Públicos"/>
    <x v="6"/>
    <x v="568"/>
    <x v="32"/>
    <x v="79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3323462"/>
    <n v="0"/>
    <n v="0"/>
    <n v="3323462"/>
    <m/>
    <m/>
    <x v="1"/>
    <n v="0"/>
  </r>
  <r>
    <x v="1"/>
    <x v="19"/>
    <x v="19"/>
    <x v="4"/>
    <s v="Prestación de Servicios Públicos"/>
    <x v="6"/>
    <x v="568"/>
    <x v="32"/>
    <x v="79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84539564"/>
    <n v="0"/>
    <n v="-8000000"/>
    <n v="276539564"/>
    <m/>
    <m/>
    <x v="1"/>
    <n v="0"/>
  </r>
  <r>
    <x v="1"/>
    <x v="19"/>
    <x v="19"/>
    <x v="4"/>
    <s v="Prestación de Servicios Públicos"/>
    <x v="7"/>
    <x v="569"/>
    <x v="58"/>
    <x v="800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8219006"/>
    <n v="0"/>
    <n v="0"/>
    <n v="8219006"/>
    <n v="9699112"/>
    <m/>
    <x v="1"/>
    <n v="9699112"/>
  </r>
  <r>
    <x v="1"/>
    <x v="19"/>
    <x v="19"/>
    <x v="4"/>
    <s v="Prestación de Servicios Públicos"/>
    <x v="7"/>
    <x v="569"/>
    <x v="58"/>
    <x v="800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17015822"/>
    <n v="0"/>
    <n v="0"/>
    <n v="217015822"/>
    <n v="187473554"/>
    <m/>
    <x v="1"/>
    <n v="187473554"/>
  </r>
  <r>
    <x v="1"/>
    <x v="19"/>
    <x v="19"/>
    <x v="4"/>
    <s v="Prestación de Servicios Públicos"/>
    <x v="7"/>
    <x v="569"/>
    <x v="59"/>
    <x v="801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324320"/>
    <n v="0"/>
    <n v="0"/>
    <n v="1324320"/>
    <n v="1616518"/>
    <m/>
    <x v="1"/>
    <n v="1616518"/>
  </r>
  <r>
    <x v="1"/>
    <x v="19"/>
    <x v="19"/>
    <x v="4"/>
    <s v="Prestación de Servicios Públicos"/>
    <x v="7"/>
    <x v="569"/>
    <x v="59"/>
    <x v="801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21850294"/>
    <n v="0"/>
    <n v="0"/>
    <n v="21850294"/>
    <n v="20277211"/>
    <m/>
    <x v="1"/>
    <n v="20277211"/>
  </r>
  <r>
    <x v="1"/>
    <x v="19"/>
    <x v="19"/>
    <x v="4"/>
    <s v="Prestación de Servicios Públicos"/>
    <x v="7"/>
    <x v="569"/>
    <x v="85"/>
    <x v="80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087108"/>
    <n v="0"/>
    <n v="0"/>
    <n v="1087108"/>
    <n v="1385586"/>
    <m/>
    <x v="1"/>
    <n v="1385586"/>
  </r>
  <r>
    <x v="1"/>
    <x v="19"/>
    <x v="19"/>
    <x v="4"/>
    <s v="Prestación de Servicios Públicos"/>
    <x v="7"/>
    <x v="569"/>
    <x v="85"/>
    <x v="80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9449983"/>
    <n v="0"/>
    <n v="0"/>
    <n v="19449983"/>
    <n v="18686710"/>
    <m/>
    <x v="1"/>
    <n v="18686710"/>
  </r>
  <r>
    <x v="1"/>
    <x v="19"/>
    <x v="19"/>
    <x v="4"/>
    <s v="Prestación de Servicios Públicos"/>
    <x v="7"/>
    <x v="569"/>
    <x v="81"/>
    <x v="80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870527"/>
    <n v="0"/>
    <n v="0"/>
    <n v="870527"/>
    <n v="1108469"/>
    <m/>
    <x v="1"/>
    <n v="1108469"/>
  </r>
  <r>
    <x v="1"/>
    <x v="19"/>
    <x v="19"/>
    <x v="4"/>
    <s v="Prestación de Servicios Públicos"/>
    <x v="7"/>
    <x v="569"/>
    <x v="81"/>
    <x v="80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6985041"/>
    <n v="0"/>
    <n v="0"/>
    <n v="16985041"/>
    <n v="16042531"/>
    <m/>
    <x v="1"/>
    <n v="16042531"/>
  </r>
  <r>
    <x v="1"/>
    <x v="19"/>
    <x v="19"/>
    <x v="4"/>
    <s v="Prestación de Servicios Públicos"/>
    <x v="7"/>
    <x v="569"/>
    <x v="105"/>
    <x v="804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967867"/>
    <n v="0"/>
    <n v="0"/>
    <n v="967867"/>
    <n v="1247028"/>
    <m/>
    <x v="1"/>
    <n v="1247028"/>
  </r>
  <r>
    <x v="1"/>
    <x v="19"/>
    <x v="19"/>
    <x v="4"/>
    <s v="Prestación de Servicios Públicos"/>
    <x v="7"/>
    <x v="569"/>
    <x v="105"/>
    <x v="804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8581571"/>
    <n v="0"/>
    <n v="0"/>
    <n v="18581571"/>
    <n v="17792244"/>
    <m/>
    <x v="1"/>
    <n v="17792244"/>
  </r>
  <r>
    <x v="1"/>
    <x v="19"/>
    <x v="19"/>
    <x v="4"/>
    <s v="Prestación de Servicios Públicos"/>
    <x v="9"/>
    <x v="570"/>
    <x v="0"/>
    <x v="805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5568659"/>
    <n v="0"/>
    <n v="0"/>
    <n v="5568659"/>
    <n v="6466075"/>
    <m/>
    <x v="1"/>
    <n v="6466075"/>
  </r>
  <r>
    <x v="1"/>
    <x v="19"/>
    <x v="19"/>
    <x v="4"/>
    <s v="Prestación de Servicios Públicos"/>
    <x v="9"/>
    <x v="570"/>
    <x v="0"/>
    <x v="805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159053513"/>
    <n v="0"/>
    <n v="0"/>
    <n v="159053513"/>
    <n v="120773905"/>
    <m/>
    <x v="1"/>
    <n v="120773905"/>
  </r>
  <r>
    <x v="1"/>
    <x v="19"/>
    <x v="19"/>
    <x v="4"/>
    <s v="Prestación de Servicios Públicos"/>
    <x v="9"/>
    <x v="570"/>
    <x v="4"/>
    <x v="43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3121128"/>
    <n v="0"/>
    <n v="0"/>
    <n v="3121128"/>
    <n v="3602527"/>
    <m/>
    <x v="1"/>
    <n v="3602527"/>
  </r>
  <r>
    <x v="1"/>
    <x v="19"/>
    <x v="19"/>
    <x v="4"/>
    <s v="Prestación de Servicios Públicos"/>
    <x v="9"/>
    <x v="570"/>
    <x v="4"/>
    <x v="43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62421067"/>
    <n v="0"/>
    <n v="0"/>
    <n v="62421067"/>
    <n v="52747109"/>
    <m/>
    <x v="1"/>
    <n v="52747109"/>
  </r>
  <r>
    <x v="1"/>
    <x v="19"/>
    <x v="19"/>
    <x v="4"/>
    <s v="Prestación de Servicios Públicos"/>
    <x v="9"/>
    <x v="570"/>
    <x v="5"/>
    <x v="806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867754"/>
    <n v="0"/>
    <n v="0"/>
    <n v="867754"/>
    <n v="1062282"/>
    <m/>
    <x v="1"/>
    <n v="1062282"/>
  </r>
  <r>
    <x v="1"/>
    <x v="19"/>
    <x v="19"/>
    <x v="4"/>
    <s v="Prestación de Servicios Públicos"/>
    <x v="9"/>
    <x v="570"/>
    <x v="5"/>
    <x v="806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21543819"/>
    <n v="0"/>
    <n v="0"/>
    <n v="21543819"/>
    <n v="19381221"/>
    <m/>
    <x v="1"/>
    <n v="19381221"/>
  </r>
  <r>
    <x v="1"/>
    <x v="19"/>
    <x v="19"/>
    <x v="4"/>
    <s v="Prestación de Servicios Públicos"/>
    <x v="9"/>
    <x v="570"/>
    <x v="50"/>
    <x v="807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707784"/>
    <n v="0"/>
    <n v="0"/>
    <n v="707784"/>
    <n v="877538"/>
    <m/>
    <x v="1"/>
    <n v="877538"/>
  </r>
  <r>
    <x v="1"/>
    <x v="19"/>
    <x v="19"/>
    <x v="4"/>
    <s v="Prestación de Servicios Públicos"/>
    <x v="9"/>
    <x v="570"/>
    <x v="50"/>
    <x v="807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17004123"/>
    <n v="0"/>
    <n v="0"/>
    <n v="17004123"/>
    <n v="15569021"/>
    <m/>
    <x v="1"/>
    <n v="15569021"/>
  </r>
  <r>
    <x v="1"/>
    <x v="19"/>
    <x v="19"/>
    <x v="4"/>
    <s v="Prestación de Servicios Públicos"/>
    <x v="9"/>
    <x v="570"/>
    <x v="51"/>
    <x v="808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1654305"/>
    <n v="0"/>
    <n v="0"/>
    <n v="1654305"/>
    <n v="2078380"/>
    <m/>
    <x v="1"/>
    <n v="2078380"/>
  </r>
  <r>
    <x v="1"/>
    <x v="19"/>
    <x v="19"/>
    <x v="4"/>
    <s v="Prestación de Servicios Públicos"/>
    <x v="9"/>
    <x v="570"/>
    <x v="51"/>
    <x v="808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34170275"/>
    <n v="0"/>
    <n v="0"/>
    <n v="34170275"/>
    <n v="32701670"/>
    <m/>
    <x v="1"/>
    <n v="32701670"/>
  </r>
  <r>
    <x v="1"/>
    <x v="19"/>
    <x v="19"/>
    <x v="4"/>
    <s v="Prestación de Servicios Públicos"/>
    <x v="9"/>
    <x v="570"/>
    <x v="52"/>
    <x v="809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640015"/>
    <n v="0"/>
    <n v="0"/>
    <n v="640015"/>
    <n v="831352"/>
    <m/>
    <x v="1"/>
    <n v="831352"/>
  </r>
  <r>
    <x v="1"/>
    <x v="19"/>
    <x v="19"/>
    <x v="4"/>
    <s v="Prestación de Servicios Públicos"/>
    <x v="9"/>
    <x v="570"/>
    <x v="52"/>
    <x v="809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33962933"/>
    <n v="0"/>
    <n v="0"/>
    <n v="33962933"/>
    <n v="42132784"/>
    <m/>
    <x v="1"/>
    <n v="42132784"/>
  </r>
  <r>
    <x v="1"/>
    <x v="19"/>
    <x v="19"/>
    <x v="4"/>
    <s v="Prestación de Servicios Públicos"/>
    <x v="9"/>
    <x v="570"/>
    <x v="263"/>
    <x v="810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1607376"/>
    <n v="0"/>
    <n v="0"/>
    <n v="1607376"/>
    <n v="2032195"/>
    <m/>
    <x v="1"/>
    <n v="2032195"/>
  </r>
  <r>
    <x v="1"/>
    <x v="19"/>
    <x v="19"/>
    <x v="4"/>
    <s v="Prestación de Servicios Públicos"/>
    <x v="9"/>
    <x v="570"/>
    <x v="263"/>
    <x v="810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104043100"/>
    <n v="0"/>
    <n v="0"/>
    <n v="104043100"/>
    <n v="98210358"/>
    <m/>
    <x v="1"/>
    <n v="98210358"/>
  </r>
  <r>
    <x v="1"/>
    <x v="19"/>
    <x v="19"/>
    <x v="4"/>
    <s v="Prestación de Servicios Públicos"/>
    <x v="9"/>
    <x v="570"/>
    <x v="399"/>
    <x v="811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70000000"/>
    <n v="0"/>
    <n v="0"/>
    <n v="70000000"/>
    <n v="61780842"/>
    <m/>
    <x v="1"/>
    <n v="61780842"/>
  </r>
  <r>
    <x v="1"/>
    <x v="19"/>
    <x v="19"/>
    <x v="4"/>
    <s v="Prestación de Servicios Públicos"/>
    <x v="9"/>
    <x v="570"/>
    <x v="400"/>
    <x v="787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909902"/>
    <n v="0"/>
    <n v="0"/>
    <n v="909902"/>
    <m/>
    <m/>
    <x v="1"/>
    <n v="0"/>
  </r>
  <r>
    <x v="1"/>
    <x v="19"/>
    <x v="19"/>
    <x v="4"/>
    <s v="Prestación de Servicios Públicos"/>
    <x v="9"/>
    <x v="570"/>
    <x v="400"/>
    <x v="787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27453648"/>
    <n v="0"/>
    <n v="0"/>
    <n v="27453648"/>
    <m/>
    <m/>
    <x v="1"/>
    <n v="0"/>
  </r>
  <r>
    <x v="1"/>
    <x v="19"/>
    <x v="19"/>
    <x v="4"/>
    <s v="Prestación de Servicios Públicos"/>
    <x v="10"/>
    <x v="571"/>
    <x v="1"/>
    <x v="780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1"/>
    <m/>
    <x v="0"/>
    <x v="0"/>
    <m/>
    <n v="14913820"/>
    <n v="0"/>
    <n v="0"/>
    <n v="14913820"/>
    <n v="33635267"/>
    <m/>
    <x v="1"/>
    <n v="33635267"/>
  </r>
  <r>
    <x v="1"/>
    <x v="19"/>
    <x v="19"/>
    <x v="4"/>
    <s v="Prestación de Servicios Públicos"/>
    <x v="10"/>
    <x v="571"/>
    <x v="74"/>
    <x v="812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3474756"/>
    <n v="0"/>
    <n v="0"/>
    <n v="3474756"/>
    <n v="4433880"/>
    <m/>
    <x v="1"/>
    <n v="4433880"/>
  </r>
  <r>
    <x v="1"/>
    <x v="19"/>
    <x v="19"/>
    <x v="4"/>
    <s v="Prestación de Servicios Públicos"/>
    <x v="10"/>
    <x v="571"/>
    <x v="74"/>
    <x v="812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87508974"/>
    <n v="0"/>
    <n v="0"/>
    <n v="87508974"/>
    <n v="82105210"/>
    <m/>
    <x v="1"/>
    <n v="82105210"/>
  </r>
  <r>
    <x v="1"/>
    <x v="19"/>
    <x v="19"/>
    <x v="4"/>
    <s v="Prestación de Servicios Públicos"/>
    <x v="10"/>
    <x v="571"/>
    <x v="75"/>
    <x v="813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167893"/>
    <n v="0"/>
    <n v="0"/>
    <n v="167893"/>
    <n v="184744"/>
    <m/>
    <x v="1"/>
    <n v="184744"/>
  </r>
  <r>
    <x v="1"/>
    <x v="19"/>
    <x v="19"/>
    <x v="4"/>
    <s v="Prestación de Servicios Públicos"/>
    <x v="10"/>
    <x v="571"/>
    <x v="75"/>
    <x v="813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5653640"/>
    <n v="0"/>
    <n v="0"/>
    <n v="5653640"/>
    <n v="5498856"/>
    <m/>
    <x v="1"/>
    <n v="5498856"/>
  </r>
  <r>
    <x v="1"/>
    <x v="19"/>
    <x v="19"/>
    <x v="4"/>
    <s v="Prestación de Servicios Públicos"/>
    <x v="10"/>
    <x v="571"/>
    <x v="72"/>
    <x v="814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155364"/>
    <n v="0"/>
    <n v="0"/>
    <n v="155364"/>
    <n v="184744"/>
    <m/>
    <x v="1"/>
    <n v="184744"/>
  </r>
  <r>
    <x v="1"/>
    <x v="19"/>
    <x v="19"/>
    <x v="4"/>
    <s v="Prestación de Servicios Públicos"/>
    <x v="10"/>
    <x v="571"/>
    <x v="72"/>
    <x v="814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5786138"/>
    <n v="0"/>
    <n v="0"/>
    <n v="5786138"/>
    <n v="5282497"/>
    <m/>
    <x v="1"/>
    <n v="5282497"/>
  </r>
  <r>
    <x v="1"/>
    <x v="19"/>
    <x v="19"/>
    <x v="4"/>
    <s v="Prestación de Servicios Públicos"/>
    <x v="10"/>
    <x v="571"/>
    <x v="76"/>
    <x v="815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1870118"/>
    <n v="0"/>
    <n v="0"/>
    <n v="1870118"/>
    <n v="2355498"/>
    <m/>
    <x v="1"/>
    <n v="2355498"/>
  </r>
  <r>
    <x v="1"/>
    <x v="19"/>
    <x v="19"/>
    <x v="4"/>
    <s v="Prestación de Servicios Públicos"/>
    <x v="10"/>
    <x v="571"/>
    <x v="76"/>
    <x v="815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44009682"/>
    <n v="0"/>
    <n v="0"/>
    <n v="44009682"/>
    <n v="40785735"/>
    <m/>
    <x v="1"/>
    <n v="40785735"/>
  </r>
  <r>
    <x v="1"/>
    <x v="19"/>
    <x v="19"/>
    <x v="4"/>
    <s v="Prestación de Servicios Públicos"/>
    <x v="10"/>
    <x v="571"/>
    <x v="77"/>
    <x v="816"/>
    <n v="1"/>
    <s v="Gobierno"/>
    <n v="6"/>
    <s v="Orden, Seguridad y Justicia"/>
    <n v="3"/>
    <x v="27"/>
    <x v="15"/>
    <x v="140"/>
    <n v="1"/>
    <s v="Gasto corriente"/>
    <x v="0"/>
    <x v="1"/>
    <x v="0"/>
    <x v="0"/>
    <x v="0"/>
    <x v="0"/>
    <x v="0"/>
    <m/>
    <x v="0"/>
    <x v="0"/>
    <m/>
    <n v="1999087"/>
    <n v="0"/>
    <n v="0"/>
    <n v="1999087"/>
    <n v="2494057"/>
    <m/>
    <x v="1"/>
    <n v="2494057"/>
  </r>
  <r>
    <x v="1"/>
    <x v="19"/>
    <x v="19"/>
    <x v="4"/>
    <s v="Prestación de Servicios Públicos"/>
    <x v="10"/>
    <x v="571"/>
    <x v="77"/>
    <x v="816"/>
    <n v="1"/>
    <s v="Gobierno"/>
    <n v="6"/>
    <s v="Orden, Seguridad y Justicia"/>
    <n v="3"/>
    <x v="27"/>
    <x v="15"/>
    <x v="140"/>
    <n v="1"/>
    <s v="Gasto corriente"/>
    <x v="0"/>
    <x v="0"/>
    <x v="0"/>
    <x v="0"/>
    <x v="0"/>
    <x v="0"/>
    <x v="0"/>
    <m/>
    <x v="0"/>
    <x v="0"/>
    <m/>
    <n v="32654001"/>
    <n v="0"/>
    <n v="0"/>
    <n v="32654001"/>
    <n v="29899176"/>
    <m/>
    <x v="1"/>
    <n v="29899176"/>
  </r>
  <r>
    <x v="1"/>
    <x v="19"/>
    <x v="19"/>
    <x v="4"/>
    <s v="Prestación de Servicios Públicos"/>
    <x v="11"/>
    <x v="572"/>
    <x v="401"/>
    <x v="817"/>
    <n v="1"/>
    <s v="Gobierno"/>
    <n v="6"/>
    <s v="Orden, Seguridad y Justicia"/>
    <n v="3"/>
    <x v="27"/>
    <x v="0"/>
    <x v="139"/>
    <n v="1"/>
    <s v="Gasto corriente"/>
    <x v="0"/>
    <x v="0"/>
    <x v="0"/>
    <x v="1"/>
    <x v="0"/>
    <x v="0"/>
    <x v="0"/>
    <m/>
    <x v="0"/>
    <x v="0"/>
    <m/>
    <n v="3414735"/>
    <n v="0"/>
    <n v="0"/>
    <n v="3414735"/>
    <n v="2340879"/>
    <m/>
    <x v="1"/>
    <n v="2340879"/>
  </r>
  <r>
    <x v="1"/>
    <x v="19"/>
    <x v="19"/>
    <x v="4"/>
    <s v="Prestación de Servicios Públicos"/>
    <x v="12"/>
    <x v="573"/>
    <x v="61"/>
    <x v="818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4383834"/>
    <n v="0"/>
    <n v="0"/>
    <n v="4383834"/>
    <n v="4849555"/>
    <m/>
    <x v="1"/>
    <n v="4849555"/>
  </r>
  <r>
    <x v="1"/>
    <x v="19"/>
    <x v="19"/>
    <x v="4"/>
    <s v="Prestación de Servicios Públicos"/>
    <x v="12"/>
    <x v="573"/>
    <x v="61"/>
    <x v="818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26256656"/>
    <n v="0"/>
    <n v="0"/>
    <n v="126256656"/>
    <n v="101722541"/>
    <m/>
    <x v="1"/>
    <n v="101722541"/>
  </r>
  <r>
    <x v="1"/>
    <x v="19"/>
    <x v="19"/>
    <x v="4"/>
    <s v="Prestación de Servicios Públicos"/>
    <x v="13"/>
    <x v="574"/>
    <x v="67"/>
    <x v="81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4961301"/>
    <n v="0"/>
    <n v="0"/>
    <n v="4961301"/>
    <n v="6142771"/>
    <m/>
    <x v="1"/>
    <n v="6142771"/>
  </r>
  <r>
    <x v="1"/>
    <x v="19"/>
    <x v="19"/>
    <x v="4"/>
    <s v="Prestación de Servicios Públicos"/>
    <x v="13"/>
    <x v="574"/>
    <x v="67"/>
    <x v="81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27500281"/>
    <n v="0"/>
    <n v="0"/>
    <n v="127500281"/>
    <n v="109755286"/>
    <m/>
    <x v="1"/>
    <n v="109755286"/>
  </r>
  <r>
    <x v="1"/>
    <x v="19"/>
    <x v="19"/>
    <x v="4"/>
    <s v="Prestación de Servicios Públicos"/>
    <x v="13"/>
    <x v="574"/>
    <x v="68"/>
    <x v="820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355450"/>
    <n v="0"/>
    <n v="0"/>
    <n v="355450"/>
    <n v="415675"/>
    <m/>
    <x v="1"/>
    <n v="415675"/>
  </r>
  <r>
    <x v="1"/>
    <x v="19"/>
    <x v="19"/>
    <x v="4"/>
    <s v="Prestación de Servicios Públicos"/>
    <x v="13"/>
    <x v="574"/>
    <x v="68"/>
    <x v="820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1940893"/>
    <n v="0"/>
    <n v="0"/>
    <n v="11940893"/>
    <n v="10824030"/>
    <m/>
    <x v="1"/>
    <n v="10824030"/>
  </r>
  <r>
    <x v="1"/>
    <x v="19"/>
    <x v="19"/>
    <x v="4"/>
    <s v="Prestación de Servicios Públicos"/>
    <x v="13"/>
    <x v="574"/>
    <x v="60"/>
    <x v="821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408093"/>
    <n v="0"/>
    <n v="0"/>
    <n v="408093"/>
    <n v="461861"/>
    <m/>
    <x v="1"/>
    <n v="461861"/>
  </r>
  <r>
    <x v="1"/>
    <x v="19"/>
    <x v="19"/>
    <x v="4"/>
    <s v="Prestación de Servicios Públicos"/>
    <x v="13"/>
    <x v="574"/>
    <x v="60"/>
    <x v="821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1974073"/>
    <n v="0"/>
    <n v="0"/>
    <n v="11974073"/>
    <n v="11356860"/>
    <m/>
    <x v="1"/>
    <n v="11356860"/>
  </r>
  <r>
    <x v="1"/>
    <x v="19"/>
    <x v="19"/>
    <x v="4"/>
    <s v="Prestación de Servicios Públicos"/>
    <x v="13"/>
    <x v="574"/>
    <x v="69"/>
    <x v="822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509938"/>
    <n v="0"/>
    <n v="0"/>
    <n v="509938"/>
    <n v="646607"/>
    <m/>
    <x v="1"/>
    <n v="646607"/>
  </r>
  <r>
    <x v="1"/>
    <x v="19"/>
    <x v="19"/>
    <x v="4"/>
    <s v="Prestación de Servicios Públicos"/>
    <x v="13"/>
    <x v="574"/>
    <x v="69"/>
    <x v="822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5477627"/>
    <n v="0"/>
    <n v="0"/>
    <n v="15477627"/>
    <n v="13952527"/>
    <m/>
    <x v="1"/>
    <n v="13952527"/>
  </r>
  <r>
    <x v="1"/>
    <x v="19"/>
    <x v="19"/>
    <x v="4"/>
    <s v="Prestación de Servicios Públicos"/>
    <x v="13"/>
    <x v="574"/>
    <x v="402"/>
    <x v="823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373635"/>
    <n v="0"/>
    <n v="0"/>
    <n v="373635"/>
    <n v="461861"/>
    <m/>
    <x v="1"/>
    <n v="461861"/>
  </r>
  <r>
    <x v="1"/>
    <x v="19"/>
    <x v="19"/>
    <x v="4"/>
    <s v="Prestación de Servicios Públicos"/>
    <x v="13"/>
    <x v="574"/>
    <x v="402"/>
    <x v="823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9830710"/>
    <n v="0"/>
    <n v="0"/>
    <n v="9830710"/>
    <n v="10029159"/>
    <m/>
    <x v="1"/>
    <n v="10029159"/>
  </r>
  <r>
    <x v="1"/>
    <x v="19"/>
    <x v="19"/>
    <x v="4"/>
    <s v="Prestación de Servicios Públicos"/>
    <x v="14"/>
    <x v="575"/>
    <x v="28"/>
    <x v="824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742148"/>
    <n v="0"/>
    <n v="0"/>
    <n v="1742148"/>
    <n v="1939822"/>
    <m/>
    <x v="1"/>
    <n v="1939822"/>
  </r>
  <r>
    <x v="1"/>
    <x v="19"/>
    <x v="19"/>
    <x v="4"/>
    <s v="Prestación de Servicios Públicos"/>
    <x v="14"/>
    <x v="575"/>
    <x v="28"/>
    <x v="824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47989252"/>
    <n v="0"/>
    <n v="0"/>
    <n v="47989252"/>
    <n v="37748441"/>
    <m/>
    <x v="1"/>
    <n v="37748441"/>
  </r>
  <r>
    <x v="1"/>
    <x v="19"/>
    <x v="19"/>
    <x v="4"/>
    <s v="Prestación de Servicios Públicos"/>
    <x v="14"/>
    <x v="575"/>
    <x v="29"/>
    <x v="825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779207"/>
    <n v="0"/>
    <n v="0"/>
    <n v="779207"/>
    <n v="923724"/>
    <m/>
    <x v="1"/>
    <n v="923724"/>
  </r>
  <r>
    <x v="1"/>
    <x v="19"/>
    <x v="19"/>
    <x v="4"/>
    <s v="Prestación de Servicios Públicos"/>
    <x v="14"/>
    <x v="575"/>
    <x v="29"/>
    <x v="825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37098952"/>
    <n v="0"/>
    <n v="0"/>
    <n v="37098952"/>
    <n v="30455249"/>
    <m/>
    <x v="1"/>
    <n v="30455249"/>
  </r>
  <r>
    <x v="1"/>
    <x v="19"/>
    <x v="19"/>
    <x v="4"/>
    <s v="Prestación de Servicios Públicos"/>
    <x v="14"/>
    <x v="575"/>
    <x v="121"/>
    <x v="826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491531"/>
    <n v="0"/>
    <n v="0"/>
    <n v="491531"/>
    <n v="554234"/>
    <m/>
    <x v="1"/>
    <n v="554234"/>
  </r>
  <r>
    <x v="1"/>
    <x v="19"/>
    <x v="19"/>
    <x v="4"/>
    <s v="Prestación de Servicios Públicos"/>
    <x v="14"/>
    <x v="575"/>
    <x v="121"/>
    <x v="826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17460173"/>
    <n v="0"/>
    <n v="0"/>
    <n v="17460173"/>
    <n v="16998216"/>
    <m/>
    <x v="1"/>
    <n v="16998216"/>
  </r>
  <r>
    <x v="1"/>
    <x v="19"/>
    <x v="19"/>
    <x v="4"/>
    <s v="Prestación de Servicios Públicos"/>
    <x v="14"/>
    <x v="575"/>
    <x v="122"/>
    <x v="827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13572275"/>
    <n v="0"/>
    <n v="0"/>
    <n v="13572275"/>
    <n v="8405897"/>
    <m/>
    <x v="1"/>
    <n v="8405897"/>
  </r>
  <r>
    <x v="1"/>
    <x v="19"/>
    <x v="19"/>
    <x v="4"/>
    <s v="Prestación de Servicios Públicos"/>
    <x v="14"/>
    <x v="575"/>
    <x v="122"/>
    <x v="827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403656459"/>
    <n v="0"/>
    <n v="0"/>
    <n v="403656459"/>
    <n v="157125965"/>
    <m/>
    <x v="1"/>
    <n v="157125965"/>
  </r>
  <r>
    <x v="1"/>
    <x v="19"/>
    <x v="19"/>
    <x v="4"/>
    <s v="Prestación de Servicios Públicos"/>
    <x v="14"/>
    <x v="575"/>
    <x v="112"/>
    <x v="828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n v="4049137"/>
    <n v="0"/>
    <n v="0"/>
    <n v="4049137"/>
    <n v="4941928"/>
    <m/>
    <x v="1"/>
    <n v="4941928"/>
  </r>
  <r>
    <x v="1"/>
    <x v="19"/>
    <x v="19"/>
    <x v="4"/>
    <s v="Prestación de Servicios Públicos"/>
    <x v="14"/>
    <x v="575"/>
    <x v="112"/>
    <x v="828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700610079"/>
    <n v="0"/>
    <n v="-20000000"/>
    <n v="680610079"/>
    <n v="677615501"/>
    <m/>
    <x v="1"/>
    <n v="677615501"/>
  </r>
  <r>
    <x v="1"/>
    <x v="19"/>
    <x v="19"/>
    <x v="4"/>
    <s v="Prestación de Servicios Públicos"/>
    <x v="14"/>
    <x v="575"/>
    <x v="31"/>
    <x v="82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1"/>
    <m/>
    <x v="0"/>
    <x v="0"/>
    <m/>
    <n v="2101041"/>
    <n v="0"/>
    <n v="0"/>
    <n v="2101041"/>
    <n v="2416198"/>
    <m/>
    <x v="1"/>
    <n v="2416198"/>
  </r>
  <r>
    <x v="1"/>
    <x v="19"/>
    <x v="19"/>
    <x v="4"/>
    <s v="Prestación de Servicios Públicos"/>
    <x v="14"/>
    <x v="575"/>
    <x v="31"/>
    <x v="82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1"/>
    <m/>
    <x v="0"/>
    <x v="0"/>
    <m/>
    <n v="42272139"/>
    <n v="0"/>
    <n v="-900000"/>
    <n v="41372139"/>
    <n v="43184032"/>
    <m/>
    <x v="3"/>
    <n v="53184032"/>
  </r>
  <r>
    <x v="1"/>
    <x v="19"/>
    <x v="19"/>
    <x v="4"/>
    <s v="Prestación de Servicios Públicos"/>
    <x v="14"/>
    <x v="575"/>
    <x v="32"/>
    <x v="799"/>
    <n v="1"/>
    <s v="Gobierno"/>
    <n v="6"/>
    <s v="Orden, Seguridad y Justicia"/>
    <n v="3"/>
    <x v="27"/>
    <x v="0"/>
    <x v="139"/>
    <n v="1"/>
    <s v="Gasto corriente"/>
    <x v="0"/>
    <x v="1"/>
    <x v="0"/>
    <x v="0"/>
    <x v="0"/>
    <x v="0"/>
    <x v="0"/>
    <m/>
    <x v="0"/>
    <x v="0"/>
    <m/>
    <m/>
    <m/>
    <m/>
    <m/>
    <n v="3821982"/>
    <m/>
    <x v="1"/>
    <n v="3821982"/>
  </r>
  <r>
    <x v="1"/>
    <x v="19"/>
    <x v="19"/>
    <x v="4"/>
    <s v="Prestación de Servicios Públicos"/>
    <x v="14"/>
    <x v="575"/>
    <x v="32"/>
    <x v="799"/>
    <n v="1"/>
    <s v="Gobierno"/>
    <n v="6"/>
    <s v="Orden, Seguridad y Justicia"/>
    <n v="3"/>
    <x v="27"/>
    <x v="0"/>
    <x v="139"/>
    <n v="1"/>
    <s v="Gasto corriente"/>
    <x v="0"/>
    <x v="0"/>
    <x v="0"/>
    <x v="0"/>
    <x v="0"/>
    <x v="0"/>
    <x v="0"/>
    <m/>
    <x v="0"/>
    <x v="0"/>
    <m/>
    <n v="4397700"/>
    <n v="0"/>
    <n v="0"/>
    <n v="4397700"/>
    <n v="81562152"/>
    <m/>
    <x v="1"/>
    <n v="81562152"/>
  </r>
  <r>
    <x v="1"/>
    <x v="19"/>
    <x v="19"/>
    <x v="4"/>
    <s v="Prestación de Servicios Públicos"/>
    <x v="14"/>
    <x v="575"/>
    <x v="401"/>
    <x v="817"/>
    <n v="1"/>
    <s v="Gobierno"/>
    <n v="6"/>
    <s v="Orden, Seguridad y Justicia"/>
    <n v="3"/>
    <x v="27"/>
    <x v="0"/>
    <x v="139"/>
    <n v="1"/>
    <s v="Gasto corriente"/>
    <x v="0"/>
    <x v="1"/>
    <x v="0"/>
    <x v="1"/>
    <x v="0"/>
    <x v="0"/>
    <x v="0"/>
    <m/>
    <x v="0"/>
    <x v="0"/>
    <m/>
    <n v="2688511"/>
    <n v="0"/>
    <n v="0"/>
    <n v="2688511"/>
    <n v="3168210"/>
    <m/>
    <x v="1"/>
    <n v="3168210"/>
  </r>
  <r>
    <x v="1"/>
    <x v="19"/>
    <x v="19"/>
    <x v="4"/>
    <s v="Prestación de Servicios Públicos"/>
    <x v="14"/>
    <x v="575"/>
    <x v="401"/>
    <x v="817"/>
    <n v="1"/>
    <s v="Gobierno"/>
    <n v="6"/>
    <s v="Orden, Seguridad y Justicia"/>
    <n v="3"/>
    <x v="27"/>
    <x v="0"/>
    <x v="139"/>
    <n v="1"/>
    <s v="Gasto corriente"/>
    <x v="0"/>
    <x v="0"/>
    <x v="0"/>
    <x v="1"/>
    <x v="0"/>
    <x v="0"/>
    <x v="0"/>
    <m/>
    <x v="0"/>
    <x v="0"/>
    <m/>
    <n v="78184103"/>
    <n v="0"/>
    <n v="-3640000"/>
    <n v="74544103"/>
    <n v="75973949"/>
    <m/>
    <x v="1"/>
    <n v="75973949"/>
  </r>
  <r>
    <x v="1"/>
    <x v="19"/>
    <x v="19"/>
    <x v="0"/>
    <s v="Proyectos de Inversión"/>
    <x v="20"/>
    <x v="576"/>
    <x v="47"/>
    <x v="71"/>
    <n v="1"/>
    <s v="Gobierno"/>
    <n v="6"/>
    <s v="Orden, Seguridad y Justicia"/>
    <n v="3"/>
    <x v="27"/>
    <x v="0"/>
    <x v="139"/>
    <n v="2"/>
    <s v="Gasto de capital"/>
    <x v="0"/>
    <x v="0"/>
    <x v="0"/>
    <x v="0"/>
    <x v="0"/>
    <x v="0"/>
    <x v="0"/>
    <m/>
    <x v="0"/>
    <x v="0"/>
    <m/>
    <n v="58309115"/>
    <n v="0"/>
    <n v="0"/>
    <n v="58309115"/>
    <m/>
    <m/>
    <x v="1"/>
    <n v="0"/>
  </r>
  <r>
    <x v="1"/>
    <x v="19"/>
    <x v="19"/>
    <x v="0"/>
    <s v="Proyectos de Inversión"/>
    <x v="1"/>
    <x v="1"/>
    <x v="47"/>
    <x v="71"/>
    <n v="1"/>
    <s v="Gobierno"/>
    <n v="6"/>
    <s v="Orden, Seguridad y Justicia"/>
    <n v="3"/>
    <x v="27"/>
    <x v="0"/>
    <x v="139"/>
    <n v="2"/>
    <s v="Gasto de capital"/>
    <x v="0"/>
    <x v="0"/>
    <x v="0"/>
    <x v="0"/>
    <x v="0"/>
    <x v="0"/>
    <x v="0"/>
    <m/>
    <x v="0"/>
    <x v="0"/>
    <m/>
    <n v="35917100"/>
    <n v="0"/>
    <n v="0"/>
    <n v="35917100"/>
    <m/>
    <m/>
    <x v="1"/>
    <n v="0"/>
  </r>
  <r>
    <x v="1"/>
    <x v="19"/>
    <x v="19"/>
    <x v="2"/>
    <s v="Apoyo al proceso presupuestario y para mejorar la eficiencia institucional"/>
    <x v="2"/>
    <x v="34"/>
    <x v="44"/>
    <x v="39"/>
    <n v="1"/>
    <s v="Gobierno"/>
    <n v="6"/>
    <s v="Orden, Seguridad y Justicia"/>
    <n v="3"/>
    <x v="27"/>
    <x v="3"/>
    <x v="12"/>
    <n v="1"/>
    <s v="Gasto corriente"/>
    <x v="0"/>
    <x v="1"/>
    <x v="0"/>
    <x v="0"/>
    <x v="0"/>
    <x v="0"/>
    <x v="0"/>
    <m/>
    <x v="0"/>
    <x v="0"/>
    <m/>
    <n v="2731565"/>
    <n v="0"/>
    <n v="0"/>
    <n v="2731565"/>
    <n v="2678802"/>
    <m/>
    <x v="1"/>
    <n v="2678802"/>
  </r>
  <r>
    <x v="1"/>
    <x v="19"/>
    <x v="19"/>
    <x v="2"/>
    <s v="Apoyo al proceso presupuestario y para mejorar la eficiencia institucional"/>
    <x v="2"/>
    <x v="34"/>
    <x v="44"/>
    <x v="39"/>
    <n v="1"/>
    <s v="Gobierno"/>
    <n v="6"/>
    <s v="Orden, Seguridad y Justicia"/>
    <n v="3"/>
    <x v="27"/>
    <x v="3"/>
    <x v="12"/>
    <n v="1"/>
    <s v="Gasto corriente"/>
    <x v="0"/>
    <x v="0"/>
    <x v="0"/>
    <x v="0"/>
    <x v="0"/>
    <x v="0"/>
    <x v="0"/>
    <m/>
    <x v="0"/>
    <x v="0"/>
    <m/>
    <n v="65697460"/>
    <n v="0"/>
    <n v="0"/>
    <n v="65697460"/>
    <n v="54699796"/>
    <m/>
    <x v="1"/>
    <n v="54699796"/>
  </r>
  <r>
    <x v="1"/>
    <x v="19"/>
    <x v="19"/>
    <x v="2"/>
    <s v="Apoyo al proceso presupuestario y para mejorar la eficiencia institucional"/>
    <x v="2"/>
    <x v="34"/>
    <x v="45"/>
    <x v="119"/>
    <n v="1"/>
    <s v="Gobierno"/>
    <n v="6"/>
    <s v="Orden, Seguridad y Justicia"/>
    <n v="3"/>
    <x v="27"/>
    <x v="3"/>
    <x v="12"/>
    <n v="1"/>
    <s v="Gasto corriente"/>
    <x v="0"/>
    <x v="1"/>
    <x v="0"/>
    <x v="0"/>
    <x v="0"/>
    <x v="0"/>
    <x v="0"/>
    <m/>
    <x v="0"/>
    <x v="0"/>
    <m/>
    <n v="2758880"/>
    <n v="0"/>
    <n v="0"/>
    <n v="2758880"/>
    <n v="3463968"/>
    <m/>
    <x v="1"/>
    <n v="3463968"/>
  </r>
  <r>
    <x v="1"/>
    <x v="19"/>
    <x v="19"/>
    <x v="2"/>
    <s v="Apoyo al proceso presupuestario y para mejorar la eficiencia institucional"/>
    <x v="2"/>
    <x v="34"/>
    <x v="45"/>
    <x v="119"/>
    <n v="1"/>
    <s v="Gobierno"/>
    <n v="6"/>
    <s v="Orden, Seguridad y Justicia"/>
    <n v="3"/>
    <x v="27"/>
    <x v="3"/>
    <x v="12"/>
    <n v="1"/>
    <s v="Gasto corriente"/>
    <x v="0"/>
    <x v="0"/>
    <x v="0"/>
    <x v="0"/>
    <x v="0"/>
    <x v="0"/>
    <x v="0"/>
    <m/>
    <x v="0"/>
    <x v="0"/>
    <m/>
    <n v="201010297"/>
    <n v="0"/>
    <n v="-49972088"/>
    <n v="151038209"/>
    <n v="50999450"/>
    <m/>
    <x v="1"/>
    <n v="50999450"/>
  </r>
  <r>
    <x v="1"/>
    <x v="19"/>
    <x v="19"/>
    <x v="2"/>
    <s v="Apoyo al proceso presupuestario y para mejorar la eficiencia institucional"/>
    <x v="2"/>
    <x v="34"/>
    <x v="46"/>
    <x v="69"/>
    <n v="1"/>
    <s v="Gobierno"/>
    <n v="6"/>
    <s v="Orden, Seguridad y Justicia"/>
    <n v="3"/>
    <x v="27"/>
    <x v="3"/>
    <x v="12"/>
    <n v="1"/>
    <s v="Gasto corriente"/>
    <x v="0"/>
    <x v="1"/>
    <x v="0"/>
    <x v="0"/>
    <x v="0"/>
    <x v="0"/>
    <x v="0"/>
    <m/>
    <x v="0"/>
    <x v="0"/>
    <m/>
    <n v="14258999"/>
    <n v="0"/>
    <n v="0"/>
    <n v="14258999"/>
    <n v="20092591"/>
    <m/>
    <x v="1"/>
    <n v="20092591"/>
  </r>
  <r>
    <x v="1"/>
    <x v="19"/>
    <x v="19"/>
    <x v="2"/>
    <s v="Apoyo al proceso presupuestario y para mejorar la eficiencia institucional"/>
    <x v="2"/>
    <x v="34"/>
    <x v="46"/>
    <x v="69"/>
    <n v="1"/>
    <s v="Gobierno"/>
    <n v="6"/>
    <s v="Orden, Seguridad y Justicia"/>
    <n v="3"/>
    <x v="27"/>
    <x v="3"/>
    <x v="12"/>
    <n v="1"/>
    <s v="Gasto corriente"/>
    <x v="0"/>
    <x v="0"/>
    <x v="0"/>
    <x v="0"/>
    <x v="0"/>
    <x v="0"/>
    <x v="0"/>
    <m/>
    <x v="0"/>
    <x v="0"/>
    <m/>
    <n v="211026888"/>
    <n v="0"/>
    <n v="0"/>
    <n v="211026888"/>
    <n v="635930368"/>
    <m/>
    <x v="1"/>
    <n v="635930368"/>
  </r>
  <r>
    <x v="1"/>
    <x v="19"/>
    <x v="19"/>
    <x v="2"/>
    <s v="Apoyo al proceso presupuestario y para mejorar la eficiencia institucional"/>
    <x v="2"/>
    <x v="34"/>
    <x v="47"/>
    <x v="71"/>
    <n v="1"/>
    <s v="Gobierno"/>
    <n v="6"/>
    <s v="Orden, Seguridad y Justicia"/>
    <n v="3"/>
    <x v="27"/>
    <x v="3"/>
    <x v="12"/>
    <n v="1"/>
    <s v="Gasto corriente"/>
    <x v="0"/>
    <x v="1"/>
    <x v="0"/>
    <x v="0"/>
    <x v="0"/>
    <x v="0"/>
    <x v="0"/>
    <m/>
    <x v="0"/>
    <x v="0"/>
    <m/>
    <n v="6390940"/>
    <n v="0"/>
    <n v="0"/>
    <n v="6390940"/>
    <n v="7851663"/>
    <m/>
    <x v="1"/>
    <n v="7851663"/>
  </r>
  <r>
    <x v="1"/>
    <x v="19"/>
    <x v="19"/>
    <x v="2"/>
    <s v="Apoyo al proceso presupuestario y para mejorar la eficiencia institucional"/>
    <x v="2"/>
    <x v="34"/>
    <x v="47"/>
    <x v="71"/>
    <n v="1"/>
    <s v="Gobierno"/>
    <n v="6"/>
    <s v="Orden, Seguridad y Justicia"/>
    <n v="3"/>
    <x v="27"/>
    <x v="3"/>
    <x v="12"/>
    <n v="1"/>
    <s v="Gasto corriente"/>
    <x v="0"/>
    <x v="0"/>
    <x v="0"/>
    <x v="0"/>
    <x v="0"/>
    <x v="0"/>
    <x v="0"/>
    <m/>
    <x v="0"/>
    <x v="0"/>
    <m/>
    <n v="102355359"/>
    <n v="0"/>
    <n v="0"/>
    <n v="102355359"/>
    <n v="101935579"/>
    <m/>
    <x v="1"/>
    <n v="101935579"/>
  </r>
  <r>
    <x v="1"/>
    <x v="19"/>
    <x v="19"/>
    <x v="2"/>
    <s v="Apoyo al proceso presupuestario y para mejorar la eficiencia institucional"/>
    <x v="2"/>
    <x v="34"/>
    <x v="403"/>
    <x v="830"/>
    <n v="1"/>
    <s v="Gobierno"/>
    <n v="6"/>
    <s v="Orden, Seguridad y Justicia"/>
    <n v="3"/>
    <x v="27"/>
    <x v="3"/>
    <x v="12"/>
    <n v="1"/>
    <s v="Gasto corriente"/>
    <x v="0"/>
    <x v="1"/>
    <x v="0"/>
    <x v="0"/>
    <x v="0"/>
    <x v="0"/>
    <x v="0"/>
    <m/>
    <x v="0"/>
    <x v="0"/>
    <m/>
    <n v="3457041"/>
    <n v="0"/>
    <n v="0"/>
    <n v="3457041"/>
    <n v="3602527"/>
    <m/>
    <x v="1"/>
    <n v="3602527"/>
  </r>
  <r>
    <x v="1"/>
    <x v="19"/>
    <x v="19"/>
    <x v="2"/>
    <s v="Apoyo al proceso presupuestario y para mejorar la eficiencia institucional"/>
    <x v="2"/>
    <x v="34"/>
    <x v="403"/>
    <x v="830"/>
    <n v="1"/>
    <s v="Gobierno"/>
    <n v="6"/>
    <s v="Orden, Seguridad y Justicia"/>
    <n v="3"/>
    <x v="27"/>
    <x v="3"/>
    <x v="12"/>
    <n v="1"/>
    <s v="Gasto corriente"/>
    <x v="0"/>
    <x v="0"/>
    <x v="0"/>
    <x v="0"/>
    <x v="0"/>
    <x v="0"/>
    <x v="0"/>
    <m/>
    <x v="0"/>
    <x v="0"/>
    <m/>
    <n v="187036743"/>
    <n v="0"/>
    <n v="0"/>
    <n v="187036743"/>
    <n v="239240927"/>
    <m/>
    <x v="1"/>
    <n v="239240927"/>
  </r>
  <r>
    <x v="1"/>
    <x v="19"/>
    <x v="19"/>
    <x v="2"/>
    <s v="Apoyo al proceso presupuestario y para mejorar la eficiencia institucional"/>
    <x v="2"/>
    <x v="34"/>
    <x v="401"/>
    <x v="817"/>
    <n v="1"/>
    <s v="Gobierno"/>
    <n v="6"/>
    <s v="Orden, Seguridad y Justicia"/>
    <n v="3"/>
    <x v="27"/>
    <x v="3"/>
    <x v="12"/>
    <n v="1"/>
    <s v="Gasto corriente"/>
    <x v="0"/>
    <x v="1"/>
    <x v="0"/>
    <x v="0"/>
    <x v="0"/>
    <x v="0"/>
    <x v="0"/>
    <m/>
    <x v="0"/>
    <x v="0"/>
    <m/>
    <n v="179233"/>
    <n v="0"/>
    <n v="0"/>
    <n v="179233"/>
    <n v="147619"/>
    <m/>
    <x v="1"/>
    <n v="147619"/>
  </r>
  <r>
    <x v="1"/>
    <x v="19"/>
    <x v="19"/>
    <x v="2"/>
    <s v="Apoyo al proceso presupuestario y para mejorar la eficiencia institucional"/>
    <x v="2"/>
    <x v="34"/>
    <x v="401"/>
    <x v="817"/>
    <n v="1"/>
    <s v="Gobierno"/>
    <n v="6"/>
    <s v="Orden, Seguridad y Justicia"/>
    <n v="3"/>
    <x v="27"/>
    <x v="3"/>
    <x v="12"/>
    <n v="1"/>
    <s v="Gasto corriente"/>
    <x v="0"/>
    <x v="0"/>
    <x v="0"/>
    <x v="0"/>
    <x v="0"/>
    <x v="0"/>
    <x v="0"/>
    <m/>
    <x v="0"/>
    <x v="0"/>
    <m/>
    <n v="6694829"/>
    <n v="0"/>
    <n v="-130000"/>
    <n v="6564829"/>
    <n v="5787155"/>
    <m/>
    <x v="1"/>
    <n v="5787155"/>
  </r>
  <r>
    <x v="1"/>
    <x v="19"/>
    <x v="19"/>
    <x v="3"/>
    <s v="Apoyo a la función pública y al mejoramiento de la gestión"/>
    <x v="2"/>
    <x v="42"/>
    <x v="23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3970202"/>
    <n v="0"/>
    <n v="0"/>
    <n v="3970202"/>
    <n v="4895742"/>
    <m/>
    <x v="1"/>
    <n v="4895742"/>
  </r>
  <r>
    <x v="1"/>
    <x v="19"/>
    <x v="19"/>
    <x v="3"/>
    <s v="Apoyo a la función pública y al mejoramiento de la gestión"/>
    <x v="2"/>
    <x v="42"/>
    <x v="23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94329554"/>
    <n v="0"/>
    <n v="0"/>
    <n v="94329554"/>
    <n v="65471896"/>
    <m/>
    <x v="1"/>
    <n v="65471896"/>
  </r>
  <r>
    <x v="1"/>
    <x v="19"/>
    <x v="19"/>
    <x v="3"/>
    <s v="Apoyo a la función pública y al mejoramiento de la gestión"/>
    <x v="2"/>
    <x v="42"/>
    <x v="401"/>
    <x v="817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19488"/>
    <n v="0"/>
    <n v="0"/>
    <n v="119488"/>
    <n v="119488"/>
    <m/>
    <x v="1"/>
    <n v="119488"/>
  </r>
  <r>
    <x v="1"/>
    <x v="19"/>
    <x v="19"/>
    <x v="3"/>
    <s v="Apoyo a la función pública y al mejoramiento de la gestión"/>
    <x v="2"/>
    <x v="42"/>
    <x v="401"/>
    <x v="81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683610"/>
    <n v="0"/>
    <n v="-130000"/>
    <n v="2553610"/>
    <n v="2553610"/>
    <m/>
    <x v="1"/>
    <n v="2553610"/>
  </r>
  <r>
    <x v="1"/>
    <x v="20"/>
    <x v="20"/>
    <x v="4"/>
    <s v="Prestación de Servicios Públicos"/>
    <x v="4"/>
    <x v="577"/>
    <x v="404"/>
    <x v="831"/>
    <n v="3"/>
    <s v="Desarrollo Económico"/>
    <n v="7"/>
    <s v="Ciencia y Tecnología"/>
    <n v="1"/>
    <x v="33"/>
    <x v="8"/>
    <x v="141"/>
    <n v="1"/>
    <s v="Gasto corriente"/>
    <x v="0"/>
    <x v="1"/>
    <x v="0"/>
    <x v="1"/>
    <x v="0"/>
    <x v="0"/>
    <x v="0"/>
    <m/>
    <x v="0"/>
    <x v="0"/>
    <m/>
    <n v="6422603"/>
    <n v="0"/>
    <n v="0"/>
    <n v="6422603"/>
    <n v="6725206"/>
    <m/>
    <x v="1"/>
    <n v="6725206"/>
  </r>
  <r>
    <x v="1"/>
    <x v="20"/>
    <x v="20"/>
    <x v="4"/>
    <s v="Prestación de Servicios Públicos"/>
    <x v="4"/>
    <x v="577"/>
    <x v="404"/>
    <x v="831"/>
    <n v="3"/>
    <s v="Desarrollo Económico"/>
    <n v="7"/>
    <s v="Ciencia y Tecnología"/>
    <n v="1"/>
    <x v="33"/>
    <x v="8"/>
    <x v="141"/>
    <n v="1"/>
    <s v="Gasto corriente"/>
    <x v="0"/>
    <x v="0"/>
    <x v="0"/>
    <x v="1"/>
    <x v="0"/>
    <x v="0"/>
    <x v="0"/>
    <m/>
    <x v="0"/>
    <x v="0"/>
    <m/>
    <n v="189346306"/>
    <n v="0"/>
    <n v="-458242"/>
    <n v="188888064"/>
    <n v="179671203"/>
    <m/>
    <x v="1"/>
    <n v="179671203"/>
  </r>
  <r>
    <x v="1"/>
    <x v="20"/>
    <x v="20"/>
    <x v="4"/>
    <s v="Prestación de Servicios Públicos"/>
    <x v="5"/>
    <x v="578"/>
    <x v="405"/>
    <x v="832"/>
    <n v="3"/>
    <s v="Desarrollo Económico"/>
    <n v="7"/>
    <s v="Ciencia y Tecnología"/>
    <n v="1"/>
    <x v="33"/>
    <x v="15"/>
    <x v="142"/>
    <n v="1"/>
    <s v="Gasto corriente"/>
    <x v="0"/>
    <x v="0"/>
    <x v="0"/>
    <x v="1"/>
    <x v="0"/>
    <x v="0"/>
    <x v="0"/>
    <m/>
    <x v="0"/>
    <x v="1"/>
    <m/>
    <n v="180000000"/>
    <n v="0"/>
    <n v="-57300000"/>
    <n v="122700000"/>
    <m/>
    <m/>
    <x v="1"/>
    <n v="0"/>
  </r>
  <r>
    <x v="1"/>
    <x v="20"/>
    <x v="20"/>
    <x v="4"/>
    <s v="Prestación de Servicios Públicos"/>
    <x v="6"/>
    <x v="579"/>
    <x v="406"/>
    <x v="833"/>
    <n v="3"/>
    <s v="Desarrollo Económico"/>
    <n v="7"/>
    <s v="Ciencia y Tecnología"/>
    <n v="3"/>
    <x v="46"/>
    <x v="11"/>
    <x v="143"/>
    <n v="1"/>
    <s v="Gasto corriente"/>
    <x v="0"/>
    <x v="0"/>
    <x v="0"/>
    <x v="1"/>
    <x v="0"/>
    <x v="0"/>
    <x v="0"/>
    <m/>
    <x v="0"/>
    <x v="1"/>
    <n v="1"/>
    <n v="164284246"/>
    <n v="0"/>
    <n v="-400000"/>
    <n v="163884246"/>
    <n v="154235945"/>
    <m/>
    <x v="1"/>
    <n v="154235945"/>
  </r>
  <r>
    <x v="1"/>
    <x v="20"/>
    <x v="20"/>
    <x v="4"/>
    <s v="Prestación de Servicios Públicos"/>
    <x v="10"/>
    <x v="580"/>
    <x v="92"/>
    <x v="834"/>
    <n v="3"/>
    <s v="Desarrollo Económico"/>
    <n v="0"/>
    <s v="Energía"/>
    <n v="3"/>
    <x v="14"/>
    <x v="5"/>
    <x v="144"/>
    <n v="1"/>
    <s v="Gasto corriente"/>
    <x v="0"/>
    <x v="1"/>
    <x v="0"/>
    <x v="0"/>
    <x v="0"/>
    <x v="0"/>
    <x v="0"/>
    <m/>
    <x v="0"/>
    <x v="1"/>
    <n v="1"/>
    <n v="688440"/>
    <n v="0"/>
    <n v="0"/>
    <n v="688440"/>
    <n v="631864"/>
    <m/>
    <x v="1"/>
    <n v="631864"/>
  </r>
  <r>
    <x v="1"/>
    <x v="20"/>
    <x v="20"/>
    <x v="4"/>
    <s v="Prestación de Servicios Públicos"/>
    <x v="10"/>
    <x v="580"/>
    <x v="92"/>
    <x v="834"/>
    <n v="3"/>
    <s v="Desarrollo Económico"/>
    <n v="0"/>
    <s v="Energía"/>
    <n v="3"/>
    <x v="14"/>
    <x v="5"/>
    <x v="144"/>
    <n v="1"/>
    <s v="Gasto corriente"/>
    <x v="0"/>
    <x v="0"/>
    <x v="0"/>
    <x v="0"/>
    <x v="0"/>
    <x v="0"/>
    <x v="0"/>
    <m/>
    <x v="0"/>
    <x v="1"/>
    <n v="1"/>
    <n v="31105445"/>
    <n v="0"/>
    <n v="-120000"/>
    <n v="30985445"/>
    <n v="27104637"/>
    <m/>
    <x v="1"/>
    <n v="27104637"/>
  </r>
  <r>
    <x v="1"/>
    <x v="20"/>
    <x v="20"/>
    <x v="4"/>
    <s v="Prestación de Servicios Públicos"/>
    <x v="17"/>
    <x v="581"/>
    <x v="404"/>
    <x v="831"/>
    <n v="3"/>
    <s v="Desarrollo Económico"/>
    <n v="7"/>
    <s v="Ciencia y Tecnología"/>
    <n v="1"/>
    <x v="33"/>
    <x v="8"/>
    <x v="141"/>
    <n v="1"/>
    <s v="Gasto corriente"/>
    <x v="0"/>
    <x v="1"/>
    <x v="0"/>
    <x v="1"/>
    <x v="0"/>
    <x v="0"/>
    <x v="0"/>
    <m/>
    <x v="0"/>
    <x v="0"/>
    <m/>
    <n v="7536955"/>
    <n v="0"/>
    <n v="0"/>
    <n v="7536955"/>
    <n v="7772105"/>
    <m/>
    <x v="1"/>
    <n v="7772105"/>
  </r>
  <r>
    <x v="1"/>
    <x v="20"/>
    <x v="20"/>
    <x v="4"/>
    <s v="Prestación de Servicios Públicos"/>
    <x v="17"/>
    <x v="581"/>
    <x v="404"/>
    <x v="831"/>
    <n v="3"/>
    <s v="Desarrollo Económico"/>
    <n v="7"/>
    <s v="Ciencia y Tecnología"/>
    <n v="1"/>
    <x v="33"/>
    <x v="8"/>
    <x v="141"/>
    <n v="1"/>
    <s v="Gasto corriente"/>
    <x v="0"/>
    <x v="0"/>
    <x v="0"/>
    <x v="1"/>
    <x v="0"/>
    <x v="0"/>
    <x v="0"/>
    <m/>
    <x v="0"/>
    <x v="0"/>
    <m/>
    <n v="222480700"/>
    <n v="0"/>
    <n v="-555408"/>
    <n v="221925292"/>
    <n v="221304894"/>
    <m/>
    <x v="1"/>
    <n v="221304894"/>
  </r>
  <r>
    <x v="1"/>
    <x v="20"/>
    <x v="20"/>
    <x v="4"/>
    <s v="Prestación de Servicios Públicos"/>
    <x v="92"/>
    <x v="582"/>
    <x v="407"/>
    <x v="835"/>
    <n v="3"/>
    <s v="Desarrollo Económico"/>
    <n v="0"/>
    <s v="Energía"/>
    <n v="1"/>
    <x v="67"/>
    <x v="1"/>
    <x v="145"/>
    <n v="1"/>
    <s v="Gasto corriente"/>
    <x v="0"/>
    <x v="1"/>
    <x v="0"/>
    <x v="0"/>
    <x v="0"/>
    <x v="0"/>
    <x v="0"/>
    <m/>
    <x v="0"/>
    <x v="0"/>
    <m/>
    <n v="35016593475"/>
    <n v="0"/>
    <n v="-35016593475"/>
    <n v="0"/>
    <m/>
    <m/>
    <x v="1"/>
    <n v="0"/>
  </r>
  <r>
    <x v="1"/>
    <x v="20"/>
    <x v="20"/>
    <x v="9"/>
    <s v="Promoción y fomento"/>
    <x v="13"/>
    <x v="583"/>
    <x v="92"/>
    <x v="834"/>
    <n v="3"/>
    <s v="Desarrollo Económico"/>
    <n v="0"/>
    <s v="Energía"/>
    <n v="3"/>
    <x v="14"/>
    <x v="20"/>
    <x v="146"/>
    <n v="1"/>
    <s v="Gasto corriente"/>
    <x v="0"/>
    <x v="1"/>
    <x v="0"/>
    <x v="0"/>
    <x v="0"/>
    <x v="0"/>
    <x v="0"/>
    <m/>
    <x v="0"/>
    <x v="1"/>
    <n v="1"/>
    <n v="229479"/>
    <n v="0"/>
    <n v="0"/>
    <n v="229479"/>
    <n v="290573"/>
    <m/>
    <x v="1"/>
    <n v="290573"/>
  </r>
  <r>
    <x v="1"/>
    <x v="20"/>
    <x v="20"/>
    <x v="9"/>
    <s v="Promoción y fomento"/>
    <x v="13"/>
    <x v="583"/>
    <x v="92"/>
    <x v="834"/>
    <n v="3"/>
    <s v="Desarrollo Económico"/>
    <n v="0"/>
    <s v="Energía"/>
    <n v="3"/>
    <x v="14"/>
    <x v="20"/>
    <x v="146"/>
    <n v="1"/>
    <s v="Gasto corriente"/>
    <x v="0"/>
    <x v="0"/>
    <x v="0"/>
    <x v="0"/>
    <x v="0"/>
    <x v="0"/>
    <x v="0"/>
    <m/>
    <x v="0"/>
    <x v="1"/>
    <n v="1"/>
    <n v="7367699"/>
    <n v="0"/>
    <n v="-20000"/>
    <n v="7347699"/>
    <n v="10058081"/>
    <m/>
    <x v="1"/>
    <n v="10058081"/>
  </r>
  <r>
    <x v="1"/>
    <x v="20"/>
    <x v="20"/>
    <x v="10"/>
    <s v="Regulación y supervisión"/>
    <x v="2"/>
    <x v="584"/>
    <x v="105"/>
    <x v="836"/>
    <n v="3"/>
    <s v="Desarrollo Económico"/>
    <n v="0"/>
    <s v="Energía"/>
    <n v="2"/>
    <x v="68"/>
    <x v="0"/>
    <x v="147"/>
    <n v="1"/>
    <s v="Gasto corriente"/>
    <x v="0"/>
    <x v="1"/>
    <x v="0"/>
    <x v="0"/>
    <x v="0"/>
    <x v="0"/>
    <x v="0"/>
    <m/>
    <x v="0"/>
    <x v="0"/>
    <m/>
    <n v="616610"/>
    <n v="0"/>
    <n v="0"/>
    <n v="616610"/>
    <n v="615689"/>
    <m/>
    <x v="1"/>
    <n v="615689"/>
  </r>
  <r>
    <x v="1"/>
    <x v="20"/>
    <x v="20"/>
    <x v="10"/>
    <s v="Regulación y supervisión"/>
    <x v="2"/>
    <x v="584"/>
    <x v="105"/>
    <x v="836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26441087"/>
    <n v="0"/>
    <n v="-371639"/>
    <n v="26069448"/>
    <n v="31331693"/>
    <m/>
    <x v="1"/>
    <n v="31331693"/>
  </r>
  <r>
    <x v="1"/>
    <x v="20"/>
    <x v="20"/>
    <x v="10"/>
    <s v="Regulación y supervisión"/>
    <x v="3"/>
    <x v="585"/>
    <x v="32"/>
    <x v="837"/>
    <n v="3"/>
    <s v="Desarrollo Económico"/>
    <n v="0"/>
    <s v="Energía"/>
    <n v="1"/>
    <x v="67"/>
    <x v="0"/>
    <x v="147"/>
    <n v="1"/>
    <s v="Gasto corriente"/>
    <x v="0"/>
    <x v="1"/>
    <x v="0"/>
    <x v="0"/>
    <x v="0"/>
    <x v="0"/>
    <x v="0"/>
    <m/>
    <x v="0"/>
    <x v="0"/>
    <m/>
    <n v="903494"/>
    <n v="0"/>
    <n v="0"/>
    <n v="903494"/>
    <n v="1039018"/>
    <m/>
    <x v="1"/>
    <n v="1039018"/>
  </r>
  <r>
    <x v="1"/>
    <x v="20"/>
    <x v="20"/>
    <x v="10"/>
    <s v="Regulación y supervisión"/>
    <x v="3"/>
    <x v="585"/>
    <x v="32"/>
    <x v="837"/>
    <n v="3"/>
    <s v="Desarrollo Económico"/>
    <n v="0"/>
    <s v="Energía"/>
    <n v="1"/>
    <x v="67"/>
    <x v="0"/>
    <x v="147"/>
    <n v="1"/>
    <s v="Gasto corriente"/>
    <x v="0"/>
    <x v="0"/>
    <x v="0"/>
    <x v="0"/>
    <x v="0"/>
    <x v="0"/>
    <x v="0"/>
    <m/>
    <x v="0"/>
    <x v="0"/>
    <m/>
    <n v="49539568"/>
    <n v="0"/>
    <n v="-154840"/>
    <n v="49384728"/>
    <n v="54868617"/>
    <m/>
    <x v="1"/>
    <n v="54868617"/>
  </r>
  <r>
    <x v="1"/>
    <x v="20"/>
    <x v="20"/>
    <x v="10"/>
    <s v="Regulación y supervisión"/>
    <x v="3"/>
    <x v="585"/>
    <x v="32"/>
    <x v="837"/>
    <n v="3"/>
    <s v="Desarrollo Económico"/>
    <n v="0"/>
    <s v="Energía"/>
    <n v="2"/>
    <x v="68"/>
    <x v="0"/>
    <x v="147"/>
    <n v="1"/>
    <s v="Gasto corriente"/>
    <x v="0"/>
    <x v="1"/>
    <x v="0"/>
    <x v="0"/>
    <x v="0"/>
    <x v="0"/>
    <x v="0"/>
    <m/>
    <x v="0"/>
    <x v="0"/>
    <m/>
    <n v="1174542"/>
    <n v="0"/>
    <n v="0"/>
    <n v="1174542"/>
    <n v="1350723"/>
    <m/>
    <x v="1"/>
    <n v="1350723"/>
  </r>
  <r>
    <x v="1"/>
    <x v="20"/>
    <x v="20"/>
    <x v="10"/>
    <s v="Regulación y supervisión"/>
    <x v="3"/>
    <x v="585"/>
    <x v="32"/>
    <x v="837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61396957"/>
    <n v="0"/>
    <n v="-145160"/>
    <n v="61251797"/>
    <n v="71329202"/>
    <m/>
    <x v="1"/>
    <n v="71329202"/>
  </r>
  <r>
    <x v="1"/>
    <x v="20"/>
    <x v="20"/>
    <x v="10"/>
    <s v="Regulación y supervisión"/>
    <x v="4"/>
    <x v="586"/>
    <x v="57"/>
    <x v="838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2375348"/>
    <n v="0"/>
    <n v="0"/>
    <n v="2375348"/>
    <n v="2766072"/>
    <m/>
    <x v="1"/>
    <n v="2766072"/>
  </r>
  <r>
    <x v="1"/>
    <x v="20"/>
    <x v="20"/>
    <x v="10"/>
    <s v="Regulación y supervisión"/>
    <x v="4"/>
    <x v="586"/>
    <x v="57"/>
    <x v="838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93158872"/>
    <n v="0"/>
    <n v="-500000"/>
    <n v="92658872"/>
    <n v="85067851"/>
    <m/>
    <x v="1"/>
    <n v="85067851"/>
  </r>
  <r>
    <x v="1"/>
    <x v="20"/>
    <x v="20"/>
    <x v="10"/>
    <s v="Regulación y supervisión"/>
    <x v="5"/>
    <x v="587"/>
    <x v="40"/>
    <x v="839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1972092"/>
    <n v="0"/>
    <n v="-60000"/>
    <n v="1912092"/>
    <n v="34854783"/>
    <m/>
    <x v="1"/>
    <n v="34854783"/>
  </r>
  <r>
    <x v="1"/>
    <x v="20"/>
    <x v="20"/>
    <x v="10"/>
    <s v="Regulación y supervisión"/>
    <x v="5"/>
    <x v="587"/>
    <x v="40"/>
    <x v="839"/>
    <n v="3"/>
    <s v="Desarrollo Económico"/>
    <n v="0"/>
    <s v="Energía"/>
    <n v="2"/>
    <x v="68"/>
    <x v="0"/>
    <x v="147"/>
    <n v="2"/>
    <s v="Gasto de capital"/>
    <x v="0"/>
    <x v="0"/>
    <x v="0"/>
    <x v="0"/>
    <x v="0"/>
    <x v="0"/>
    <x v="0"/>
    <m/>
    <x v="0"/>
    <x v="0"/>
    <m/>
    <n v="833333"/>
    <n v="0"/>
    <n v="0"/>
    <n v="833333"/>
    <m/>
    <m/>
    <x v="1"/>
    <n v="0"/>
  </r>
  <r>
    <x v="1"/>
    <x v="20"/>
    <x v="20"/>
    <x v="10"/>
    <s v="Regulación y supervisión"/>
    <x v="6"/>
    <x v="588"/>
    <x v="40"/>
    <x v="839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1963092"/>
    <n v="0"/>
    <n v="-60000"/>
    <n v="1903092"/>
    <m/>
    <m/>
    <x v="1"/>
    <n v="0"/>
  </r>
  <r>
    <x v="1"/>
    <x v="20"/>
    <x v="20"/>
    <x v="10"/>
    <s v="Regulación y supervisión"/>
    <x v="6"/>
    <x v="588"/>
    <x v="40"/>
    <x v="839"/>
    <n v="3"/>
    <s v="Desarrollo Económico"/>
    <n v="0"/>
    <s v="Energía"/>
    <n v="2"/>
    <x v="68"/>
    <x v="0"/>
    <x v="147"/>
    <n v="2"/>
    <s v="Gasto de capital"/>
    <x v="0"/>
    <x v="0"/>
    <x v="0"/>
    <x v="0"/>
    <x v="0"/>
    <x v="0"/>
    <x v="0"/>
    <m/>
    <x v="0"/>
    <x v="0"/>
    <m/>
    <n v="833332"/>
    <n v="0"/>
    <n v="0"/>
    <n v="833332"/>
    <m/>
    <m/>
    <x v="1"/>
    <n v="0"/>
  </r>
  <r>
    <x v="1"/>
    <x v="20"/>
    <x v="20"/>
    <x v="10"/>
    <s v="Regulación y supervisión"/>
    <x v="7"/>
    <x v="589"/>
    <x v="40"/>
    <x v="839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2545092"/>
    <n v="0"/>
    <n v="-60000"/>
    <n v="2485092"/>
    <n v="13739239"/>
    <m/>
    <x v="1"/>
    <n v="13739239"/>
  </r>
  <r>
    <x v="1"/>
    <x v="20"/>
    <x v="20"/>
    <x v="10"/>
    <s v="Regulación y supervisión"/>
    <x v="7"/>
    <x v="589"/>
    <x v="40"/>
    <x v="839"/>
    <n v="3"/>
    <s v="Desarrollo Económico"/>
    <n v="0"/>
    <s v="Energía"/>
    <n v="2"/>
    <x v="68"/>
    <x v="0"/>
    <x v="147"/>
    <n v="2"/>
    <s v="Gasto de capital"/>
    <x v="0"/>
    <x v="0"/>
    <x v="0"/>
    <x v="0"/>
    <x v="0"/>
    <x v="0"/>
    <x v="0"/>
    <m/>
    <x v="0"/>
    <x v="0"/>
    <m/>
    <n v="833333"/>
    <n v="0"/>
    <n v="0"/>
    <n v="833333"/>
    <m/>
    <m/>
    <x v="1"/>
    <n v="0"/>
  </r>
  <r>
    <x v="1"/>
    <x v="20"/>
    <x v="20"/>
    <x v="10"/>
    <s v="Regulación y supervisión"/>
    <x v="8"/>
    <x v="590"/>
    <x v="92"/>
    <x v="834"/>
    <n v="3"/>
    <s v="Desarrollo Económico"/>
    <n v="0"/>
    <s v="Energía"/>
    <n v="3"/>
    <x v="14"/>
    <x v="12"/>
    <x v="148"/>
    <n v="1"/>
    <s v="Gasto corriente"/>
    <x v="0"/>
    <x v="1"/>
    <x v="0"/>
    <x v="0"/>
    <x v="0"/>
    <x v="0"/>
    <x v="0"/>
    <m/>
    <x v="0"/>
    <x v="1"/>
    <n v="1"/>
    <n v="229480"/>
    <n v="0"/>
    <n v="0"/>
    <n v="229480"/>
    <n v="410728"/>
    <m/>
    <x v="1"/>
    <n v="410728"/>
  </r>
  <r>
    <x v="1"/>
    <x v="20"/>
    <x v="20"/>
    <x v="10"/>
    <s v="Regulación y supervisión"/>
    <x v="8"/>
    <x v="590"/>
    <x v="92"/>
    <x v="834"/>
    <n v="3"/>
    <s v="Desarrollo Económico"/>
    <n v="0"/>
    <s v="Energía"/>
    <n v="3"/>
    <x v="14"/>
    <x v="12"/>
    <x v="148"/>
    <n v="1"/>
    <s v="Gasto corriente"/>
    <x v="0"/>
    <x v="0"/>
    <x v="0"/>
    <x v="0"/>
    <x v="0"/>
    <x v="0"/>
    <x v="0"/>
    <m/>
    <x v="0"/>
    <x v="1"/>
    <n v="1"/>
    <n v="9292140"/>
    <n v="0"/>
    <n v="-20000"/>
    <n v="9272140"/>
    <n v="11272354"/>
    <m/>
    <x v="1"/>
    <n v="11272354"/>
  </r>
  <r>
    <x v="1"/>
    <x v="20"/>
    <x v="20"/>
    <x v="2"/>
    <s v="Apoyo al proceso presupuestario y para mejorar la eficiencia institucional"/>
    <x v="2"/>
    <x v="34"/>
    <x v="38"/>
    <x v="39"/>
    <n v="3"/>
    <s v="Desarrollo Económico"/>
    <n v="0"/>
    <s v="Energía"/>
    <n v="3"/>
    <x v="14"/>
    <x v="3"/>
    <x v="12"/>
    <n v="1"/>
    <s v="Gasto corriente"/>
    <x v="0"/>
    <x v="1"/>
    <x v="0"/>
    <x v="0"/>
    <x v="0"/>
    <x v="0"/>
    <x v="0"/>
    <m/>
    <x v="0"/>
    <x v="0"/>
    <m/>
    <m/>
    <m/>
    <m/>
    <m/>
    <n v="2745837"/>
    <m/>
    <x v="1"/>
    <n v="2745837"/>
  </r>
  <r>
    <x v="1"/>
    <x v="20"/>
    <x v="20"/>
    <x v="2"/>
    <s v="Apoyo al proceso presupuestario y para mejorar la eficiencia institucional"/>
    <x v="2"/>
    <x v="34"/>
    <x v="38"/>
    <x v="39"/>
    <n v="3"/>
    <s v="Desarrollo Económico"/>
    <n v="0"/>
    <s v="Energía"/>
    <n v="3"/>
    <x v="14"/>
    <x v="3"/>
    <x v="12"/>
    <n v="1"/>
    <s v="Gasto corriente"/>
    <x v="0"/>
    <x v="0"/>
    <x v="0"/>
    <x v="0"/>
    <x v="0"/>
    <x v="0"/>
    <x v="0"/>
    <m/>
    <x v="0"/>
    <x v="0"/>
    <m/>
    <m/>
    <m/>
    <m/>
    <m/>
    <n v="73196614"/>
    <m/>
    <x v="1"/>
    <n v="73196614"/>
  </r>
  <r>
    <x v="1"/>
    <x v="20"/>
    <x v="20"/>
    <x v="2"/>
    <s v="Apoyo al proceso presupuestario y para mejorar la eficiencia institucional"/>
    <x v="2"/>
    <x v="34"/>
    <x v="39"/>
    <x v="840"/>
    <n v="3"/>
    <s v="Desarrollo Económico"/>
    <n v="0"/>
    <s v="Energía"/>
    <n v="3"/>
    <x v="14"/>
    <x v="3"/>
    <x v="12"/>
    <n v="1"/>
    <s v="Gasto corriente"/>
    <x v="0"/>
    <x v="1"/>
    <x v="0"/>
    <x v="0"/>
    <x v="0"/>
    <x v="0"/>
    <x v="0"/>
    <m/>
    <x v="0"/>
    <x v="0"/>
    <m/>
    <n v="2385800"/>
    <n v="0"/>
    <n v="0"/>
    <n v="2385800"/>
    <n v="3401537"/>
    <m/>
    <x v="1"/>
    <n v="3401537"/>
  </r>
  <r>
    <x v="1"/>
    <x v="20"/>
    <x v="20"/>
    <x v="2"/>
    <s v="Apoyo al proceso presupuestario y para mejorar la eficiencia institucional"/>
    <x v="2"/>
    <x v="34"/>
    <x v="39"/>
    <x v="840"/>
    <n v="3"/>
    <s v="Desarrollo Económico"/>
    <n v="0"/>
    <s v="Energía"/>
    <n v="3"/>
    <x v="14"/>
    <x v="3"/>
    <x v="12"/>
    <n v="1"/>
    <s v="Gasto corriente"/>
    <x v="0"/>
    <x v="0"/>
    <x v="0"/>
    <x v="0"/>
    <x v="0"/>
    <x v="0"/>
    <x v="0"/>
    <m/>
    <x v="0"/>
    <x v="0"/>
    <m/>
    <n v="53608244"/>
    <n v="0"/>
    <n v="-693034"/>
    <n v="52915210"/>
    <n v="46285864"/>
    <m/>
    <x v="1"/>
    <n v="46285864"/>
  </r>
  <r>
    <x v="1"/>
    <x v="20"/>
    <x v="20"/>
    <x v="2"/>
    <s v="Apoyo al proceso presupuestario y para mejorar la eficiencia institucional"/>
    <x v="2"/>
    <x v="34"/>
    <x v="39"/>
    <x v="840"/>
    <n v="3"/>
    <s v="Desarrollo Económico"/>
    <n v="0"/>
    <s v="Energía"/>
    <n v="3"/>
    <x v="14"/>
    <x v="3"/>
    <x v="12"/>
    <n v="2"/>
    <s v="Gasto de capital"/>
    <x v="0"/>
    <x v="0"/>
    <x v="0"/>
    <x v="0"/>
    <x v="0"/>
    <x v="0"/>
    <x v="0"/>
    <m/>
    <x v="0"/>
    <x v="0"/>
    <m/>
    <n v="710000"/>
    <n v="0"/>
    <n v="0"/>
    <n v="710000"/>
    <m/>
    <m/>
    <x v="1"/>
    <n v="0"/>
  </r>
  <r>
    <x v="1"/>
    <x v="20"/>
    <x v="20"/>
    <x v="2"/>
    <s v="Apoyo al proceso presupuestario y para mejorar la eficiencia institucional"/>
    <x v="2"/>
    <x v="34"/>
    <x v="56"/>
    <x v="70"/>
    <n v="3"/>
    <s v="Desarrollo Económico"/>
    <n v="0"/>
    <s v="Energía"/>
    <n v="3"/>
    <x v="14"/>
    <x v="3"/>
    <x v="12"/>
    <n v="1"/>
    <s v="Gasto corriente"/>
    <x v="0"/>
    <x v="1"/>
    <x v="0"/>
    <x v="0"/>
    <x v="0"/>
    <x v="0"/>
    <x v="0"/>
    <m/>
    <x v="0"/>
    <x v="0"/>
    <m/>
    <m/>
    <m/>
    <m/>
    <m/>
    <n v="1864818"/>
    <m/>
    <x v="1"/>
    <n v="1864818"/>
  </r>
  <r>
    <x v="1"/>
    <x v="20"/>
    <x v="20"/>
    <x v="2"/>
    <s v="Apoyo al proceso presupuestario y para mejorar la eficiencia institucional"/>
    <x v="2"/>
    <x v="34"/>
    <x v="56"/>
    <x v="70"/>
    <n v="3"/>
    <s v="Desarrollo Económico"/>
    <n v="0"/>
    <s v="Energía"/>
    <n v="3"/>
    <x v="14"/>
    <x v="3"/>
    <x v="12"/>
    <n v="1"/>
    <s v="Gasto corriente"/>
    <x v="0"/>
    <x v="0"/>
    <x v="0"/>
    <x v="0"/>
    <x v="0"/>
    <x v="0"/>
    <x v="0"/>
    <m/>
    <x v="0"/>
    <x v="0"/>
    <m/>
    <m/>
    <m/>
    <m/>
    <m/>
    <n v="24486436"/>
    <m/>
    <x v="1"/>
    <n v="24486436"/>
  </r>
  <r>
    <x v="1"/>
    <x v="20"/>
    <x v="20"/>
    <x v="2"/>
    <s v="Apoyo al proceso presupuestario y para mejorar la eficiencia institucional"/>
    <x v="2"/>
    <x v="34"/>
    <x v="57"/>
    <x v="838"/>
    <n v="3"/>
    <s v="Desarrollo Económico"/>
    <n v="0"/>
    <s v="Energía"/>
    <n v="3"/>
    <x v="14"/>
    <x v="3"/>
    <x v="12"/>
    <n v="1"/>
    <s v="Gasto corriente"/>
    <x v="0"/>
    <x v="1"/>
    <x v="0"/>
    <x v="0"/>
    <x v="0"/>
    <x v="0"/>
    <x v="0"/>
    <m/>
    <x v="0"/>
    <x v="0"/>
    <m/>
    <n v="502974"/>
    <n v="0"/>
    <n v="0"/>
    <n v="502974"/>
    <n v="534212"/>
    <m/>
    <x v="1"/>
    <n v="534212"/>
  </r>
  <r>
    <x v="1"/>
    <x v="20"/>
    <x v="20"/>
    <x v="2"/>
    <s v="Apoyo al proceso presupuestario y para mejorar la eficiencia institucional"/>
    <x v="2"/>
    <x v="34"/>
    <x v="57"/>
    <x v="838"/>
    <n v="3"/>
    <s v="Desarrollo Económico"/>
    <n v="0"/>
    <s v="Energía"/>
    <n v="3"/>
    <x v="14"/>
    <x v="3"/>
    <x v="12"/>
    <n v="1"/>
    <s v="Gasto corriente"/>
    <x v="0"/>
    <x v="0"/>
    <x v="0"/>
    <x v="0"/>
    <x v="0"/>
    <x v="0"/>
    <x v="0"/>
    <m/>
    <x v="0"/>
    <x v="0"/>
    <m/>
    <n v="9246510"/>
    <n v="0"/>
    <n v="0"/>
    <n v="9246510"/>
    <n v="7066255"/>
    <m/>
    <x v="1"/>
    <n v="7066255"/>
  </r>
  <r>
    <x v="1"/>
    <x v="20"/>
    <x v="20"/>
    <x v="2"/>
    <s v="Apoyo al proceso presupuestario y para mejorar la eficiencia institucional"/>
    <x v="2"/>
    <x v="34"/>
    <x v="32"/>
    <x v="837"/>
    <n v="3"/>
    <s v="Desarrollo Económico"/>
    <n v="0"/>
    <s v="Energía"/>
    <n v="3"/>
    <x v="14"/>
    <x v="3"/>
    <x v="12"/>
    <n v="1"/>
    <s v="Gasto corriente"/>
    <x v="0"/>
    <x v="1"/>
    <x v="0"/>
    <x v="0"/>
    <x v="0"/>
    <x v="0"/>
    <x v="0"/>
    <m/>
    <x v="0"/>
    <x v="0"/>
    <m/>
    <n v="180699"/>
    <n v="0"/>
    <n v="0"/>
    <n v="180699"/>
    <n v="207804"/>
    <m/>
    <x v="1"/>
    <n v="207804"/>
  </r>
  <r>
    <x v="1"/>
    <x v="20"/>
    <x v="20"/>
    <x v="2"/>
    <s v="Apoyo al proceso presupuestario y para mejorar la eficiencia institucional"/>
    <x v="2"/>
    <x v="34"/>
    <x v="32"/>
    <x v="837"/>
    <n v="3"/>
    <s v="Desarrollo Económico"/>
    <n v="0"/>
    <s v="Energía"/>
    <n v="3"/>
    <x v="14"/>
    <x v="3"/>
    <x v="12"/>
    <n v="1"/>
    <s v="Gasto corriente"/>
    <x v="0"/>
    <x v="0"/>
    <x v="0"/>
    <x v="0"/>
    <x v="0"/>
    <x v="0"/>
    <x v="0"/>
    <m/>
    <x v="0"/>
    <x v="0"/>
    <m/>
    <n v="22329115"/>
    <n v="0"/>
    <n v="-200000"/>
    <n v="22129115"/>
    <n v="10973725"/>
    <m/>
    <x v="1"/>
    <n v="10973725"/>
  </r>
  <r>
    <x v="1"/>
    <x v="20"/>
    <x v="20"/>
    <x v="2"/>
    <s v="Apoyo al proceso presupuestario y para mejorar la eficiencia institucional"/>
    <x v="2"/>
    <x v="34"/>
    <x v="40"/>
    <x v="839"/>
    <n v="3"/>
    <s v="Desarrollo Económico"/>
    <n v="0"/>
    <s v="Energía"/>
    <n v="3"/>
    <x v="14"/>
    <x v="3"/>
    <x v="12"/>
    <n v="1"/>
    <s v="Gasto corriente"/>
    <x v="0"/>
    <x v="0"/>
    <x v="0"/>
    <x v="0"/>
    <x v="0"/>
    <x v="0"/>
    <x v="0"/>
    <m/>
    <x v="0"/>
    <x v="0"/>
    <m/>
    <n v="44389902"/>
    <n v="0"/>
    <n v="-100000"/>
    <n v="44289902"/>
    <n v="11707152"/>
    <m/>
    <x v="1"/>
    <n v="11707152"/>
  </r>
  <r>
    <x v="1"/>
    <x v="20"/>
    <x v="20"/>
    <x v="2"/>
    <s v="Apoyo al proceso presupuestario y para mejorar la eficiencia institucional"/>
    <x v="2"/>
    <x v="34"/>
    <x v="40"/>
    <x v="839"/>
    <n v="3"/>
    <s v="Desarrollo Económico"/>
    <n v="0"/>
    <s v="Energía"/>
    <n v="3"/>
    <x v="14"/>
    <x v="3"/>
    <x v="12"/>
    <n v="2"/>
    <s v="Gasto de capital"/>
    <x v="0"/>
    <x v="0"/>
    <x v="0"/>
    <x v="0"/>
    <x v="0"/>
    <x v="0"/>
    <x v="0"/>
    <m/>
    <x v="0"/>
    <x v="0"/>
    <m/>
    <n v="833333"/>
    <n v="0"/>
    <n v="0"/>
    <n v="833333"/>
    <m/>
    <m/>
    <x v="1"/>
    <n v="0"/>
  </r>
  <r>
    <x v="1"/>
    <x v="20"/>
    <x v="20"/>
    <x v="2"/>
    <s v="Apoyo al proceso presupuestario y para mejorar la eficiencia institucional"/>
    <x v="2"/>
    <x v="34"/>
    <x v="92"/>
    <x v="834"/>
    <n v="3"/>
    <s v="Desarrollo Económico"/>
    <n v="0"/>
    <s v="Energía"/>
    <n v="3"/>
    <x v="14"/>
    <x v="3"/>
    <x v="12"/>
    <n v="1"/>
    <s v="Gasto corriente"/>
    <x v="0"/>
    <x v="1"/>
    <x v="0"/>
    <x v="0"/>
    <x v="0"/>
    <x v="0"/>
    <x v="0"/>
    <m/>
    <x v="0"/>
    <x v="0"/>
    <m/>
    <n v="134371"/>
    <n v="0"/>
    <n v="0"/>
    <n v="134371"/>
    <n v="171449"/>
    <m/>
    <x v="1"/>
    <n v="171449"/>
  </r>
  <r>
    <x v="1"/>
    <x v="20"/>
    <x v="20"/>
    <x v="2"/>
    <s v="Apoyo al proceso presupuestario y para mejorar la eficiencia institucional"/>
    <x v="2"/>
    <x v="34"/>
    <x v="92"/>
    <x v="834"/>
    <n v="3"/>
    <s v="Desarrollo Económico"/>
    <n v="0"/>
    <s v="Energía"/>
    <n v="3"/>
    <x v="14"/>
    <x v="3"/>
    <x v="12"/>
    <n v="1"/>
    <s v="Gasto corriente"/>
    <x v="0"/>
    <x v="0"/>
    <x v="0"/>
    <x v="0"/>
    <x v="0"/>
    <x v="0"/>
    <x v="0"/>
    <m/>
    <x v="0"/>
    <x v="0"/>
    <m/>
    <n v="4407087"/>
    <n v="0"/>
    <n v="-20000"/>
    <n v="4387087"/>
    <n v="4335871"/>
    <m/>
    <x v="1"/>
    <n v="4335871"/>
  </r>
  <r>
    <x v="1"/>
    <x v="20"/>
    <x v="20"/>
    <x v="2"/>
    <s v="Apoyo al proceso presupuestario y para mejorar la eficiencia institucional"/>
    <x v="2"/>
    <x v="34"/>
    <x v="404"/>
    <x v="831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1347886"/>
    <n v="0"/>
    <n v="0"/>
    <n v="1347886"/>
    <n v="1628332"/>
    <m/>
    <x v="1"/>
    <n v="1628332"/>
  </r>
  <r>
    <x v="1"/>
    <x v="20"/>
    <x v="20"/>
    <x v="2"/>
    <s v="Apoyo al proceso presupuestario y para mejorar la eficiencia institucional"/>
    <x v="2"/>
    <x v="34"/>
    <x v="404"/>
    <x v="831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40220714"/>
    <n v="0"/>
    <n v="-88000"/>
    <n v="40132714"/>
    <n v="34612659"/>
    <m/>
    <x v="1"/>
    <n v="34612659"/>
  </r>
  <r>
    <x v="1"/>
    <x v="20"/>
    <x v="20"/>
    <x v="3"/>
    <s v="Apoyo a la función pública y al mejoramiento de la gestión"/>
    <x v="2"/>
    <x v="42"/>
    <x v="19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538035"/>
    <n v="0"/>
    <n v="0"/>
    <n v="538035"/>
    <n v="546581"/>
    <m/>
    <x v="1"/>
    <n v="546581"/>
  </r>
  <r>
    <x v="1"/>
    <x v="20"/>
    <x v="20"/>
    <x v="3"/>
    <s v="Apoyo a la función pública y al mejoramiento de la gestión"/>
    <x v="2"/>
    <x v="42"/>
    <x v="19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9545194"/>
    <n v="0"/>
    <n v="-417124"/>
    <n v="19128070"/>
    <n v="19109524"/>
    <m/>
    <x v="1"/>
    <n v="19109524"/>
  </r>
  <r>
    <x v="1"/>
    <x v="20"/>
    <x v="20"/>
    <x v="3"/>
    <s v="Apoyo a la función pública y al mejoramiento de la gestión"/>
    <x v="2"/>
    <x v="42"/>
    <x v="57"/>
    <x v="83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89412"/>
    <n v="0"/>
    <n v="0"/>
    <n v="89412"/>
    <n v="112610"/>
    <m/>
    <x v="1"/>
    <n v="112610"/>
  </r>
  <r>
    <x v="1"/>
    <x v="20"/>
    <x v="20"/>
    <x v="3"/>
    <s v="Apoyo a la función pública y al mejoramiento de la gestión"/>
    <x v="2"/>
    <x v="42"/>
    <x v="57"/>
    <x v="83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054912"/>
    <n v="0"/>
    <n v="0"/>
    <n v="3054912"/>
    <n v="2986837"/>
    <m/>
    <x v="1"/>
    <n v="2986837"/>
  </r>
  <r>
    <x v="1"/>
    <x v="20"/>
    <x v="20"/>
    <x v="3"/>
    <s v="Apoyo a la función pública y al mejoramiento de la gestión"/>
    <x v="2"/>
    <x v="42"/>
    <x v="40"/>
    <x v="83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731242"/>
    <n v="0"/>
    <n v="-10000"/>
    <n v="1721242"/>
    <n v="1381165"/>
    <m/>
    <x v="1"/>
    <n v="1381165"/>
  </r>
  <r>
    <x v="1"/>
    <x v="20"/>
    <x v="20"/>
    <x v="3"/>
    <s v="Apoyo a la función pública y al mejoramiento de la gestión"/>
    <x v="2"/>
    <x v="42"/>
    <x v="40"/>
    <x v="839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833333"/>
    <n v="0"/>
    <n v="0"/>
    <n v="833333"/>
    <m/>
    <m/>
    <x v="1"/>
    <n v="0"/>
  </r>
  <r>
    <x v="1"/>
    <x v="20"/>
    <x v="20"/>
    <x v="3"/>
    <s v="Apoyo a la función pública y al mejoramiento de la gestión"/>
    <x v="2"/>
    <x v="42"/>
    <x v="404"/>
    <x v="831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360907"/>
    <n v="0"/>
    <n v="0"/>
    <n v="360907"/>
    <n v="1892960"/>
    <m/>
    <x v="1"/>
    <n v="1892960"/>
  </r>
  <r>
    <x v="1"/>
    <x v="20"/>
    <x v="20"/>
    <x v="3"/>
    <s v="Apoyo a la función pública y al mejoramiento de la gestión"/>
    <x v="2"/>
    <x v="42"/>
    <x v="404"/>
    <x v="831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9771965"/>
    <n v="0"/>
    <n v="0"/>
    <n v="9771965"/>
    <n v="8239912"/>
    <m/>
    <x v="1"/>
    <n v="8239912"/>
  </r>
  <r>
    <x v="1"/>
    <x v="20"/>
    <x v="20"/>
    <x v="3"/>
    <s v="Apoyo a la función pública y al mejoramiento de la gestión"/>
    <x v="32"/>
    <x v="121"/>
    <x v="32"/>
    <x v="83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82841"/>
    <n v="0"/>
    <n v="0"/>
    <n v="282841"/>
    <m/>
    <m/>
    <x v="1"/>
    <n v="0"/>
  </r>
  <r>
    <x v="1"/>
    <x v="20"/>
    <x v="20"/>
    <x v="3"/>
    <s v="Apoyo a la función pública y al mejoramiento de la gestión"/>
    <x v="32"/>
    <x v="121"/>
    <x v="92"/>
    <x v="83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606253"/>
    <n v="0"/>
    <n v="0"/>
    <n v="606253"/>
    <m/>
    <m/>
    <x v="1"/>
    <n v="0"/>
  </r>
  <r>
    <x v="1"/>
    <x v="20"/>
    <x v="20"/>
    <x v="5"/>
    <s v="Planeación, seguimiento y evaluación de políticas públicas"/>
    <x v="2"/>
    <x v="591"/>
    <x v="1"/>
    <x v="78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987489"/>
    <n v="0"/>
    <n v="0"/>
    <n v="987489"/>
    <n v="960869"/>
    <m/>
    <x v="1"/>
    <n v="960869"/>
  </r>
  <r>
    <x v="1"/>
    <x v="20"/>
    <x v="20"/>
    <x v="5"/>
    <s v="Planeación, seguimiento y evaluación de políticas públicas"/>
    <x v="2"/>
    <x v="591"/>
    <x v="1"/>
    <x v="78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52396938"/>
    <n v="0"/>
    <n v="-1161458"/>
    <n v="51235480"/>
    <n v="44886087"/>
    <m/>
    <x v="1"/>
    <n v="44886087"/>
  </r>
  <r>
    <x v="1"/>
    <x v="20"/>
    <x v="20"/>
    <x v="5"/>
    <s v="Planeación, seguimiento y evaluación de políticas públicas"/>
    <x v="2"/>
    <x v="591"/>
    <x v="3"/>
    <x v="101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795941"/>
    <n v="0"/>
    <n v="0"/>
    <n v="795941"/>
    <n v="776693"/>
    <m/>
    <x v="1"/>
    <n v="776693"/>
  </r>
  <r>
    <x v="1"/>
    <x v="20"/>
    <x v="20"/>
    <x v="5"/>
    <s v="Planeación, seguimiento y evaluación de políticas públicas"/>
    <x v="2"/>
    <x v="591"/>
    <x v="3"/>
    <x v="101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32622802"/>
    <n v="0"/>
    <n v="-474948"/>
    <n v="32147854"/>
    <n v="31605727"/>
    <m/>
    <x v="1"/>
    <n v="31605727"/>
  </r>
  <r>
    <x v="1"/>
    <x v="20"/>
    <x v="20"/>
    <x v="5"/>
    <s v="Planeación, seguimiento y evaluación de políticas públicas"/>
    <x v="2"/>
    <x v="591"/>
    <x v="22"/>
    <x v="841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413914"/>
    <n v="0"/>
    <n v="0"/>
    <n v="413914"/>
    <n v="420239"/>
    <m/>
    <x v="1"/>
    <n v="420239"/>
  </r>
  <r>
    <x v="1"/>
    <x v="20"/>
    <x v="20"/>
    <x v="5"/>
    <s v="Planeación, seguimiento y evaluación de políticas públicas"/>
    <x v="2"/>
    <x v="591"/>
    <x v="22"/>
    <x v="841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19972017"/>
    <n v="0"/>
    <n v="-477968"/>
    <n v="19494049"/>
    <n v="17618363"/>
    <m/>
    <x v="1"/>
    <n v="17618363"/>
  </r>
  <r>
    <x v="1"/>
    <x v="20"/>
    <x v="20"/>
    <x v="5"/>
    <s v="Planeación, seguimiento y evaluación de políticas públicas"/>
    <x v="2"/>
    <x v="591"/>
    <x v="23"/>
    <x v="842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660268"/>
    <n v="0"/>
    <n v="0"/>
    <n v="660268"/>
    <n v="597524"/>
    <m/>
    <x v="1"/>
    <n v="597524"/>
  </r>
  <r>
    <x v="1"/>
    <x v="20"/>
    <x v="20"/>
    <x v="5"/>
    <s v="Planeación, seguimiento y evaluación de políticas públicas"/>
    <x v="2"/>
    <x v="591"/>
    <x v="23"/>
    <x v="842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24336326"/>
    <n v="0"/>
    <n v="-346453"/>
    <n v="23989873"/>
    <n v="24129375"/>
    <m/>
    <x v="1"/>
    <n v="24129375"/>
  </r>
  <r>
    <x v="1"/>
    <x v="20"/>
    <x v="20"/>
    <x v="5"/>
    <s v="Planeación, seguimiento y evaluación de políticas públicas"/>
    <x v="2"/>
    <x v="591"/>
    <x v="0"/>
    <x v="843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650499"/>
    <n v="0"/>
    <n v="0"/>
    <n v="650499"/>
    <n v="647747"/>
    <m/>
    <x v="1"/>
    <n v="647747"/>
  </r>
  <r>
    <x v="1"/>
    <x v="20"/>
    <x v="20"/>
    <x v="5"/>
    <s v="Planeación, seguimiento y evaluación de políticas públicas"/>
    <x v="2"/>
    <x v="591"/>
    <x v="0"/>
    <x v="843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1540348512"/>
    <n v="0"/>
    <n v="-654706"/>
    <n v="1539693806"/>
    <n v="41436660"/>
    <m/>
    <x v="1"/>
    <n v="41436660"/>
  </r>
  <r>
    <x v="1"/>
    <x v="20"/>
    <x v="20"/>
    <x v="5"/>
    <s v="Planeación, seguimiento y evaluación de políticas públicas"/>
    <x v="2"/>
    <x v="591"/>
    <x v="4"/>
    <x v="844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214817"/>
    <n v="0"/>
    <n v="0"/>
    <n v="214817"/>
    <n v="218725"/>
    <m/>
    <x v="1"/>
    <n v="218725"/>
  </r>
  <r>
    <x v="1"/>
    <x v="20"/>
    <x v="20"/>
    <x v="5"/>
    <s v="Planeación, seguimiento y evaluación de políticas públicas"/>
    <x v="2"/>
    <x v="591"/>
    <x v="4"/>
    <x v="844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12100605"/>
    <n v="0"/>
    <n v="-192428"/>
    <n v="11908177"/>
    <n v="15798332"/>
    <m/>
    <x v="1"/>
    <n v="15798332"/>
  </r>
  <r>
    <x v="1"/>
    <x v="20"/>
    <x v="20"/>
    <x v="5"/>
    <s v="Planeación, seguimiento y evaluación de políticas públicas"/>
    <x v="2"/>
    <x v="591"/>
    <x v="5"/>
    <x v="845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1"/>
    <n v="1"/>
    <n v="96514"/>
    <n v="0"/>
    <n v="0"/>
    <n v="96514"/>
    <n v="98435"/>
    <m/>
    <x v="1"/>
    <n v="98435"/>
  </r>
  <r>
    <x v="1"/>
    <x v="20"/>
    <x v="20"/>
    <x v="5"/>
    <s v="Planeación, seguimiento y evaluación de políticas públicas"/>
    <x v="2"/>
    <x v="591"/>
    <x v="5"/>
    <x v="845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1"/>
    <n v="1"/>
    <n v="11006156"/>
    <n v="0"/>
    <n v="-169787"/>
    <n v="10836369"/>
    <n v="1458269351"/>
    <m/>
    <x v="1"/>
    <n v="1458269351"/>
  </r>
  <r>
    <x v="1"/>
    <x v="20"/>
    <x v="20"/>
    <x v="5"/>
    <s v="Planeación, seguimiento y evaluación de políticas públicas"/>
    <x v="2"/>
    <x v="591"/>
    <x v="38"/>
    <x v="39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992197"/>
    <n v="0"/>
    <n v="0"/>
    <n v="992197"/>
    <m/>
    <m/>
    <x v="1"/>
    <n v="0"/>
  </r>
  <r>
    <x v="1"/>
    <x v="20"/>
    <x v="20"/>
    <x v="5"/>
    <s v="Planeación, seguimiento y evaluación de políticas públicas"/>
    <x v="2"/>
    <x v="591"/>
    <x v="38"/>
    <x v="39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47508031"/>
    <n v="0"/>
    <n v="-766402"/>
    <n v="46741629"/>
    <m/>
    <m/>
    <x v="1"/>
    <n v="0"/>
  </r>
  <r>
    <x v="1"/>
    <x v="20"/>
    <x v="20"/>
    <x v="5"/>
    <s v="Planeación, seguimiento y evaluación de políticas públicas"/>
    <x v="2"/>
    <x v="591"/>
    <x v="56"/>
    <x v="70"/>
    <n v="3"/>
    <s v="Desarrollo Económico"/>
    <n v="0"/>
    <s v="Energía"/>
    <n v="3"/>
    <x v="14"/>
    <x v="0"/>
    <x v="147"/>
    <n v="1"/>
    <s v="Gasto corriente"/>
    <x v="0"/>
    <x v="1"/>
    <x v="0"/>
    <x v="0"/>
    <x v="0"/>
    <x v="0"/>
    <x v="0"/>
    <m/>
    <x v="0"/>
    <x v="0"/>
    <m/>
    <n v="1154920"/>
    <n v="0"/>
    <n v="0"/>
    <n v="1154920"/>
    <m/>
    <m/>
    <x v="1"/>
    <n v="0"/>
  </r>
  <r>
    <x v="1"/>
    <x v="20"/>
    <x v="20"/>
    <x v="5"/>
    <s v="Planeación, seguimiento y evaluación de políticas públicas"/>
    <x v="2"/>
    <x v="591"/>
    <x v="56"/>
    <x v="70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27897421"/>
    <n v="0"/>
    <n v="-378734"/>
    <n v="27518687"/>
    <m/>
    <m/>
    <x v="1"/>
    <n v="0"/>
  </r>
  <r>
    <x v="1"/>
    <x v="20"/>
    <x v="20"/>
    <x v="5"/>
    <s v="Planeación, seguimiento y evaluación de políticas públicas"/>
    <x v="3"/>
    <x v="592"/>
    <x v="7"/>
    <x v="846"/>
    <n v="3"/>
    <s v="Desarrollo Económico"/>
    <n v="0"/>
    <s v="Energía"/>
    <n v="1"/>
    <x v="67"/>
    <x v="0"/>
    <x v="147"/>
    <n v="1"/>
    <s v="Gasto corriente"/>
    <x v="0"/>
    <x v="1"/>
    <x v="0"/>
    <x v="0"/>
    <x v="0"/>
    <x v="0"/>
    <x v="0"/>
    <m/>
    <x v="0"/>
    <x v="0"/>
    <m/>
    <n v="590093"/>
    <n v="0"/>
    <n v="0"/>
    <n v="590093"/>
    <n v="641781"/>
    <m/>
    <x v="1"/>
    <n v="641781"/>
  </r>
  <r>
    <x v="1"/>
    <x v="20"/>
    <x v="20"/>
    <x v="5"/>
    <s v="Planeación, seguimiento y evaluación de políticas públicas"/>
    <x v="3"/>
    <x v="592"/>
    <x v="7"/>
    <x v="846"/>
    <n v="3"/>
    <s v="Desarrollo Económico"/>
    <n v="0"/>
    <s v="Energía"/>
    <n v="1"/>
    <x v="67"/>
    <x v="0"/>
    <x v="147"/>
    <n v="1"/>
    <s v="Gasto corriente"/>
    <x v="0"/>
    <x v="0"/>
    <x v="0"/>
    <x v="0"/>
    <x v="0"/>
    <x v="0"/>
    <x v="0"/>
    <m/>
    <x v="0"/>
    <x v="0"/>
    <m/>
    <n v="23464780"/>
    <n v="0"/>
    <n v="-382344"/>
    <n v="23082436"/>
    <n v="25305212"/>
    <m/>
    <x v="1"/>
    <n v="25305212"/>
  </r>
  <r>
    <x v="1"/>
    <x v="20"/>
    <x v="20"/>
    <x v="5"/>
    <s v="Planeación, seguimiento y evaluación de políticas públicas"/>
    <x v="3"/>
    <x v="592"/>
    <x v="54"/>
    <x v="847"/>
    <n v="3"/>
    <s v="Desarrollo Económico"/>
    <n v="0"/>
    <s v="Energía"/>
    <n v="1"/>
    <x v="67"/>
    <x v="0"/>
    <x v="147"/>
    <n v="1"/>
    <s v="Gasto corriente"/>
    <x v="0"/>
    <x v="1"/>
    <x v="0"/>
    <x v="0"/>
    <x v="0"/>
    <x v="0"/>
    <x v="0"/>
    <m/>
    <x v="0"/>
    <x v="0"/>
    <m/>
    <n v="474634"/>
    <n v="0"/>
    <n v="0"/>
    <n v="474634"/>
    <n v="481620"/>
    <m/>
    <x v="1"/>
    <n v="481620"/>
  </r>
  <r>
    <x v="1"/>
    <x v="20"/>
    <x v="20"/>
    <x v="5"/>
    <s v="Planeación, seguimiento y evaluación de políticas públicas"/>
    <x v="3"/>
    <x v="592"/>
    <x v="54"/>
    <x v="847"/>
    <n v="3"/>
    <s v="Desarrollo Económico"/>
    <n v="0"/>
    <s v="Energía"/>
    <n v="1"/>
    <x v="67"/>
    <x v="0"/>
    <x v="147"/>
    <n v="1"/>
    <s v="Gasto corriente"/>
    <x v="0"/>
    <x v="0"/>
    <x v="0"/>
    <x v="0"/>
    <x v="0"/>
    <x v="0"/>
    <x v="0"/>
    <m/>
    <x v="0"/>
    <x v="0"/>
    <m/>
    <n v="17224433"/>
    <n v="0"/>
    <n v="-253271"/>
    <n v="16971162"/>
    <n v="19307158"/>
    <m/>
    <x v="1"/>
    <n v="19307158"/>
  </r>
  <r>
    <x v="1"/>
    <x v="20"/>
    <x v="20"/>
    <x v="5"/>
    <s v="Planeación, seguimiento y evaluación de políticas públicas"/>
    <x v="3"/>
    <x v="592"/>
    <x v="278"/>
    <x v="848"/>
    <n v="3"/>
    <s v="Desarrollo Económico"/>
    <n v="0"/>
    <s v="Energía"/>
    <n v="1"/>
    <x v="67"/>
    <x v="0"/>
    <x v="147"/>
    <n v="1"/>
    <s v="Gasto corriente"/>
    <x v="0"/>
    <x v="1"/>
    <x v="0"/>
    <x v="0"/>
    <x v="0"/>
    <x v="0"/>
    <x v="0"/>
    <m/>
    <x v="0"/>
    <x v="0"/>
    <m/>
    <n v="384292"/>
    <n v="0"/>
    <n v="0"/>
    <n v="384292"/>
    <n v="377407"/>
    <m/>
    <x v="1"/>
    <n v="377407"/>
  </r>
  <r>
    <x v="1"/>
    <x v="20"/>
    <x v="20"/>
    <x v="5"/>
    <s v="Planeación, seguimiento y evaluación de políticas públicas"/>
    <x v="3"/>
    <x v="592"/>
    <x v="278"/>
    <x v="848"/>
    <n v="3"/>
    <s v="Desarrollo Económico"/>
    <n v="0"/>
    <s v="Energía"/>
    <n v="1"/>
    <x v="67"/>
    <x v="0"/>
    <x v="147"/>
    <n v="1"/>
    <s v="Gasto corriente"/>
    <x v="0"/>
    <x v="0"/>
    <x v="0"/>
    <x v="0"/>
    <x v="0"/>
    <x v="0"/>
    <x v="0"/>
    <m/>
    <x v="0"/>
    <x v="0"/>
    <m/>
    <n v="20073495"/>
    <n v="0"/>
    <n v="-345627"/>
    <n v="19727868"/>
    <n v="20199579"/>
    <m/>
    <x v="1"/>
    <n v="20199579"/>
  </r>
  <r>
    <x v="1"/>
    <x v="20"/>
    <x v="20"/>
    <x v="5"/>
    <s v="Planeación, seguimiento y evaluación de políticas públicas"/>
    <x v="4"/>
    <x v="593"/>
    <x v="58"/>
    <x v="849"/>
    <n v="3"/>
    <s v="Desarrollo Económico"/>
    <n v="0"/>
    <s v="Energía"/>
    <n v="2"/>
    <x v="68"/>
    <x v="0"/>
    <x v="147"/>
    <n v="1"/>
    <s v="Gasto corriente"/>
    <x v="0"/>
    <x v="1"/>
    <x v="0"/>
    <x v="0"/>
    <x v="0"/>
    <x v="0"/>
    <x v="0"/>
    <m/>
    <x v="0"/>
    <x v="0"/>
    <m/>
    <n v="702351"/>
    <n v="0"/>
    <n v="0"/>
    <n v="702351"/>
    <n v="658568"/>
    <m/>
    <x v="1"/>
    <n v="658568"/>
  </r>
  <r>
    <x v="1"/>
    <x v="20"/>
    <x v="20"/>
    <x v="5"/>
    <s v="Planeación, seguimiento y evaluación de políticas públicas"/>
    <x v="4"/>
    <x v="593"/>
    <x v="58"/>
    <x v="849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34208182"/>
    <n v="0"/>
    <n v="-465492"/>
    <n v="33742690"/>
    <n v="34052393"/>
    <m/>
    <x v="1"/>
    <n v="34052393"/>
  </r>
  <r>
    <x v="1"/>
    <x v="20"/>
    <x v="20"/>
    <x v="5"/>
    <s v="Planeación, seguimiento y evaluación de políticas públicas"/>
    <x v="4"/>
    <x v="593"/>
    <x v="85"/>
    <x v="850"/>
    <n v="3"/>
    <s v="Desarrollo Económico"/>
    <n v="0"/>
    <s v="Energía"/>
    <n v="2"/>
    <x v="68"/>
    <x v="0"/>
    <x v="147"/>
    <n v="1"/>
    <s v="Gasto corriente"/>
    <x v="0"/>
    <x v="1"/>
    <x v="0"/>
    <x v="0"/>
    <x v="0"/>
    <x v="0"/>
    <x v="0"/>
    <m/>
    <x v="0"/>
    <x v="0"/>
    <m/>
    <n v="397635"/>
    <n v="0"/>
    <n v="0"/>
    <n v="397635"/>
    <n v="390433"/>
    <m/>
    <x v="1"/>
    <n v="390433"/>
  </r>
  <r>
    <x v="1"/>
    <x v="20"/>
    <x v="20"/>
    <x v="5"/>
    <s v="Planeación, seguimiento y evaluación de políticas públicas"/>
    <x v="4"/>
    <x v="593"/>
    <x v="85"/>
    <x v="850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23400732"/>
    <n v="0"/>
    <n v="-323950"/>
    <n v="23076782"/>
    <n v="24232691"/>
    <m/>
    <x v="1"/>
    <n v="24232691"/>
  </r>
  <r>
    <x v="1"/>
    <x v="20"/>
    <x v="20"/>
    <x v="5"/>
    <s v="Planeación, seguimiento y evaluación de políticas públicas"/>
    <x v="4"/>
    <x v="593"/>
    <x v="81"/>
    <x v="851"/>
    <n v="3"/>
    <s v="Desarrollo Económico"/>
    <n v="0"/>
    <s v="Energía"/>
    <n v="2"/>
    <x v="68"/>
    <x v="0"/>
    <x v="147"/>
    <n v="1"/>
    <s v="Gasto corriente"/>
    <x v="0"/>
    <x v="1"/>
    <x v="0"/>
    <x v="0"/>
    <x v="0"/>
    <x v="0"/>
    <x v="0"/>
    <m/>
    <x v="0"/>
    <x v="0"/>
    <m/>
    <n v="487545"/>
    <n v="0"/>
    <n v="0"/>
    <n v="487545"/>
    <n v="531586"/>
    <m/>
    <x v="1"/>
    <n v="531586"/>
  </r>
  <r>
    <x v="1"/>
    <x v="20"/>
    <x v="20"/>
    <x v="5"/>
    <s v="Planeación, seguimiento y evaluación de políticas públicas"/>
    <x v="4"/>
    <x v="593"/>
    <x v="81"/>
    <x v="851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38695420"/>
    <n v="0"/>
    <n v="-324635"/>
    <n v="38370785"/>
    <n v="35577575"/>
    <m/>
    <x v="1"/>
    <n v="35577575"/>
  </r>
  <r>
    <x v="1"/>
    <x v="20"/>
    <x v="20"/>
    <x v="5"/>
    <s v="Planeación, seguimiento y evaluación de políticas públicas"/>
    <x v="8"/>
    <x v="594"/>
    <x v="40"/>
    <x v="839"/>
    <n v="3"/>
    <s v="Desarrollo Económico"/>
    <n v="0"/>
    <s v="Energía"/>
    <n v="2"/>
    <x v="68"/>
    <x v="0"/>
    <x v="147"/>
    <n v="1"/>
    <s v="Gasto corriente"/>
    <x v="0"/>
    <x v="0"/>
    <x v="0"/>
    <x v="0"/>
    <x v="0"/>
    <x v="0"/>
    <x v="0"/>
    <m/>
    <x v="0"/>
    <x v="0"/>
    <m/>
    <n v="2398616"/>
    <n v="0"/>
    <n v="-10000"/>
    <n v="2388616"/>
    <n v="6759463"/>
    <m/>
    <x v="1"/>
    <n v="6759463"/>
  </r>
  <r>
    <x v="1"/>
    <x v="20"/>
    <x v="20"/>
    <x v="5"/>
    <s v="Planeación, seguimiento y evaluación de políticas públicas"/>
    <x v="8"/>
    <x v="594"/>
    <x v="40"/>
    <x v="839"/>
    <n v="3"/>
    <s v="Desarrollo Económico"/>
    <n v="0"/>
    <s v="Energía"/>
    <n v="2"/>
    <x v="68"/>
    <x v="0"/>
    <x v="147"/>
    <n v="2"/>
    <s v="Gasto de capital"/>
    <x v="0"/>
    <x v="0"/>
    <x v="0"/>
    <x v="0"/>
    <x v="0"/>
    <x v="0"/>
    <x v="0"/>
    <m/>
    <x v="0"/>
    <x v="0"/>
    <m/>
    <n v="833335"/>
    <n v="0"/>
    <n v="0"/>
    <n v="833335"/>
    <m/>
    <m/>
    <x v="1"/>
    <n v="0"/>
  </r>
  <r>
    <x v="1"/>
    <x v="20"/>
    <x v="20"/>
    <x v="5"/>
    <s v="Planeación, seguimiento y evaluación de políticas públicas"/>
    <x v="9"/>
    <x v="595"/>
    <x v="92"/>
    <x v="834"/>
    <n v="3"/>
    <s v="Desarrollo Económico"/>
    <n v="0"/>
    <s v="Energía"/>
    <n v="3"/>
    <x v="14"/>
    <x v="17"/>
    <x v="149"/>
    <n v="1"/>
    <s v="Gasto corriente"/>
    <x v="0"/>
    <x v="1"/>
    <x v="0"/>
    <x v="0"/>
    <x v="0"/>
    <x v="0"/>
    <x v="0"/>
    <m/>
    <x v="0"/>
    <x v="1"/>
    <n v="1"/>
    <n v="229480"/>
    <n v="0"/>
    <n v="0"/>
    <n v="229480"/>
    <n v="233323"/>
    <m/>
    <x v="1"/>
    <n v="233323"/>
  </r>
  <r>
    <x v="1"/>
    <x v="20"/>
    <x v="20"/>
    <x v="5"/>
    <s v="Planeación, seguimiento y evaluación de políticas públicas"/>
    <x v="9"/>
    <x v="595"/>
    <x v="92"/>
    <x v="834"/>
    <n v="3"/>
    <s v="Desarrollo Económico"/>
    <n v="0"/>
    <s v="Energía"/>
    <n v="3"/>
    <x v="14"/>
    <x v="17"/>
    <x v="149"/>
    <n v="1"/>
    <s v="Gasto corriente"/>
    <x v="0"/>
    <x v="0"/>
    <x v="0"/>
    <x v="0"/>
    <x v="0"/>
    <x v="0"/>
    <x v="0"/>
    <m/>
    <x v="0"/>
    <x v="1"/>
    <n v="1"/>
    <n v="9292111"/>
    <n v="0"/>
    <n v="-20000"/>
    <n v="9272111"/>
    <n v="10791120"/>
    <m/>
    <x v="1"/>
    <n v="10791120"/>
  </r>
  <r>
    <x v="1"/>
    <x v="20"/>
    <x v="20"/>
    <x v="1"/>
    <s v="Específicos"/>
    <x v="2"/>
    <x v="596"/>
    <x v="22"/>
    <x v="841"/>
    <n v="3"/>
    <s v="Desarrollo Económico"/>
    <n v="0"/>
    <s v="Energía"/>
    <n v="3"/>
    <x v="14"/>
    <x v="0"/>
    <x v="147"/>
    <n v="1"/>
    <s v="Gasto corriente"/>
    <x v="0"/>
    <x v="0"/>
    <x v="0"/>
    <x v="0"/>
    <x v="0"/>
    <x v="0"/>
    <x v="0"/>
    <m/>
    <x v="0"/>
    <x v="0"/>
    <m/>
    <n v="7430513"/>
    <n v="0"/>
    <n v="-3000000"/>
    <n v="4430513"/>
    <n v="2310276"/>
    <m/>
    <x v="1"/>
    <n v="2310276"/>
  </r>
  <r>
    <x v="1"/>
    <x v="21"/>
    <x v="21"/>
    <x v="11"/>
    <s v="Sujetos a Reglas de Operación"/>
    <x v="70"/>
    <x v="597"/>
    <x v="18"/>
    <x v="852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0"/>
    <n v="210100000"/>
  </r>
  <r>
    <x v="1"/>
    <x v="21"/>
    <x v="21"/>
    <x v="11"/>
    <s v="Sujetos a Reglas de Operación"/>
    <x v="134"/>
    <x v="598"/>
    <x v="408"/>
    <x v="853"/>
    <n v="2"/>
    <s v="Desarrollo Social"/>
    <n v="5"/>
    <s v="Asistencia Social"/>
    <n v="3"/>
    <x v="54"/>
    <x v="6"/>
    <x v="151"/>
    <n v="1"/>
    <s v="Gasto corriente"/>
    <x v="0"/>
    <x v="0"/>
    <x v="1"/>
    <x v="0"/>
    <x v="0"/>
    <x v="0"/>
    <x v="0"/>
    <m/>
    <x v="0"/>
    <x v="0"/>
    <m/>
    <n v="1120344300"/>
    <n v="250000000"/>
    <n v="0"/>
    <n v="1370344300"/>
    <n v="1180000000"/>
    <m/>
    <x v="57"/>
    <n v="1430000000"/>
  </r>
  <r>
    <x v="1"/>
    <x v="21"/>
    <x v="21"/>
    <x v="11"/>
    <s v="Sujetos a Reglas de Operación"/>
    <x v="135"/>
    <x v="599"/>
    <x v="18"/>
    <x v="852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58"/>
    <n v="151500000"/>
  </r>
  <r>
    <x v="1"/>
    <x v="21"/>
    <x v="21"/>
    <x v="8"/>
    <s v="Provisión de Bienes Públicos"/>
    <x v="5"/>
    <x v="600"/>
    <x v="408"/>
    <x v="853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202500000"/>
    <n v="50000000"/>
    <n v="-71300000"/>
    <n v="1181200000"/>
    <n v="1271544300"/>
    <m/>
    <x v="1"/>
    <n v="1271544300"/>
  </r>
  <r>
    <x v="1"/>
    <x v="21"/>
    <x v="21"/>
    <x v="4"/>
    <s v="Prestación de Servicios Públicos"/>
    <x v="4"/>
    <x v="601"/>
    <x v="409"/>
    <x v="854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1"/>
    <x v="0"/>
    <m/>
    <x v="0"/>
    <x v="0"/>
    <m/>
    <n v="10879111"/>
    <n v="0"/>
    <n v="0"/>
    <n v="10879111"/>
    <n v="12783330"/>
    <m/>
    <x v="1"/>
    <n v="12783330"/>
  </r>
  <r>
    <x v="1"/>
    <x v="21"/>
    <x v="21"/>
    <x v="4"/>
    <s v="Prestación de Servicios Públicos"/>
    <x v="4"/>
    <x v="601"/>
    <x v="409"/>
    <x v="854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1"/>
    <x v="0"/>
    <m/>
    <x v="0"/>
    <x v="0"/>
    <m/>
    <n v="181033166"/>
    <n v="0"/>
    <n v="-6636583"/>
    <n v="174396583"/>
    <n v="208368542"/>
    <m/>
    <x v="1"/>
    <n v="208368542"/>
  </r>
  <r>
    <x v="1"/>
    <x v="21"/>
    <x v="21"/>
    <x v="4"/>
    <s v="Prestación de Servicios Públicos"/>
    <x v="4"/>
    <x v="601"/>
    <x v="409"/>
    <x v="854"/>
    <n v="2"/>
    <s v="Desarrollo Social"/>
    <n v="5"/>
    <s v="Asistencia Social"/>
    <n v="3"/>
    <x v="54"/>
    <x v="9"/>
    <x v="152"/>
    <n v="2"/>
    <s v="Gasto de capital"/>
    <x v="0"/>
    <x v="0"/>
    <x v="0"/>
    <x v="0"/>
    <x v="0"/>
    <x v="1"/>
    <x v="0"/>
    <m/>
    <x v="0"/>
    <x v="0"/>
    <m/>
    <n v="10000000"/>
    <n v="0"/>
    <n v="-700000"/>
    <n v="9300000"/>
    <m/>
    <m/>
    <x v="1"/>
    <n v="0"/>
  </r>
  <r>
    <x v="1"/>
    <x v="21"/>
    <x v="21"/>
    <x v="4"/>
    <s v="Prestación de Servicios Públicos"/>
    <x v="14"/>
    <x v="602"/>
    <x v="409"/>
    <x v="854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1"/>
    <x v="0"/>
    <m/>
    <x v="0"/>
    <x v="0"/>
    <m/>
    <n v="29300000"/>
    <n v="0"/>
    <n v="-188420"/>
    <n v="29111580"/>
    <m/>
    <m/>
    <x v="1"/>
    <n v="0"/>
  </r>
  <r>
    <x v="1"/>
    <x v="21"/>
    <x v="21"/>
    <x v="9"/>
    <s v="Promoción y fomento"/>
    <x v="2"/>
    <x v="603"/>
    <x v="40"/>
    <x v="855"/>
    <n v="2"/>
    <s v="Desarrollo Social"/>
    <n v="3"/>
    <s v="Urbanización, Vivienda y Desarrollo Regional"/>
    <n v="3"/>
    <x v="70"/>
    <x v="11"/>
    <x v="153"/>
    <n v="1"/>
    <s v="Gasto corriente"/>
    <x v="0"/>
    <x v="1"/>
    <x v="0"/>
    <x v="0"/>
    <x v="0"/>
    <x v="1"/>
    <x v="0"/>
    <m/>
    <x v="0"/>
    <x v="0"/>
    <m/>
    <n v="1927357"/>
    <n v="0"/>
    <n v="0"/>
    <n v="1927357"/>
    <n v="2441958"/>
    <m/>
    <x v="1"/>
    <n v="2441958"/>
  </r>
  <r>
    <x v="1"/>
    <x v="21"/>
    <x v="21"/>
    <x v="9"/>
    <s v="Promoción y fomento"/>
    <x v="2"/>
    <x v="603"/>
    <x v="40"/>
    <x v="855"/>
    <n v="2"/>
    <s v="Desarrollo Social"/>
    <n v="3"/>
    <s v="Urbanización, Vivienda y Desarrollo Regional"/>
    <n v="3"/>
    <x v="70"/>
    <x v="11"/>
    <x v="153"/>
    <n v="1"/>
    <s v="Gasto corriente"/>
    <x v="0"/>
    <x v="0"/>
    <x v="0"/>
    <x v="0"/>
    <x v="0"/>
    <x v="1"/>
    <x v="0"/>
    <m/>
    <x v="0"/>
    <x v="0"/>
    <m/>
    <n v="41183342"/>
    <n v="0"/>
    <n v="0"/>
    <n v="41183342"/>
    <n v="46002784"/>
    <m/>
    <x v="1"/>
    <n v="46002784"/>
  </r>
  <r>
    <x v="1"/>
    <x v="21"/>
    <x v="21"/>
    <x v="0"/>
    <s v="Proyectos de Inversión"/>
    <x v="0"/>
    <x v="0"/>
    <x v="56"/>
    <x v="350"/>
    <n v="2"/>
    <s v="Desarrollo Social"/>
    <n v="5"/>
    <s v="Asistencia Social"/>
    <n v="3"/>
    <x v="54"/>
    <x v="3"/>
    <x v="12"/>
    <n v="2"/>
    <s v="Gasto de capital"/>
    <x v="0"/>
    <x v="0"/>
    <x v="0"/>
    <x v="0"/>
    <x v="0"/>
    <x v="0"/>
    <x v="0"/>
    <m/>
    <x v="0"/>
    <x v="0"/>
    <m/>
    <n v="26779000"/>
    <n v="0"/>
    <n v="-17300000"/>
    <n v="9479000"/>
    <n v="9479000"/>
    <m/>
    <x v="1"/>
    <n v="9479000"/>
  </r>
  <r>
    <x v="1"/>
    <x v="21"/>
    <x v="21"/>
    <x v="2"/>
    <s v="Apoyo al proceso presupuestario y para mejorar la eficiencia institucional"/>
    <x v="2"/>
    <x v="34"/>
    <x v="38"/>
    <x v="39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402112"/>
    <n v="0"/>
    <n v="0"/>
    <n v="402112"/>
    <n v="462425"/>
    <m/>
    <x v="1"/>
    <n v="462425"/>
  </r>
  <r>
    <x v="1"/>
    <x v="21"/>
    <x v="21"/>
    <x v="2"/>
    <s v="Apoyo al proceso presupuestario y para mejorar la eficiencia institucional"/>
    <x v="2"/>
    <x v="34"/>
    <x v="38"/>
    <x v="39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16625673"/>
    <n v="0"/>
    <n v="0"/>
    <n v="16625673"/>
    <n v="13085142"/>
    <m/>
    <x v="1"/>
    <n v="13085142"/>
  </r>
  <r>
    <x v="1"/>
    <x v="21"/>
    <x v="21"/>
    <x v="2"/>
    <s v="Apoyo al proceso presupuestario y para mejorar la eficiencia institucional"/>
    <x v="2"/>
    <x v="34"/>
    <x v="39"/>
    <x v="70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2246825"/>
    <n v="0"/>
    <n v="0"/>
    <n v="2246825"/>
    <n v="2583850"/>
    <m/>
    <x v="1"/>
    <n v="2583850"/>
  </r>
  <r>
    <x v="1"/>
    <x v="21"/>
    <x v="21"/>
    <x v="2"/>
    <s v="Apoyo al proceso presupuestario y para mejorar la eficiencia institucional"/>
    <x v="2"/>
    <x v="34"/>
    <x v="39"/>
    <x v="70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41311610"/>
    <n v="0"/>
    <n v="0"/>
    <n v="41311610"/>
    <n v="35061111"/>
    <m/>
    <x v="1"/>
    <n v="35061111"/>
  </r>
  <r>
    <x v="1"/>
    <x v="21"/>
    <x v="21"/>
    <x v="2"/>
    <s v="Apoyo al proceso presupuestario y para mejorar la eficiencia institucional"/>
    <x v="2"/>
    <x v="34"/>
    <x v="56"/>
    <x v="350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4193998"/>
    <n v="0"/>
    <n v="0"/>
    <n v="4193998"/>
    <n v="4823102"/>
    <m/>
    <x v="1"/>
    <n v="4823102"/>
  </r>
  <r>
    <x v="1"/>
    <x v="21"/>
    <x v="21"/>
    <x v="2"/>
    <s v="Apoyo al proceso presupuestario y para mejorar la eficiencia institucional"/>
    <x v="2"/>
    <x v="34"/>
    <x v="56"/>
    <x v="350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176853872"/>
    <n v="0"/>
    <n v="-1090"/>
    <n v="176852782"/>
    <n v="138293303"/>
    <m/>
    <x v="1"/>
    <n v="138293303"/>
  </r>
  <r>
    <x v="1"/>
    <x v="21"/>
    <x v="21"/>
    <x v="2"/>
    <s v="Apoyo al proceso presupuestario y para mejorar la eficiencia institucional"/>
    <x v="2"/>
    <x v="34"/>
    <x v="56"/>
    <x v="350"/>
    <n v="2"/>
    <s v="Desarrollo Social"/>
    <n v="5"/>
    <s v="Asistencia Social"/>
    <n v="3"/>
    <x v="54"/>
    <x v="3"/>
    <x v="12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n v="10000000"/>
    <m/>
    <x v="1"/>
    <n v="10000000"/>
  </r>
  <r>
    <x v="1"/>
    <x v="21"/>
    <x v="21"/>
    <x v="2"/>
    <s v="Apoyo al proceso presupuestario y para mejorar la eficiencia institucional"/>
    <x v="2"/>
    <x v="34"/>
    <x v="73"/>
    <x v="69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8030820"/>
    <n v="0"/>
    <n v="0"/>
    <n v="8030820"/>
    <n v="11431454"/>
    <m/>
    <x v="1"/>
    <n v="11431454"/>
  </r>
  <r>
    <x v="1"/>
    <x v="21"/>
    <x v="21"/>
    <x v="2"/>
    <s v="Apoyo al proceso presupuestario y para mejorar la eficiencia institucional"/>
    <x v="2"/>
    <x v="34"/>
    <x v="73"/>
    <x v="69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272778733"/>
    <n v="0"/>
    <n v="0"/>
    <n v="272778733"/>
    <n v="304121499"/>
    <m/>
    <x v="1"/>
    <n v="304121499"/>
  </r>
  <r>
    <x v="1"/>
    <x v="21"/>
    <x v="21"/>
    <x v="2"/>
    <s v="Apoyo al proceso presupuestario y para mejorar la eficiencia institucional"/>
    <x v="2"/>
    <x v="34"/>
    <x v="84"/>
    <x v="215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1299887"/>
    <n v="0"/>
    <n v="0"/>
    <n v="1299887"/>
    <n v="1494900"/>
    <m/>
    <x v="1"/>
    <n v="1494900"/>
  </r>
  <r>
    <x v="1"/>
    <x v="21"/>
    <x v="21"/>
    <x v="2"/>
    <s v="Apoyo al proceso presupuestario y para mejorar la eficiencia institucional"/>
    <x v="2"/>
    <x v="34"/>
    <x v="84"/>
    <x v="215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38197316"/>
    <n v="0"/>
    <n v="0"/>
    <n v="38197316"/>
    <n v="36911775"/>
    <m/>
    <x v="1"/>
    <n v="36911775"/>
  </r>
  <r>
    <x v="1"/>
    <x v="21"/>
    <x v="21"/>
    <x v="2"/>
    <s v="Apoyo al proceso presupuestario y para mejorar la eficiencia institucional"/>
    <x v="2"/>
    <x v="34"/>
    <x v="187"/>
    <x v="856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762715"/>
    <n v="0"/>
    <n v="0"/>
    <n v="762715"/>
    <n v="877121"/>
    <m/>
    <x v="1"/>
    <n v="877121"/>
  </r>
  <r>
    <x v="1"/>
    <x v="21"/>
    <x v="21"/>
    <x v="2"/>
    <s v="Apoyo al proceso presupuestario y para mejorar la eficiencia institucional"/>
    <x v="2"/>
    <x v="34"/>
    <x v="187"/>
    <x v="856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17945942"/>
    <n v="0"/>
    <n v="0"/>
    <n v="17945942"/>
    <n v="14367069"/>
    <m/>
    <x v="1"/>
    <n v="14367069"/>
  </r>
  <r>
    <x v="1"/>
    <x v="21"/>
    <x v="21"/>
    <x v="2"/>
    <s v="Apoyo al proceso presupuestario y para mejorar la eficiencia institucional"/>
    <x v="2"/>
    <x v="34"/>
    <x v="40"/>
    <x v="855"/>
    <n v="2"/>
    <s v="Desarrollo Social"/>
    <n v="3"/>
    <s v="Urbanización, Vivienda y Desarrollo Regional"/>
    <n v="3"/>
    <x v="70"/>
    <x v="3"/>
    <x v="12"/>
    <n v="1"/>
    <s v="Gasto corriente"/>
    <x v="0"/>
    <x v="1"/>
    <x v="0"/>
    <x v="0"/>
    <x v="0"/>
    <x v="1"/>
    <x v="0"/>
    <m/>
    <x v="0"/>
    <x v="0"/>
    <m/>
    <n v="1241965"/>
    <n v="0"/>
    <n v="0"/>
    <n v="1241965"/>
    <n v="1202762"/>
    <m/>
    <x v="1"/>
    <n v="1202762"/>
  </r>
  <r>
    <x v="1"/>
    <x v="21"/>
    <x v="21"/>
    <x v="2"/>
    <s v="Apoyo al proceso presupuestario y para mejorar la eficiencia institucional"/>
    <x v="2"/>
    <x v="34"/>
    <x v="40"/>
    <x v="855"/>
    <n v="2"/>
    <s v="Desarrollo Social"/>
    <n v="3"/>
    <s v="Urbanización, Vivienda y Desarrollo Regional"/>
    <n v="3"/>
    <x v="70"/>
    <x v="3"/>
    <x v="12"/>
    <n v="1"/>
    <s v="Gasto corriente"/>
    <x v="0"/>
    <x v="0"/>
    <x v="0"/>
    <x v="0"/>
    <x v="0"/>
    <x v="1"/>
    <x v="0"/>
    <m/>
    <x v="0"/>
    <x v="0"/>
    <m/>
    <n v="35726702"/>
    <n v="0"/>
    <n v="-3200000"/>
    <n v="32526702"/>
    <n v="28418192"/>
    <m/>
    <x v="1"/>
    <n v="28418192"/>
  </r>
  <r>
    <x v="1"/>
    <x v="21"/>
    <x v="21"/>
    <x v="2"/>
    <s v="Apoyo al proceso presupuestario y para mejorar la eficiencia institucional"/>
    <x v="2"/>
    <x v="34"/>
    <x v="66"/>
    <x v="857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0"/>
    <x v="0"/>
    <m/>
    <x v="0"/>
    <x v="0"/>
    <m/>
    <n v="15840016"/>
    <n v="0"/>
    <n v="0"/>
    <n v="15840016"/>
    <n v="18216019"/>
    <m/>
    <x v="1"/>
    <n v="18216019"/>
  </r>
  <r>
    <x v="1"/>
    <x v="21"/>
    <x v="21"/>
    <x v="2"/>
    <s v="Apoyo al proceso presupuestario y para mejorar la eficiencia institucional"/>
    <x v="2"/>
    <x v="34"/>
    <x v="66"/>
    <x v="857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608536277"/>
    <n v="0"/>
    <n v="-9100000"/>
    <n v="599436277"/>
    <n v="459656727"/>
    <m/>
    <x v="1"/>
    <n v="459656727"/>
  </r>
  <r>
    <x v="1"/>
    <x v="21"/>
    <x v="21"/>
    <x v="2"/>
    <s v="Apoyo al proceso presupuestario y para mejorar la eficiencia institucional"/>
    <x v="2"/>
    <x v="34"/>
    <x v="66"/>
    <x v="857"/>
    <n v="2"/>
    <s v="Desarrollo Social"/>
    <n v="5"/>
    <s v="Asistencia Social"/>
    <n v="3"/>
    <x v="54"/>
    <x v="3"/>
    <x v="12"/>
    <n v="2"/>
    <s v="Gasto de capital"/>
    <x v="0"/>
    <x v="0"/>
    <x v="0"/>
    <x v="0"/>
    <x v="0"/>
    <x v="0"/>
    <x v="0"/>
    <m/>
    <x v="0"/>
    <x v="0"/>
    <m/>
    <n v="107734569"/>
    <n v="0"/>
    <n v="-3800000"/>
    <n v="103934569"/>
    <n v="65000000"/>
    <m/>
    <x v="1"/>
    <n v="65000000"/>
  </r>
  <r>
    <x v="1"/>
    <x v="21"/>
    <x v="21"/>
    <x v="2"/>
    <s v="Apoyo al proceso presupuestario y para mejorar la eficiencia institucional"/>
    <x v="2"/>
    <x v="34"/>
    <x v="409"/>
    <x v="854"/>
    <n v="2"/>
    <s v="Desarrollo Social"/>
    <n v="5"/>
    <s v="Asistencia Social"/>
    <n v="3"/>
    <x v="54"/>
    <x v="3"/>
    <x v="12"/>
    <n v="1"/>
    <s v="Gasto corriente"/>
    <x v="0"/>
    <x v="1"/>
    <x v="0"/>
    <x v="0"/>
    <x v="0"/>
    <x v="1"/>
    <x v="0"/>
    <m/>
    <x v="0"/>
    <x v="0"/>
    <m/>
    <n v="1277651"/>
    <n v="0"/>
    <n v="0"/>
    <n v="1277651"/>
    <n v="1230083"/>
    <m/>
    <x v="1"/>
    <n v="1230083"/>
  </r>
  <r>
    <x v="1"/>
    <x v="21"/>
    <x v="21"/>
    <x v="2"/>
    <s v="Apoyo al proceso presupuestario y para mejorar la eficiencia institucional"/>
    <x v="2"/>
    <x v="34"/>
    <x v="409"/>
    <x v="854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1"/>
    <x v="0"/>
    <m/>
    <x v="0"/>
    <x v="0"/>
    <m/>
    <n v="19740919"/>
    <n v="0"/>
    <n v="-325637"/>
    <n v="19415282"/>
    <n v="16979698"/>
    <m/>
    <x v="1"/>
    <n v="16979698"/>
  </r>
  <r>
    <x v="1"/>
    <x v="21"/>
    <x v="21"/>
    <x v="2"/>
    <s v="Apoyo al proceso presupuestario y para mejorar la eficiencia institucional"/>
    <x v="2"/>
    <x v="34"/>
    <x v="410"/>
    <x v="858"/>
    <n v="2"/>
    <s v="Desarrollo Social"/>
    <n v="3"/>
    <s v="Urbanización, Vivienda y Desarrollo Regional"/>
    <n v="3"/>
    <x v="70"/>
    <x v="3"/>
    <x v="12"/>
    <n v="1"/>
    <s v="Gasto corriente"/>
    <x v="0"/>
    <x v="1"/>
    <x v="0"/>
    <x v="0"/>
    <x v="0"/>
    <x v="0"/>
    <x v="0"/>
    <m/>
    <x v="0"/>
    <x v="0"/>
    <m/>
    <n v="186497"/>
    <n v="0"/>
    <n v="0"/>
    <n v="186497"/>
    <m/>
    <m/>
    <x v="1"/>
    <n v="0"/>
  </r>
  <r>
    <x v="1"/>
    <x v="21"/>
    <x v="21"/>
    <x v="2"/>
    <s v="Apoyo al proceso presupuestario y para mejorar la eficiencia institucional"/>
    <x v="2"/>
    <x v="34"/>
    <x v="410"/>
    <x v="858"/>
    <n v="2"/>
    <s v="Desarrollo Social"/>
    <n v="3"/>
    <s v="Urbanización, Vivienda y Desarrollo Regional"/>
    <n v="3"/>
    <x v="70"/>
    <x v="3"/>
    <x v="12"/>
    <n v="1"/>
    <s v="Gasto corriente"/>
    <x v="0"/>
    <x v="0"/>
    <x v="0"/>
    <x v="0"/>
    <x v="0"/>
    <x v="0"/>
    <x v="0"/>
    <m/>
    <x v="0"/>
    <x v="0"/>
    <m/>
    <n v="24753093"/>
    <n v="0"/>
    <n v="-865326"/>
    <n v="23887767"/>
    <n v="21185352"/>
    <m/>
    <x v="1"/>
    <n v="21185352"/>
  </r>
  <r>
    <x v="1"/>
    <x v="21"/>
    <x v="21"/>
    <x v="2"/>
    <s v="Apoyo al proceso presupuestario y para mejorar la eficiencia institucional"/>
    <x v="2"/>
    <x v="34"/>
    <x v="411"/>
    <x v="859"/>
    <n v="2"/>
    <s v="Desarrollo Social"/>
    <n v="5"/>
    <s v="Asistencia Social"/>
    <n v="3"/>
    <x v="54"/>
    <x v="3"/>
    <x v="12"/>
    <n v="1"/>
    <s v="Gasto corriente"/>
    <x v="0"/>
    <x v="0"/>
    <x v="0"/>
    <x v="0"/>
    <x v="0"/>
    <x v="0"/>
    <x v="0"/>
    <m/>
    <x v="0"/>
    <x v="0"/>
    <m/>
    <n v="19557302"/>
    <n v="0"/>
    <n v="0"/>
    <n v="19557302"/>
    <n v="16793524"/>
    <m/>
    <x v="1"/>
    <n v="16793524"/>
  </r>
  <r>
    <x v="1"/>
    <x v="21"/>
    <x v="21"/>
    <x v="3"/>
    <s v="Apoyo a la función pública y al mejoramiento de la gestión"/>
    <x v="2"/>
    <x v="42"/>
    <x v="21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525326"/>
    <n v="0"/>
    <n v="0"/>
    <n v="1525326"/>
    <n v="1754125"/>
    <m/>
    <x v="1"/>
    <n v="1754125"/>
  </r>
  <r>
    <x v="1"/>
    <x v="21"/>
    <x v="21"/>
    <x v="3"/>
    <s v="Apoyo a la función pública y al mejoramiento de la gestión"/>
    <x v="2"/>
    <x v="42"/>
    <x v="21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3156091"/>
    <n v="0"/>
    <n v="0"/>
    <n v="33156091"/>
    <n v="26973461"/>
    <m/>
    <x v="1"/>
    <n v="26973461"/>
  </r>
  <r>
    <x v="1"/>
    <x v="21"/>
    <x v="21"/>
    <x v="3"/>
    <s v="Apoyo a la función pública y al mejoramiento de la gestión"/>
    <x v="2"/>
    <x v="42"/>
    <x v="409"/>
    <x v="854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1"/>
    <x v="0"/>
    <m/>
    <x v="0"/>
    <x v="0"/>
    <m/>
    <n v="165705"/>
    <n v="0"/>
    <n v="0"/>
    <n v="165705"/>
    <n v="157424"/>
    <m/>
    <x v="1"/>
    <n v="157424"/>
  </r>
  <r>
    <x v="1"/>
    <x v="21"/>
    <x v="21"/>
    <x v="3"/>
    <s v="Apoyo a la función pública y al mejoramiento de la gestión"/>
    <x v="2"/>
    <x v="42"/>
    <x v="409"/>
    <x v="85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1"/>
    <x v="0"/>
    <m/>
    <x v="0"/>
    <x v="0"/>
    <m/>
    <n v="3979801"/>
    <n v="0"/>
    <n v="-237780"/>
    <n v="3742021"/>
    <n v="3750302"/>
    <m/>
    <x v="1"/>
    <n v="3750302"/>
  </r>
  <r>
    <x v="1"/>
    <x v="21"/>
    <x v="21"/>
    <x v="3"/>
    <s v="Apoyo a la función pública y al mejoramiento de la gestión"/>
    <x v="2"/>
    <x v="42"/>
    <x v="410"/>
    <x v="85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45058"/>
    <n v="0"/>
    <n v="0"/>
    <n v="45058"/>
    <m/>
    <m/>
    <x v="1"/>
    <n v="0"/>
  </r>
  <r>
    <x v="1"/>
    <x v="21"/>
    <x v="21"/>
    <x v="3"/>
    <s v="Apoyo a la función pública y al mejoramiento de la gestión"/>
    <x v="2"/>
    <x v="42"/>
    <x v="410"/>
    <x v="85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337806"/>
    <n v="0"/>
    <n v="-8000"/>
    <n v="3329806"/>
    <n v="3372664"/>
    <m/>
    <x v="1"/>
    <n v="3372664"/>
  </r>
  <r>
    <x v="1"/>
    <x v="21"/>
    <x v="21"/>
    <x v="3"/>
    <s v="Apoyo a la función pública y al mejoramiento de la gestión"/>
    <x v="2"/>
    <x v="42"/>
    <x v="411"/>
    <x v="85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264203"/>
    <n v="0"/>
    <n v="0"/>
    <n v="2264203"/>
    <n v="1977926"/>
    <m/>
    <x v="1"/>
    <n v="1977926"/>
  </r>
  <r>
    <x v="1"/>
    <x v="21"/>
    <x v="21"/>
    <x v="3"/>
    <s v="Apoyo a la función pública y al mejoramiento de la gestión"/>
    <x v="32"/>
    <x v="121"/>
    <x v="73"/>
    <x v="69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8582489"/>
    <n v="0"/>
    <n v="0"/>
    <n v="8582489"/>
    <n v="9000000"/>
    <m/>
    <x v="1"/>
    <n v="9000000"/>
  </r>
  <r>
    <x v="1"/>
    <x v="21"/>
    <x v="21"/>
    <x v="3"/>
    <s v="Apoyo a la función pública y al mejoramiento de la gestión"/>
    <x v="32"/>
    <x v="121"/>
    <x v="40"/>
    <x v="85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1"/>
    <x v="0"/>
    <m/>
    <x v="0"/>
    <x v="0"/>
    <m/>
    <n v="795604"/>
    <n v="0"/>
    <n v="0"/>
    <n v="795604"/>
    <n v="795604"/>
    <m/>
    <x v="1"/>
    <n v="795604"/>
  </r>
  <r>
    <x v="1"/>
    <x v="21"/>
    <x v="21"/>
    <x v="3"/>
    <s v="Apoyo a la función pública y al mejoramiento de la gestión"/>
    <x v="32"/>
    <x v="121"/>
    <x v="66"/>
    <x v="857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700007"/>
    <n v="0"/>
    <n v="0"/>
    <n v="1700007"/>
    <n v="1700007"/>
    <m/>
    <x v="1"/>
    <n v="1700007"/>
  </r>
  <r>
    <x v="1"/>
    <x v="21"/>
    <x v="21"/>
    <x v="5"/>
    <s v="Planeación, seguimiento y evaluación de políticas públicas"/>
    <x v="2"/>
    <x v="604"/>
    <x v="7"/>
    <x v="860"/>
    <n v="2"/>
    <s v="Desarrollo Social"/>
    <n v="3"/>
    <s v="Urbanización, Vivienda y Desarrollo Regional"/>
    <n v="1"/>
    <x v="69"/>
    <x v="0"/>
    <x v="154"/>
    <n v="1"/>
    <s v="Gasto corriente"/>
    <x v="0"/>
    <x v="1"/>
    <x v="0"/>
    <x v="0"/>
    <x v="0"/>
    <x v="0"/>
    <x v="0"/>
    <m/>
    <x v="0"/>
    <x v="0"/>
    <m/>
    <n v="1197874"/>
    <n v="0"/>
    <n v="0"/>
    <n v="1197874"/>
    <n v="1377555"/>
    <m/>
    <x v="1"/>
    <n v="1377555"/>
  </r>
  <r>
    <x v="1"/>
    <x v="21"/>
    <x v="21"/>
    <x v="5"/>
    <s v="Planeación, seguimiento y evaluación de políticas públicas"/>
    <x v="2"/>
    <x v="604"/>
    <x v="7"/>
    <x v="860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20363635"/>
    <n v="0"/>
    <n v="0"/>
    <n v="20363635"/>
    <n v="20202020"/>
    <m/>
    <x v="1"/>
    <n v="20202020"/>
  </r>
  <r>
    <x v="1"/>
    <x v="21"/>
    <x v="21"/>
    <x v="5"/>
    <s v="Planeación, seguimiento y evaluación de políticas públicas"/>
    <x v="2"/>
    <x v="604"/>
    <x v="53"/>
    <x v="861"/>
    <n v="2"/>
    <s v="Desarrollo Social"/>
    <n v="3"/>
    <s v="Urbanización, Vivienda y Desarrollo Regional"/>
    <n v="1"/>
    <x v="69"/>
    <x v="0"/>
    <x v="154"/>
    <n v="1"/>
    <s v="Gasto corriente"/>
    <x v="0"/>
    <x v="1"/>
    <x v="0"/>
    <x v="0"/>
    <x v="0"/>
    <x v="0"/>
    <x v="0"/>
    <m/>
    <x v="0"/>
    <x v="0"/>
    <m/>
    <n v="1935899"/>
    <n v="0"/>
    <n v="0"/>
    <n v="1935899"/>
    <n v="2226285"/>
    <m/>
    <x v="1"/>
    <n v="2226285"/>
  </r>
  <r>
    <x v="1"/>
    <x v="21"/>
    <x v="21"/>
    <x v="5"/>
    <s v="Planeación, seguimiento y evaluación de políticas públicas"/>
    <x v="2"/>
    <x v="604"/>
    <x v="53"/>
    <x v="861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26268149"/>
    <n v="0"/>
    <n v="0"/>
    <n v="26268149"/>
    <n v="29203955"/>
    <m/>
    <x v="1"/>
    <n v="29203955"/>
  </r>
  <r>
    <x v="1"/>
    <x v="21"/>
    <x v="21"/>
    <x v="5"/>
    <s v="Planeación, seguimiento y evaluación de políticas públicas"/>
    <x v="2"/>
    <x v="604"/>
    <x v="55"/>
    <x v="862"/>
    <n v="2"/>
    <s v="Desarrollo Social"/>
    <n v="3"/>
    <s v="Urbanización, Vivienda y Desarrollo Regional"/>
    <n v="1"/>
    <x v="69"/>
    <x v="0"/>
    <x v="154"/>
    <n v="1"/>
    <s v="Gasto corriente"/>
    <x v="0"/>
    <x v="1"/>
    <x v="0"/>
    <x v="0"/>
    <x v="0"/>
    <x v="0"/>
    <x v="0"/>
    <m/>
    <x v="0"/>
    <x v="0"/>
    <m/>
    <n v="1469271"/>
    <n v="0"/>
    <n v="0"/>
    <n v="1469271"/>
    <n v="1689662"/>
    <m/>
    <x v="1"/>
    <n v="1689662"/>
  </r>
  <r>
    <x v="1"/>
    <x v="21"/>
    <x v="21"/>
    <x v="5"/>
    <s v="Planeación, seguimiento y evaluación de políticas públicas"/>
    <x v="2"/>
    <x v="604"/>
    <x v="55"/>
    <x v="862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20595303"/>
    <n v="0"/>
    <n v="0"/>
    <n v="20595303"/>
    <n v="20373226"/>
    <m/>
    <x v="1"/>
    <n v="20373226"/>
  </r>
  <r>
    <x v="1"/>
    <x v="21"/>
    <x v="21"/>
    <x v="5"/>
    <s v="Planeación, seguimiento y evaluación de políticas públicas"/>
    <x v="2"/>
    <x v="604"/>
    <x v="161"/>
    <x v="863"/>
    <n v="2"/>
    <s v="Desarrollo Social"/>
    <n v="3"/>
    <s v="Urbanización, Vivienda y Desarrollo Regional"/>
    <n v="1"/>
    <x v="69"/>
    <x v="0"/>
    <x v="154"/>
    <n v="1"/>
    <s v="Gasto corriente"/>
    <x v="0"/>
    <x v="1"/>
    <x v="0"/>
    <x v="0"/>
    <x v="0"/>
    <x v="0"/>
    <x v="0"/>
    <m/>
    <x v="0"/>
    <x v="0"/>
    <m/>
    <n v="1269129"/>
    <n v="0"/>
    <n v="0"/>
    <n v="1269129"/>
    <n v="1459497"/>
    <m/>
    <x v="1"/>
    <n v="1459497"/>
  </r>
  <r>
    <x v="1"/>
    <x v="21"/>
    <x v="21"/>
    <x v="5"/>
    <s v="Planeación, seguimiento y evaluación de políticas públicas"/>
    <x v="2"/>
    <x v="604"/>
    <x v="161"/>
    <x v="863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20597282"/>
    <n v="0"/>
    <n v="0"/>
    <n v="20597282"/>
    <n v="20352479"/>
    <m/>
    <x v="1"/>
    <n v="20352479"/>
  </r>
  <r>
    <x v="1"/>
    <x v="21"/>
    <x v="21"/>
    <x v="5"/>
    <s v="Planeación, seguimiento y evaluación de políticas públicas"/>
    <x v="2"/>
    <x v="604"/>
    <x v="278"/>
    <x v="864"/>
    <n v="2"/>
    <s v="Desarrollo Social"/>
    <n v="3"/>
    <s v="Urbanización, Vivienda y Desarrollo Regional"/>
    <n v="1"/>
    <x v="69"/>
    <x v="0"/>
    <x v="154"/>
    <n v="1"/>
    <s v="Gasto corriente"/>
    <x v="0"/>
    <x v="1"/>
    <x v="0"/>
    <x v="0"/>
    <x v="0"/>
    <x v="0"/>
    <x v="0"/>
    <m/>
    <x v="0"/>
    <x v="0"/>
    <m/>
    <n v="1366732"/>
    <n v="0"/>
    <n v="0"/>
    <n v="1366732"/>
    <n v="1571743"/>
    <m/>
    <x v="1"/>
    <n v="1571743"/>
  </r>
  <r>
    <x v="1"/>
    <x v="21"/>
    <x v="21"/>
    <x v="5"/>
    <s v="Planeación, seguimiento y evaluación de políticas públicas"/>
    <x v="2"/>
    <x v="604"/>
    <x v="278"/>
    <x v="864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20178311"/>
    <n v="0"/>
    <n v="0"/>
    <n v="20178311"/>
    <n v="19847772"/>
    <m/>
    <x v="1"/>
    <n v="19847772"/>
  </r>
  <r>
    <x v="1"/>
    <x v="21"/>
    <x v="21"/>
    <x v="5"/>
    <s v="Planeación, seguimiento y evaluación de políticas públicas"/>
    <x v="2"/>
    <x v="604"/>
    <x v="247"/>
    <x v="865"/>
    <n v="2"/>
    <s v="Desarrollo Social"/>
    <n v="3"/>
    <s v="Urbanización, Vivienda y Desarrollo Regional"/>
    <n v="1"/>
    <x v="69"/>
    <x v="0"/>
    <x v="154"/>
    <n v="1"/>
    <s v="Gasto corriente"/>
    <x v="0"/>
    <x v="1"/>
    <x v="0"/>
    <x v="0"/>
    <x v="0"/>
    <x v="0"/>
    <x v="0"/>
    <m/>
    <x v="0"/>
    <x v="0"/>
    <m/>
    <n v="167823"/>
    <n v="0"/>
    <n v="0"/>
    <n v="167823"/>
    <n v="192993"/>
    <m/>
    <x v="1"/>
    <n v="192993"/>
  </r>
  <r>
    <x v="1"/>
    <x v="21"/>
    <x v="21"/>
    <x v="5"/>
    <s v="Planeación, seguimiento y evaluación de políticas públicas"/>
    <x v="2"/>
    <x v="604"/>
    <x v="247"/>
    <x v="865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7374428"/>
    <n v="0"/>
    <n v="0"/>
    <n v="7374428"/>
    <n v="7699756"/>
    <m/>
    <x v="1"/>
    <n v="7699756"/>
  </r>
  <r>
    <x v="1"/>
    <x v="21"/>
    <x v="21"/>
    <x v="5"/>
    <s v="Planeación, seguimiento y evaluación de políticas públicas"/>
    <x v="3"/>
    <x v="605"/>
    <x v="1"/>
    <x v="78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332297"/>
    <n v="0"/>
    <n v="0"/>
    <n v="1332297"/>
    <n v="1532139"/>
    <m/>
    <x v="1"/>
    <n v="1532139"/>
  </r>
  <r>
    <x v="1"/>
    <x v="21"/>
    <x v="21"/>
    <x v="5"/>
    <s v="Planeación, seguimiento y evaluación de políticas públicas"/>
    <x v="3"/>
    <x v="605"/>
    <x v="1"/>
    <x v="78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40765593"/>
    <n v="0"/>
    <n v="0"/>
    <n v="40765593"/>
    <n v="128071304"/>
    <m/>
    <x v="1"/>
    <n v="128071304"/>
  </r>
  <r>
    <x v="1"/>
    <x v="21"/>
    <x v="21"/>
    <x v="5"/>
    <s v="Planeación, seguimiento y evaluación de políticas públicas"/>
    <x v="3"/>
    <x v="605"/>
    <x v="3"/>
    <x v="842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046706"/>
    <n v="0"/>
    <n v="0"/>
    <n v="1046706"/>
    <n v="1203711"/>
    <m/>
    <x v="1"/>
    <n v="1203711"/>
  </r>
  <r>
    <x v="1"/>
    <x v="21"/>
    <x v="21"/>
    <x v="5"/>
    <s v="Planeación, seguimiento y evaluación de políticas públicas"/>
    <x v="3"/>
    <x v="605"/>
    <x v="3"/>
    <x v="842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50503804"/>
    <n v="0"/>
    <n v="0"/>
    <n v="50503804"/>
    <n v="50153172"/>
    <m/>
    <x v="1"/>
    <n v="50153172"/>
  </r>
  <r>
    <x v="1"/>
    <x v="21"/>
    <x v="21"/>
    <x v="5"/>
    <s v="Planeación, seguimiento y evaluación de políticas públicas"/>
    <x v="3"/>
    <x v="605"/>
    <x v="23"/>
    <x v="866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118559"/>
    <n v="0"/>
    <n v="0"/>
    <n v="1118559"/>
    <n v="1286341"/>
    <m/>
    <x v="1"/>
    <n v="1286341"/>
  </r>
  <r>
    <x v="1"/>
    <x v="21"/>
    <x v="21"/>
    <x v="5"/>
    <s v="Planeación, seguimiento y evaluación de políticas públicas"/>
    <x v="3"/>
    <x v="605"/>
    <x v="23"/>
    <x v="866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24055691"/>
    <n v="0"/>
    <n v="0"/>
    <n v="24055691"/>
    <n v="32184916"/>
    <m/>
    <x v="1"/>
    <n v="32184916"/>
  </r>
  <r>
    <x v="1"/>
    <x v="21"/>
    <x v="21"/>
    <x v="5"/>
    <s v="Planeación, seguimiento y evaluación de políticas públicas"/>
    <x v="3"/>
    <x v="605"/>
    <x v="20"/>
    <x v="867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671290"/>
    <n v="0"/>
    <n v="0"/>
    <n v="671290"/>
    <n v="771982"/>
    <m/>
    <x v="1"/>
    <n v="771982"/>
  </r>
  <r>
    <x v="1"/>
    <x v="21"/>
    <x v="21"/>
    <x v="5"/>
    <s v="Planeación, seguimiento y evaluación de políticas públicas"/>
    <x v="3"/>
    <x v="605"/>
    <x v="20"/>
    <x v="867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7345617"/>
    <n v="0"/>
    <n v="0"/>
    <n v="17345617"/>
    <n v="17069561"/>
    <m/>
    <x v="1"/>
    <n v="17069561"/>
  </r>
  <r>
    <x v="1"/>
    <x v="21"/>
    <x v="21"/>
    <x v="5"/>
    <s v="Planeación, seguimiento y evaluación de políticas públicas"/>
    <x v="3"/>
    <x v="605"/>
    <x v="18"/>
    <x v="852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744583"/>
    <n v="0"/>
    <n v="0"/>
    <n v="744583"/>
    <n v="856270"/>
    <m/>
    <x v="1"/>
    <n v="856270"/>
  </r>
  <r>
    <x v="1"/>
    <x v="21"/>
    <x v="21"/>
    <x v="5"/>
    <s v="Planeación, seguimiento y evaluación de políticas públicas"/>
    <x v="3"/>
    <x v="605"/>
    <x v="18"/>
    <x v="852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179900"/>
    <n v="0"/>
    <n v="0"/>
    <n v="13179900"/>
    <n v="12802545"/>
    <m/>
    <x v="1"/>
    <n v="12802545"/>
  </r>
  <r>
    <x v="1"/>
    <x v="21"/>
    <x v="21"/>
    <x v="5"/>
    <s v="Planeación, seguimiento y evaluación de políticas públicas"/>
    <x v="3"/>
    <x v="605"/>
    <x v="107"/>
    <x v="868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668011"/>
    <n v="0"/>
    <n v="0"/>
    <n v="668011"/>
    <n v="768211"/>
    <m/>
    <x v="1"/>
    <n v="768211"/>
  </r>
  <r>
    <x v="1"/>
    <x v="21"/>
    <x v="21"/>
    <x v="5"/>
    <s v="Planeación, seguimiento y evaluación de políticas públicas"/>
    <x v="3"/>
    <x v="605"/>
    <x v="107"/>
    <x v="868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420967"/>
    <n v="0"/>
    <n v="0"/>
    <n v="13420967"/>
    <n v="13249241"/>
    <m/>
    <x v="1"/>
    <n v="13249241"/>
  </r>
  <r>
    <x v="1"/>
    <x v="21"/>
    <x v="21"/>
    <x v="5"/>
    <s v="Planeación, seguimiento y evaluación de políticas públicas"/>
    <x v="3"/>
    <x v="605"/>
    <x v="83"/>
    <x v="869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747123"/>
    <n v="0"/>
    <n v="0"/>
    <n v="747123"/>
    <n v="859191"/>
    <m/>
    <x v="1"/>
    <n v="859191"/>
  </r>
  <r>
    <x v="1"/>
    <x v="21"/>
    <x v="21"/>
    <x v="5"/>
    <s v="Planeación, seguimiento y evaluación de políticas públicas"/>
    <x v="3"/>
    <x v="605"/>
    <x v="83"/>
    <x v="869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399042"/>
    <n v="0"/>
    <n v="0"/>
    <n v="13399042"/>
    <n v="13191326"/>
    <m/>
    <x v="1"/>
    <n v="13191326"/>
  </r>
  <r>
    <x v="1"/>
    <x v="21"/>
    <x v="21"/>
    <x v="5"/>
    <s v="Planeación, seguimiento y evaluación de políticas públicas"/>
    <x v="3"/>
    <x v="605"/>
    <x v="108"/>
    <x v="870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76140"/>
    <n v="0"/>
    <n v="0"/>
    <n v="976140"/>
    <n v="1122559"/>
    <m/>
    <x v="1"/>
    <n v="1122559"/>
  </r>
  <r>
    <x v="1"/>
    <x v="21"/>
    <x v="21"/>
    <x v="5"/>
    <s v="Planeación, seguimiento y evaluación de políticas públicas"/>
    <x v="3"/>
    <x v="605"/>
    <x v="108"/>
    <x v="870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840249"/>
    <n v="0"/>
    <n v="0"/>
    <n v="13840249"/>
    <n v="13480993"/>
    <m/>
    <x v="1"/>
    <n v="13480993"/>
  </r>
  <r>
    <x v="1"/>
    <x v="21"/>
    <x v="21"/>
    <x v="5"/>
    <s v="Planeación, seguimiento y evaluación de políticas públicas"/>
    <x v="3"/>
    <x v="605"/>
    <x v="109"/>
    <x v="871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592744"/>
    <n v="0"/>
    <n v="0"/>
    <n v="592744"/>
    <n v="681654"/>
    <m/>
    <x v="1"/>
    <n v="681654"/>
  </r>
  <r>
    <x v="1"/>
    <x v="21"/>
    <x v="21"/>
    <x v="5"/>
    <s v="Planeación, seguimiento y evaluación de políticas públicas"/>
    <x v="3"/>
    <x v="605"/>
    <x v="109"/>
    <x v="871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1422634"/>
    <n v="0"/>
    <n v="0"/>
    <n v="11422634"/>
    <n v="11257179"/>
    <m/>
    <x v="1"/>
    <n v="11257179"/>
  </r>
  <r>
    <x v="1"/>
    <x v="21"/>
    <x v="21"/>
    <x v="5"/>
    <s v="Planeación, seguimiento y evaluación de políticas públicas"/>
    <x v="3"/>
    <x v="605"/>
    <x v="110"/>
    <x v="872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888059"/>
    <n v="0"/>
    <n v="0"/>
    <n v="888059"/>
    <n v="1021266"/>
    <m/>
    <x v="1"/>
    <n v="1021266"/>
  </r>
  <r>
    <x v="1"/>
    <x v="21"/>
    <x v="21"/>
    <x v="5"/>
    <s v="Planeación, seguimiento y evaluación de políticas públicas"/>
    <x v="3"/>
    <x v="605"/>
    <x v="110"/>
    <x v="872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632918"/>
    <n v="0"/>
    <n v="0"/>
    <n v="13632918"/>
    <n v="13471664"/>
    <m/>
    <x v="1"/>
    <n v="13471664"/>
  </r>
  <r>
    <x v="1"/>
    <x v="21"/>
    <x v="21"/>
    <x v="5"/>
    <s v="Planeación, seguimiento y evaluación de políticas públicas"/>
    <x v="3"/>
    <x v="605"/>
    <x v="26"/>
    <x v="873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345667"/>
    <n v="0"/>
    <n v="0"/>
    <n v="1345667"/>
    <n v="1547516"/>
    <m/>
    <x v="1"/>
    <n v="1547516"/>
  </r>
  <r>
    <x v="1"/>
    <x v="21"/>
    <x v="21"/>
    <x v="5"/>
    <s v="Planeación, seguimiento y evaluación de políticas públicas"/>
    <x v="3"/>
    <x v="605"/>
    <x v="26"/>
    <x v="873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22394395"/>
    <n v="0"/>
    <n v="0"/>
    <n v="22394395"/>
    <n v="21923746"/>
    <m/>
    <x v="1"/>
    <n v="21923746"/>
  </r>
  <r>
    <x v="1"/>
    <x v="21"/>
    <x v="21"/>
    <x v="5"/>
    <s v="Planeación, seguimiento y evaluación de políticas públicas"/>
    <x v="3"/>
    <x v="605"/>
    <x v="27"/>
    <x v="874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53499"/>
    <n v="0"/>
    <n v="0"/>
    <n v="953499"/>
    <n v="1096523"/>
    <m/>
    <x v="1"/>
    <n v="1096523"/>
  </r>
  <r>
    <x v="1"/>
    <x v="21"/>
    <x v="21"/>
    <x v="5"/>
    <s v="Planeación, seguimiento y evaluación de políticas públicas"/>
    <x v="3"/>
    <x v="605"/>
    <x v="27"/>
    <x v="874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5943232"/>
    <n v="0"/>
    <n v="0"/>
    <n v="15943232"/>
    <n v="15752884"/>
    <m/>
    <x v="1"/>
    <n v="15752884"/>
  </r>
  <r>
    <x v="1"/>
    <x v="21"/>
    <x v="21"/>
    <x v="5"/>
    <s v="Planeación, seguimiento y evaluación de políticas públicas"/>
    <x v="3"/>
    <x v="605"/>
    <x v="25"/>
    <x v="875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70405"/>
    <n v="0"/>
    <n v="0"/>
    <n v="170405"/>
    <n v="195962"/>
    <m/>
    <x v="1"/>
    <n v="195962"/>
  </r>
  <r>
    <x v="1"/>
    <x v="21"/>
    <x v="21"/>
    <x v="5"/>
    <s v="Planeación, seguimiento y evaluación de políticas públicas"/>
    <x v="3"/>
    <x v="605"/>
    <x v="25"/>
    <x v="875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5264424"/>
    <n v="0"/>
    <n v="0"/>
    <n v="5264424"/>
    <n v="5174358"/>
    <m/>
    <x v="1"/>
    <n v="5174358"/>
  </r>
  <r>
    <x v="1"/>
    <x v="21"/>
    <x v="21"/>
    <x v="5"/>
    <s v="Planeación, seguimiento y evaluación de políticas públicas"/>
    <x v="3"/>
    <x v="605"/>
    <x v="28"/>
    <x v="876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266811"/>
    <n v="0"/>
    <n v="0"/>
    <n v="1266811"/>
    <n v="1456833"/>
    <m/>
    <x v="1"/>
    <n v="1456833"/>
  </r>
  <r>
    <x v="1"/>
    <x v="21"/>
    <x v="21"/>
    <x v="5"/>
    <s v="Planeación, seguimiento y evaluación de políticas públicas"/>
    <x v="3"/>
    <x v="605"/>
    <x v="28"/>
    <x v="876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7784746"/>
    <n v="0"/>
    <n v="0"/>
    <n v="17784746"/>
    <n v="17614801"/>
    <m/>
    <x v="1"/>
    <n v="17614801"/>
  </r>
  <r>
    <x v="1"/>
    <x v="21"/>
    <x v="21"/>
    <x v="5"/>
    <s v="Planeación, seguimiento y evaluación de políticas públicas"/>
    <x v="3"/>
    <x v="605"/>
    <x v="29"/>
    <x v="877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96062"/>
    <n v="0"/>
    <n v="0"/>
    <n v="996062"/>
    <n v="1145469"/>
    <m/>
    <x v="1"/>
    <n v="1145469"/>
  </r>
  <r>
    <x v="1"/>
    <x v="21"/>
    <x v="21"/>
    <x v="5"/>
    <s v="Planeación, seguimiento y evaluación de políticas públicas"/>
    <x v="3"/>
    <x v="605"/>
    <x v="29"/>
    <x v="877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5904812"/>
    <n v="0"/>
    <n v="0"/>
    <n v="15904812"/>
    <n v="15518239"/>
    <m/>
    <x v="1"/>
    <n v="15518239"/>
  </r>
  <r>
    <x v="1"/>
    <x v="21"/>
    <x v="21"/>
    <x v="5"/>
    <s v="Planeación, seguimiento y evaluación de políticas públicas"/>
    <x v="3"/>
    <x v="605"/>
    <x v="111"/>
    <x v="878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071051"/>
    <n v="0"/>
    <n v="0"/>
    <n v="1071051"/>
    <n v="1231709"/>
    <m/>
    <x v="1"/>
    <n v="1231709"/>
  </r>
  <r>
    <x v="1"/>
    <x v="21"/>
    <x v="21"/>
    <x v="5"/>
    <s v="Planeación, seguimiento y evaluación de políticas públicas"/>
    <x v="3"/>
    <x v="605"/>
    <x v="111"/>
    <x v="878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7026144"/>
    <n v="0"/>
    <n v="0"/>
    <n v="17026144"/>
    <n v="16708354"/>
    <m/>
    <x v="1"/>
    <n v="16708354"/>
  </r>
  <r>
    <x v="1"/>
    <x v="21"/>
    <x v="21"/>
    <x v="5"/>
    <s v="Planeación, seguimiento y evaluación de políticas públicas"/>
    <x v="3"/>
    <x v="605"/>
    <x v="121"/>
    <x v="879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49946"/>
    <n v="0"/>
    <n v="0"/>
    <n v="949946"/>
    <n v="1092436"/>
    <m/>
    <x v="1"/>
    <n v="1092436"/>
  </r>
  <r>
    <x v="1"/>
    <x v="21"/>
    <x v="21"/>
    <x v="5"/>
    <s v="Planeación, seguimiento y evaluación de políticas públicas"/>
    <x v="3"/>
    <x v="605"/>
    <x v="121"/>
    <x v="879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4726872"/>
    <n v="0"/>
    <n v="0"/>
    <n v="14726872"/>
    <n v="14555141"/>
    <m/>
    <x v="1"/>
    <n v="14555141"/>
  </r>
  <r>
    <x v="1"/>
    <x v="21"/>
    <x v="21"/>
    <x v="5"/>
    <s v="Planeación, seguimiento y evaluación de políticas públicas"/>
    <x v="3"/>
    <x v="605"/>
    <x v="122"/>
    <x v="880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706925"/>
    <n v="0"/>
    <n v="0"/>
    <n v="706925"/>
    <n v="812961"/>
    <m/>
    <x v="1"/>
    <n v="812961"/>
  </r>
  <r>
    <x v="1"/>
    <x v="21"/>
    <x v="21"/>
    <x v="5"/>
    <s v="Planeación, seguimiento y evaluación de políticas públicas"/>
    <x v="3"/>
    <x v="605"/>
    <x v="122"/>
    <x v="880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4058694"/>
    <n v="0"/>
    <n v="0"/>
    <n v="14058694"/>
    <n v="13674893"/>
    <m/>
    <x v="1"/>
    <n v="13674893"/>
  </r>
  <r>
    <x v="1"/>
    <x v="21"/>
    <x v="21"/>
    <x v="5"/>
    <s v="Planeación, seguimiento y evaluación de políticas públicas"/>
    <x v="3"/>
    <x v="605"/>
    <x v="113"/>
    <x v="881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142387"/>
    <n v="0"/>
    <n v="0"/>
    <n v="1142387"/>
    <n v="1313745"/>
    <m/>
    <x v="1"/>
    <n v="1313745"/>
  </r>
  <r>
    <x v="1"/>
    <x v="21"/>
    <x v="21"/>
    <x v="5"/>
    <s v="Planeación, seguimiento y evaluación de políticas públicas"/>
    <x v="3"/>
    <x v="605"/>
    <x v="113"/>
    <x v="881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7257919"/>
    <n v="0"/>
    <n v="0"/>
    <n v="17257919"/>
    <n v="17068671"/>
    <m/>
    <x v="1"/>
    <n v="17068671"/>
  </r>
  <r>
    <x v="1"/>
    <x v="21"/>
    <x v="21"/>
    <x v="5"/>
    <s v="Planeación, seguimiento y evaluación de políticas públicas"/>
    <x v="3"/>
    <x v="605"/>
    <x v="112"/>
    <x v="882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154635"/>
    <n v="0"/>
    <n v="0"/>
    <n v="1154635"/>
    <n v="1327828"/>
    <m/>
    <x v="1"/>
    <n v="1327828"/>
  </r>
  <r>
    <x v="1"/>
    <x v="21"/>
    <x v="21"/>
    <x v="5"/>
    <s v="Planeación, seguimiento y evaluación de políticas públicas"/>
    <x v="3"/>
    <x v="605"/>
    <x v="112"/>
    <x v="882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6911968"/>
    <n v="0"/>
    <n v="0"/>
    <n v="16911968"/>
    <n v="16724197"/>
    <m/>
    <x v="1"/>
    <n v="16724197"/>
  </r>
  <r>
    <x v="1"/>
    <x v="21"/>
    <x v="21"/>
    <x v="5"/>
    <s v="Planeación, seguimiento y evaluación de políticas públicas"/>
    <x v="3"/>
    <x v="605"/>
    <x v="123"/>
    <x v="883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714600"/>
    <n v="0"/>
    <n v="0"/>
    <n v="714600"/>
    <n v="821788"/>
    <m/>
    <x v="1"/>
    <n v="821788"/>
  </r>
  <r>
    <x v="1"/>
    <x v="21"/>
    <x v="21"/>
    <x v="5"/>
    <s v="Planeación, seguimiento y evaluación de políticas públicas"/>
    <x v="3"/>
    <x v="605"/>
    <x v="123"/>
    <x v="883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2418775"/>
    <n v="0"/>
    <n v="0"/>
    <n v="12418775"/>
    <n v="12242744"/>
    <m/>
    <x v="1"/>
    <n v="12242744"/>
  </r>
  <r>
    <x v="1"/>
    <x v="21"/>
    <x v="21"/>
    <x v="5"/>
    <s v="Planeación, seguimiento y evaluación de políticas públicas"/>
    <x v="3"/>
    <x v="605"/>
    <x v="116"/>
    <x v="884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180977"/>
    <n v="0"/>
    <n v="0"/>
    <n v="1180977"/>
    <n v="1358122"/>
    <m/>
    <x v="1"/>
    <n v="1358122"/>
  </r>
  <r>
    <x v="1"/>
    <x v="21"/>
    <x v="21"/>
    <x v="5"/>
    <s v="Planeación, seguimiento y evaluación de políticas públicas"/>
    <x v="3"/>
    <x v="605"/>
    <x v="116"/>
    <x v="884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6938641"/>
    <n v="0"/>
    <n v="0"/>
    <n v="16938641"/>
    <n v="16758432"/>
    <m/>
    <x v="1"/>
    <n v="16758432"/>
  </r>
  <r>
    <x v="1"/>
    <x v="21"/>
    <x v="21"/>
    <x v="5"/>
    <s v="Planeación, seguimiento y evaluación de políticas públicas"/>
    <x v="3"/>
    <x v="605"/>
    <x v="114"/>
    <x v="885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562999"/>
    <n v="0"/>
    <n v="0"/>
    <n v="562999"/>
    <n v="647447"/>
    <m/>
    <x v="1"/>
    <n v="647447"/>
  </r>
  <r>
    <x v="1"/>
    <x v="21"/>
    <x v="21"/>
    <x v="5"/>
    <s v="Planeación, seguimiento y evaluación de políticas públicas"/>
    <x v="3"/>
    <x v="605"/>
    <x v="114"/>
    <x v="885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1658015"/>
    <n v="0"/>
    <n v="0"/>
    <n v="11658015"/>
    <n v="10914778"/>
    <m/>
    <x v="1"/>
    <n v="10914778"/>
  </r>
  <r>
    <x v="1"/>
    <x v="21"/>
    <x v="21"/>
    <x v="5"/>
    <s v="Planeación, seguimiento y evaluación de políticas públicas"/>
    <x v="3"/>
    <x v="605"/>
    <x v="117"/>
    <x v="886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64782"/>
    <n v="0"/>
    <n v="0"/>
    <n v="964782"/>
    <n v="1109497"/>
    <m/>
    <x v="1"/>
    <n v="1109497"/>
  </r>
  <r>
    <x v="1"/>
    <x v="21"/>
    <x v="21"/>
    <x v="5"/>
    <s v="Planeación, seguimiento y evaluación de políticas públicas"/>
    <x v="3"/>
    <x v="605"/>
    <x v="117"/>
    <x v="886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5340947"/>
    <n v="0"/>
    <n v="0"/>
    <n v="15340947"/>
    <n v="15161586"/>
    <m/>
    <x v="1"/>
    <n v="15161586"/>
  </r>
  <r>
    <x v="1"/>
    <x v="21"/>
    <x v="21"/>
    <x v="5"/>
    <s v="Planeación, seguimiento y evaluación de políticas públicas"/>
    <x v="3"/>
    <x v="605"/>
    <x v="124"/>
    <x v="887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853728"/>
    <n v="0"/>
    <n v="0"/>
    <n v="853728"/>
    <n v="981786"/>
    <m/>
    <x v="1"/>
    <n v="981786"/>
  </r>
  <r>
    <x v="1"/>
    <x v="21"/>
    <x v="21"/>
    <x v="5"/>
    <s v="Planeación, seguimiento y evaluación de políticas públicas"/>
    <x v="3"/>
    <x v="605"/>
    <x v="124"/>
    <x v="887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6681567"/>
    <n v="0"/>
    <n v="0"/>
    <n v="16681567"/>
    <n v="16503006"/>
    <m/>
    <x v="1"/>
    <n v="16503006"/>
  </r>
  <r>
    <x v="1"/>
    <x v="21"/>
    <x v="21"/>
    <x v="5"/>
    <s v="Planeación, seguimiento y evaluación de políticas públicas"/>
    <x v="3"/>
    <x v="605"/>
    <x v="125"/>
    <x v="888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61707"/>
    <n v="0"/>
    <n v="0"/>
    <n v="961707"/>
    <n v="1105962"/>
    <m/>
    <x v="1"/>
    <n v="1105962"/>
  </r>
  <r>
    <x v="1"/>
    <x v="21"/>
    <x v="21"/>
    <x v="5"/>
    <s v="Planeación, seguimiento y evaluación de políticas públicas"/>
    <x v="3"/>
    <x v="605"/>
    <x v="125"/>
    <x v="888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4714287"/>
    <n v="0"/>
    <n v="0"/>
    <n v="14714287"/>
    <n v="14529786"/>
    <m/>
    <x v="1"/>
    <n v="14529786"/>
  </r>
  <r>
    <x v="1"/>
    <x v="21"/>
    <x v="21"/>
    <x v="5"/>
    <s v="Planeación, seguimiento y evaluación de políticas públicas"/>
    <x v="3"/>
    <x v="605"/>
    <x v="126"/>
    <x v="889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717897"/>
    <n v="0"/>
    <n v="0"/>
    <n v="717897"/>
    <n v="825580"/>
    <m/>
    <x v="1"/>
    <n v="825580"/>
  </r>
  <r>
    <x v="1"/>
    <x v="21"/>
    <x v="21"/>
    <x v="5"/>
    <s v="Planeación, seguimiento y evaluación de políticas públicas"/>
    <x v="3"/>
    <x v="605"/>
    <x v="126"/>
    <x v="889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2944608"/>
    <n v="0"/>
    <n v="0"/>
    <n v="12944608"/>
    <n v="12745368"/>
    <m/>
    <x v="1"/>
    <n v="12745368"/>
  </r>
  <r>
    <x v="1"/>
    <x v="21"/>
    <x v="21"/>
    <x v="5"/>
    <s v="Planeación, seguimiento y evaluación de políticas públicas"/>
    <x v="3"/>
    <x v="605"/>
    <x v="127"/>
    <x v="890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662905"/>
    <n v="0"/>
    <n v="0"/>
    <n v="662905"/>
    <n v="762340"/>
    <m/>
    <x v="1"/>
    <n v="762340"/>
  </r>
  <r>
    <x v="1"/>
    <x v="21"/>
    <x v="21"/>
    <x v="5"/>
    <s v="Planeación, seguimiento y evaluación de políticas públicas"/>
    <x v="3"/>
    <x v="605"/>
    <x v="127"/>
    <x v="890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2784036"/>
    <n v="0"/>
    <n v="0"/>
    <n v="12784036"/>
    <n v="12600752"/>
    <m/>
    <x v="1"/>
    <n v="12600752"/>
  </r>
  <r>
    <x v="1"/>
    <x v="21"/>
    <x v="21"/>
    <x v="5"/>
    <s v="Planeación, seguimiento y evaluación de políticas públicas"/>
    <x v="3"/>
    <x v="605"/>
    <x v="128"/>
    <x v="891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674260"/>
    <n v="0"/>
    <n v="0"/>
    <n v="674260"/>
    <n v="775397"/>
    <m/>
    <x v="1"/>
    <n v="775397"/>
  </r>
  <r>
    <x v="1"/>
    <x v="21"/>
    <x v="21"/>
    <x v="5"/>
    <s v="Planeación, seguimiento y evaluación de políticas públicas"/>
    <x v="3"/>
    <x v="605"/>
    <x v="128"/>
    <x v="891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2874775"/>
    <n v="0"/>
    <n v="0"/>
    <n v="12874775"/>
    <n v="12685681"/>
    <m/>
    <x v="1"/>
    <n v="12685681"/>
  </r>
  <r>
    <x v="1"/>
    <x v="21"/>
    <x v="21"/>
    <x v="5"/>
    <s v="Planeación, seguimiento y evaluación de políticas públicas"/>
    <x v="3"/>
    <x v="605"/>
    <x v="129"/>
    <x v="892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686392"/>
    <n v="0"/>
    <n v="0"/>
    <n v="686392"/>
    <n v="789348"/>
    <m/>
    <x v="1"/>
    <n v="789348"/>
  </r>
  <r>
    <x v="1"/>
    <x v="21"/>
    <x v="21"/>
    <x v="5"/>
    <s v="Planeación, seguimiento y evaluación de políticas públicas"/>
    <x v="3"/>
    <x v="605"/>
    <x v="129"/>
    <x v="892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462072"/>
    <n v="0"/>
    <n v="0"/>
    <n v="13462072"/>
    <n v="13296194"/>
    <m/>
    <x v="1"/>
    <n v="13296194"/>
  </r>
  <r>
    <x v="1"/>
    <x v="21"/>
    <x v="21"/>
    <x v="5"/>
    <s v="Planeación, seguimiento y evaluación de políticas públicas"/>
    <x v="3"/>
    <x v="605"/>
    <x v="130"/>
    <x v="893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01918"/>
    <n v="0"/>
    <n v="0"/>
    <n v="901918"/>
    <n v="1037204"/>
    <m/>
    <x v="1"/>
    <n v="1037204"/>
  </r>
  <r>
    <x v="1"/>
    <x v="21"/>
    <x v="21"/>
    <x v="5"/>
    <s v="Planeación, seguimiento y evaluación de políticas públicas"/>
    <x v="3"/>
    <x v="605"/>
    <x v="130"/>
    <x v="893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7153227"/>
    <n v="0"/>
    <n v="0"/>
    <n v="17153227"/>
    <n v="15448066"/>
    <m/>
    <x v="1"/>
    <n v="15448066"/>
  </r>
  <r>
    <x v="1"/>
    <x v="21"/>
    <x v="21"/>
    <x v="5"/>
    <s v="Planeación, seguimiento y evaluación de políticas públicas"/>
    <x v="3"/>
    <x v="605"/>
    <x v="131"/>
    <x v="894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880463"/>
    <n v="0"/>
    <n v="0"/>
    <n v="880463"/>
    <n v="1012530"/>
    <m/>
    <x v="1"/>
    <n v="1012530"/>
  </r>
  <r>
    <x v="1"/>
    <x v="21"/>
    <x v="21"/>
    <x v="5"/>
    <s v="Planeación, seguimiento y evaluación de políticas públicas"/>
    <x v="3"/>
    <x v="605"/>
    <x v="131"/>
    <x v="894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4872255"/>
    <n v="0"/>
    <n v="0"/>
    <n v="14872255"/>
    <n v="14672824"/>
    <m/>
    <x v="1"/>
    <n v="14672824"/>
  </r>
  <r>
    <x v="1"/>
    <x v="21"/>
    <x v="21"/>
    <x v="5"/>
    <s v="Planeación, seguimiento y evaluación de políticas públicas"/>
    <x v="3"/>
    <x v="605"/>
    <x v="132"/>
    <x v="895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22287"/>
    <n v="0"/>
    <n v="0"/>
    <n v="922287"/>
    <n v="1060629"/>
    <m/>
    <x v="1"/>
    <n v="1060629"/>
  </r>
  <r>
    <x v="1"/>
    <x v="21"/>
    <x v="21"/>
    <x v="5"/>
    <s v="Planeación, seguimiento y evaluación de políticas públicas"/>
    <x v="3"/>
    <x v="605"/>
    <x v="132"/>
    <x v="895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4507667"/>
    <n v="0"/>
    <n v="0"/>
    <n v="14507667"/>
    <n v="14330388"/>
    <m/>
    <x v="1"/>
    <n v="14330388"/>
  </r>
  <r>
    <x v="1"/>
    <x v="21"/>
    <x v="21"/>
    <x v="5"/>
    <s v="Planeación, seguimiento y evaluación de políticas públicas"/>
    <x v="3"/>
    <x v="605"/>
    <x v="133"/>
    <x v="896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469186"/>
    <n v="0"/>
    <n v="0"/>
    <n v="1469186"/>
    <n v="1689563"/>
    <m/>
    <x v="1"/>
    <n v="1689563"/>
  </r>
  <r>
    <x v="1"/>
    <x v="21"/>
    <x v="21"/>
    <x v="5"/>
    <s v="Planeación, seguimiento y evaluación de políticas públicas"/>
    <x v="3"/>
    <x v="605"/>
    <x v="133"/>
    <x v="896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20746036"/>
    <n v="0"/>
    <n v="0"/>
    <n v="20746036"/>
    <n v="20507919"/>
    <m/>
    <x v="1"/>
    <n v="20507919"/>
  </r>
  <r>
    <x v="1"/>
    <x v="21"/>
    <x v="21"/>
    <x v="5"/>
    <s v="Planeación, seguimiento y evaluación de políticas públicas"/>
    <x v="3"/>
    <x v="605"/>
    <x v="134"/>
    <x v="897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032498"/>
    <n v="0"/>
    <n v="0"/>
    <n v="1032498"/>
    <n v="1187371"/>
    <m/>
    <x v="1"/>
    <n v="1187371"/>
  </r>
  <r>
    <x v="1"/>
    <x v="21"/>
    <x v="21"/>
    <x v="5"/>
    <s v="Planeación, seguimiento y evaluación de políticas públicas"/>
    <x v="3"/>
    <x v="605"/>
    <x v="134"/>
    <x v="897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7069475"/>
    <n v="0"/>
    <n v="0"/>
    <n v="17069475"/>
    <n v="16863425"/>
    <m/>
    <x v="1"/>
    <n v="16863425"/>
  </r>
  <r>
    <x v="1"/>
    <x v="21"/>
    <x v="21"/>
    <x v="5"/>
    <s v="Planeación, seguimiento y evaluación de políticas públicas"/>
    <x v="3"/>
    <x v="605"/>
    <x v="135"/>
    <x v="898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126193"/>
    <n v="0"/>
    <n v="0"/>
    <n v="1126193"/>
    <n v="1295121"/>
    <m/>
    <x v="1"/>
    <n v="1295121"/>
  </r>
  <r>
    <x v="1"/>
    <x v="21"/>
    <x v="21"/>
    <x v="5"/>
    <s v="Planeación, seguimiento y evaluación de políticas públicas"/>
    <x v="3"/>
    <x v="605"/>
    <x v="135"/>
    <x v="898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6733116"/>
    <n v="0"/>
    <n v="0"/>
    <n v="16733116"/>
    <n v="16553240"/>
    <m/>
    <x v="1"/>
    <n v="16553240"/>
  </r>
  <r>
    <x v="1"/>
    <x v="21"/>
    <x v="21"/>
    <x v="5"/>
    <s v="Planeación, seguimiento y evaluación de políticas públicas"/>
    <x v="3"/>
    <x v="605"/>
    <x v="0"/>
    <x v="899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360134"/>
    <n v="0"/>
    <n v="0"/>
    <n v="360134"/>
    <n v="414153"/>
    <m/>
    <x v="1"/>
    <n v="414153"/>
  </r>
  <r>
    <x v="1"/>
    <x v="21"/>
    <x v="21"/>
    <x v="5"/>
    <s v="Planeación, seguimiento y evaluación de políticas públicas"/>
    <x v="3"/>
    <x v="605"/>
    <x v="0"/>
    <x v="899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045927"/>
    <n v="0"/>
    <n v="0"/>
    <n v="13045927"/>
    <n v="12831865"/>
    <m/>
    <x v="1"/>
    <n v="12831865"/>
  </r>
  <r>
    <x v="1"/>
    <x v="21"/>
    <x v="21"/>
    <x v="5"/>
    <s v="Planeación, seguimiento y evaluación de políticas públicas"/>
    <x v="3"/>
    <x v="605"/>
    <x v="4"/>
    <x v="900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923835"/>
    <n v="0"/>
    <n v="0"/>
    <n v="923835"/>
    <n v="1062410"/>
    <m/>
    <x v="1"/>
    <n v="1062410"/>
  </r>
  <r>
    <x v="1"/>
    <x v="21"/>
    <x v="21"/>
    <x v="5"/>
    <s v="Planeación, seguimiento y evaluación de políticas públicas"/>
    <x v="3"/>
    <x v="605"/>
    <x v="4"/>
    <x v="900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7196579"/>
    <n v="0"/>
    <n v="0"/>
    <n v="17196579"/>
    <n v="16943241"/>
    <m/>
    <x v="1"/>
    <n v="16943241"/>
  </r>
  <r>
    <x v="1"/>
    <x v="21"/>
    <x v="21"/>
    <x v="5"/>
    <s v="Planeación, seguimiento y evaluación de políticas públicas"/>
    <x v="3"/>
    <x v="605"/>
    <x v="5"/>
    <x v="901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447569"/>
    <n v="0"/>
    <n v="0"/>
    <n v="1447569"/>
    <n v="1664704"/>
    <m/>
    <x v="1"/>
    <n v="1664704"/>
  </r>
  <r>
    <x v="1"/>
    <x v="21"/>
    <x v="21"/>
    <x v="5"/>
    <s v="Planeación, seguimiento y evaluación de políticas públicas"/>
    <x v="3"/>
    <x v="605"/>
    <x v="5"/>
    <x v="901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25461125"/>
    <n v="0"/>
    <n v="0"/>
    <n v="25461125"/>
    <n v="25112825"/>
    <m/>
    <x v="1"/>
    <n v="25112825"/>
  </r>
  <r>
    <x v="1"/>
    <x v="21"/>
    <x v="21"/>
    <x v="5"/>
    <s v="Planeación, seguimiento y evaluación de políticas públicas"/>
    <x v="3"/>
    <x v="605"/>
    <x v="50"/>
    <x v="902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664679"/>
    <n v="0"/>
    <n v="0"/>
    <n v="1664679"/>
    <n v="1914381"/>
    <m/>
    <x v="1"/>
    <n v="1914381"/>
  </r>
  <r>
    <x v="1"/>
    <x v="21"/>
    <x v="21"/>
    <x v="5"/>
    <s v="Planeación, seguimiento y evaluación de políticas públicas"/>
    <x v="3"/>
    <x v="605"/>
    <x v="50"/>
    <x v="902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35020969"/>
    <n v="0"/>
    <n v="0"/>
    <n v="35020969"/>
    <n v="34511887"/>
    <m/>
    <x v="1"/>
    <n v="34511887"/>
  </r>
  <r>
    <x v="1"/>
    <x v="21"/>
    <x v="21"/>
    <x v="5"/>
    <s v="Planeación, seguimiento y evaluación de políticas públicas"/>
    <x v="3"/>
    <x v="605"/>
    <x v="51"/>
    <x v="903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306115"/>
    <n v="0"/>
    <n v="0"/>
    <n v="1306115"/>
    <n v="1502031"/>
    <m/>
    <x v="1"/>
    <n v="1502031"/>
  </r>
  <r>
    <x v="1"/>
    <x v="21"/>
    <x v="21"/>
    <x v="5"/>
    <s v="Planeación, seguimiento y evaluación de políticas públicas"/>
    <x v="3"/>
    <x v="605"/>
    <x v="51"/>
    <x v="903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29164817"/>
    <n v="0"/>
    <n v="0"/>
    <n v="29164817"/>
    <n v="28691055"/>
    <m/>
    <x v="1"/>
    <n v="28691055"/>
  </r>
  <r>
    <x v="1"/>
    <x v="21"/>
    <x v="21"/>
    <x v="5"/>
    <s v="Planeación, seguimiento y evaluación de políticas públicas"/>
    <x v="3"/>
    <x v="605"/>
    <x v="52"/>
    <x v="904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985946"/>
    <n v="0"/>
    <n v="0"/>
    <n v="1985946"/>
    <n v="2283840"/>
    <m/>
    <x v="1"/>
    <n v="2283840"/>
  </r>
  <r>
    <x v="1"/>
    <x v="21"/>
    <x v="21"/>
    <x v="5"/>
    <s v="Planeación, seguimiento y evaluación de políticas públicas"/>
    <x v="3"/>
    <x v="605"/>
    <x v="52"/>
    <x v="904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32493809"/>
    <n v="0"/>
    <n v="0"/>
    <n v="32493809"/>
    <n v="32076578"/>
    <m/>
    <x v="1"/>
    <n v="32076578"/>
  </r>
  <r>
    <x v="1"/>
    <x v="21"/>
    <x v="21"/>
    <x v="5"/>
    <s v="Planeación, seguimiento y evaluación de políticas públicas"/>
    <x v="3"/>
    <x v="605"/>
    <x v="58"/>
    <x v="905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756401"/>
    <n v="0"/>
    <n v="0"/>
    <n v="756401"/>
    <n v="869860"/>
    <m/>
    <x v="1"/>
    <n v="869860"/>
  </r>
  <r>
    <x v="1"/>
    <x v="21"/>
    <x v="21"/>
    <x v="5"/>
    <s v="Planeación, seguimiento y evaluación de políticas públicas"/>
    <x v="3"/>
    <x v="605"/>
    <x v="58"/>
    <x v="905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8075273"/>
    <n v="0"/>
    <n v="0"/>
    <n v="18075273"/>
    <n v="17830423"/>
    <m/>
    <x v="1"/>
    <n v="17830423"/>
  </r>
  <r>
    <x v="1"/>
    <x v="21"/>
    <x v="21"/>
    <x v="5"/>
    <s v="Planeación, seguimiento y evaluación de políticas públicas"/>
    <x v="3"/>
    <x v="605"/>
    <x v="59"/>
    <x v="906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1196114"/>
    <n v="0"/>
    <n v="0"/>
    <n v="1196114"/>
    <n v="1375559"/>
    <m/>
    <x v="1"/>
    <n v="1375559"/>
  </r>
  <r>
    <x v="1"/>
    <x v="21"/>
    <x v="21"/>
    <x v="5"/>
    <s v="Planeación, seguimiento y evaluación de políticas públicas"/>
    <x v="3"/>
    <x v="605"/>
    <x v="59"/>
    <x v="906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8701040"/>
    <n v="0"/>
    <n v="0"/>
    <n v="18701040"/>
    <n v="18489177"/>
    <m/>
    <x v="1"/>
    <n v="18489177"/>
  </r>
  <r>
    <x v="1"/>
    <x v="21"/>
    <x v="21"/>
    <x v="5"/>
    <s v="Planeación, seguimiento y evaluación de políticas públicas"/>
    <x v="3"/>
    <x v="605"/>
    <x v="74"/>
    <x v="907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372226"/>
    <n v="0"/>
    <n v="0"/>
    <n v="372226"/>
    <n v="428058"/>
    <m/>
    <x v="1"/>
    <n v="428058"/>
  </r>
  <r>
    <x v="1"/>
    <x v="21"/>
    <x v="21"/>
    <x v="5"/>
    <s v="Planeación, seguimiento y evaluación de políticas públicas"/>
    <x v="3"/>
    <x v="605"/>
    <x v="74"/>
    <x v="907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43913372"/>
    <n v="0"/>
    <n v="0"/>
    <n v="43913372"/>
    <n v="131306453"/>
    <m/>
    <x v="1"/>
    <n v="131306453"/>
  </r>
  <r>
    <x v="1"/>
    <x v="21"/>
    <x v="21"/>
    <x v="5"/>
    <s v="Planeación, seguimiento y evaluación de políticas públicas"/>
    <x v="3"/>
    <x v="605"/>
    <x v="75"/>
    <x v="908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377597"/>
    <n v="0"/>
    <n v="0"/>
    <n v="377597"/>
    <n v="434234"/>
    <m/>
    <x v="1"/>
    <n v="434234"/>
  </r>
  <r>
    <x v="1"/>
    <x v="21"/>
    <x v="21"/>
    <x v="5"/>
    <s v="Planeación, seguimiento y evaluación de políticas públicas"/>
    <x v="3"/>
    <x v="605"/>
    <x v="75"/>
    <x v="908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1585493"/>
    <n v="0"/>
    <n v="0"/>
    <n v="11585493"/>
    <n v="11585377"/>
    <m/>
    <x v="1"/>
    <n v="11585377"/>
  </r>
  <r>
    <x v="1"/>
    <x v="21"/>
    <x v="21"/>
    <x v="5"/>
    <s v="Planeación, seguimiento y evaluación de políticas públicas"/>
    <x v="3"/>
    <x v="605"/>
    <x v="72"/>
    <x v="909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230695"/>
    <n v="0"/>
    <n v="0"/>
    <n v="230695"/>
    <n v="265296"/>
    <m/>
    <x v="1"/>
    <n v="265296"/>
  </r>
  <r>
    <x v="1"/>
    <x v="21"/>
    <x v="21"/>
    <x v="5"/>
    <s v="Planeación, seguimiento y evaluación de políticas públicas"/>
    <x v="3"/>
    <x v="605"/>
    <x v="72"/>
    <x v="909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7675159"/>
    <n v="0"/>
    <n v="0"/>
    <n v="7675159"/>
    <n v="7519241"/>
    <m/>
    <x v="1"/>
    <n v="7519241"/>
  </r>
  <r>
    <x v="1"/>
    <x v="21"/>
    <x v="21"/>
    <x v="5"/>
    <s v="Planeación, seguimiento y evaluación de políticas públicas"/>
    <x v="3"/>
    <x v="605"/>
    <x v="76"/>
    <x v="910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550399"/>
    <n v="0"/>
    <n v="0"/>
    <n v="550399"/>
    <n v="632957"/>
    <m/>
    <x v="1"/>
    <n v="632957"/>
  </r>
  <r>
    <x v="1"/>
    <x v="21"/>
    <x v="21"/>
    <x v="5"/>
    <s v="Planeación, seguimiento y evaluación de políticas públicas"/>
    <x v="3"/>
    <x v="605"/>
    <x v="76"/>
    <x v="910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26821768"/>
    <n v="0"/>
    <n v="0"/>
    <n v="26821768"/>
    <n v="26637121"/>
    <m/>
    <x v="1"/>
    <n v="26637121"/>
  </r>
  <r>
    <x v="1"/>
    <x v="21"/>
    <x v="21"/>
    <x v="5"/>
    <s v="Planeación, seguimiento y evaluación de políticas públicas"/>
    <x v="3"/>
    <x v="605"/>
    <x v="77"/>
    <x v="911"/>
    <n v="2"/>
    <s v="Desarrollo Social"/>
    <n v="5"/>
    <s v="Asistencia Social"/>
    <n v="3"/>
    <x v="54"/>
    <x v="9"/>
    <x v="152"/>
    <n v="1"/>
    <s v="Gasto corriente"/>
    <x v="0"/>
    <x v="1"/>
    <x v="0"/>
    <x v="0"/>
    <x v="0"/>
    <x v="0"/>
    <x v="0"/>
    <m/>
    <x v="0"/>
    <x v="0"/>
    <m/>
    <n v="451163"/>
    <n v="0"/>
    <n v="0"/>
    <n v="451163"/>
    <n v="518836"/>
    <m/>
    <x v="1"/>
    <n v="518836"/>
  </r>
  <r>
    <x v="1"/>
    <x v="21"/>
    <x v="21"/>
    <x v="5"/>
    <s v="Planeación, seguimiento y evaluación de políticas públicas"/>
    <x v="3"/>
    <x v="605"/>
    <x v="77"/>
    <x v="911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285617"/>
    <n v="0"/>
    <n v="0"/>
    <n v="13285617"/>
    <n v="13017095"/>
    <m/>
    <x v="1"/>
    <n v="13017095"/>
  </r>
  <r>
    <x v="1"/>
    <x v="21"/>
    <x v="21"/>
    <x v="5"/>
    <s v="Planeación, seguimiento y evaluación de políticas públicas"/>
    <x v="4"/>
    <x v="606"/>
    <x v="410"/>
    <x v="858"/>
    <n v="2"/>
    <s v="Desarrollo Social"/>
    <n v="3"/>
    <s v="Urbanización, Vivienda y Desarrollo Regional"/>
    <n v="3"/>
    <x v="70"/>
    <x v="14"/>
    <x v="155"/>
    <n v="1"/>
    <s v="Gasto corriente"/>
    <x v="0"/>
    <x v="1"/>
    <x v="0"/>
    <x v="0"/>
    <x v="0"/>
    <x v="0"/>
    <x v="0"/>
    <m/>
    <x v="0"/>
    <x v="0"/>
    <m/>
    <n v="517302"/>
    <n v="0"/>
    <n v="0"/>
    <n v="517302"/>
    <m/>
    <m/>
    <x v="1"/>
    <n v="0"/>
  </r>
  <r>
    <x v="1"/>
    <x v="21"/>
    <x v="21"/>
    <x v="5"/>
    <s v="Planeación, seguimiento y evaluación de políticas públicas"/>
    <x v="4"/>
    <x v="606"/>
    <x v="410"/>
    <x v="858"/>
    <n v="2"/>
    <s v="Desarrollo Social"/>
    <n v="3"/>
    <s v="Urbanización, Vivienda y Desarrollo Regional"/>
    <n v="3"/>
    <x v="70"/>
    <x v="14"/>
    <x v="155"/>
    <n v="1"/>
    <s v="Gasto corriente"/>
    <x v="0"/>
    <x v="0"/>
    <x v="0"/>
    <x v="0"/>
    <x v="0"/>
    <x v="0"/>
    <x v="0"/>
    <m/>
    <x v="0"/>
    <x v="1"/>
    <m/>
    <n v="151347631"/>
    <n v="0"/>
    <n v="-6526674"/>
    <n v="144820957"/>
    <n v="132592492"/>
    <m/>
    <x v="1"/>
    <n v="132592492"/>
  </r>
  <r>
    <x v="1"/>
    <x v="21"/>
    <x v="21"/>
    <x v="5"/>
    <s v="Planeación, seguimiento y evaluación de políticas públicas"/>
    <x v="4"/>
    <x v="606"/>
    <x v="410"/>
    <x v="858"/>
    <n v="2"/>
    <s v="Desarrollo Social"/>
    <n v="3"/>
    <s v="Urbanización, Vivienda y Desarrollo Regional"/>
    <n v="3"/>
    <x v="70"/>
    <x v="14"/>
    <x v="155"/>
    <n v="2"/>
    <s v="Gasto de capital"/>
    <x v="0"/>
    <x v="0"/>
    <x v="0"/>
    <x v="0"/>
    <x v="0"/>
    <x v="0"/>
    <x v="0"/>
    <m/>
    <x v="0"/>
    <x v="1"/>
    <m/>
    <n v="4000000"/>
    <n v="0"/>
    <n v="-300000"/>
    <n v="3700000"/>
    <n v="700000"/>
    <m/>
    <x v="1"/>
    <n v="700000"/>
  </r>
  <r>
    <x v="1"/>
    <x v="21"/>
    <x v="21"/>
    <x v="1"/>
    <s v="Específicos"/>
    <x v="10"/>
    <x v="607"/>
    <x v="75"/>
    <x v="908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3000000"/>
    <n v="0"/>
    <n v="0"/>
    <n v="13000000"/>
    <n v="13281845"/>
    <m/>
    <x v="1"/>
    <n v="13281845"/>
  </r>
  <r>
    <x v="1"/>
    <x v="21"/>
    <x v="21"/>
    <x v="1"/>
    <s v="Específicos"/>
    <x v="10"/>
    <x v="607"/>
    <x v="72"/>
    <x v="909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14000000"/>
    <n v="0"/>
    <n v="0"/>
    <n v="14000000"/>
    <n v="12500000"/>
    <m/>
    <x v="1"/>
    <n v="12500000"/>
  </r>
  <r>
    <x v="1"/>
    <x v="21"/>
    <x v="21"/>
    <x v="1"/>
    <s v="Específicos"/>
    <x v="10"/>
    <x v="607"/>
    <x v="77"/>
    <x v="911"/>
    <n v="2"/>
    <s v="Desarrollo Social"/>
    <n v="5"/>
    <s v="Asistencia Social"/>
    <n v="3"/>
    <x v="54"/>
    <x v="9"/>
    <x v="152"/>
    <n v="1"/>
    <s v="Gasto corriente"/>
    <x v="0"/>
    <x v="0"/>
    <x v="0"/>
    <x v="0"/>
    <x v="0"/>
    <x v="0"/>
    <x v="0"/>
    <m/>
    <x v="0"/>
    <x v="0"/>
    <m/>
    <n v="5732500"/>
    <n v="0"/>
    <n v="-210494"/>
    <n v="5522006"/>
    <n v="3137106"/>
    <m/>
    <x v="1"/>
    <n v="3137106"/>
  </r>
  <r>
    <x v="1"/>
    <x v="21"/>
    <x v="21"/>
    <x v="1"/>
    <s v="Específicos"/>
    <x v="11"/>
    <x v="608"/>
    <x v="7"/>
    <x v="860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5132054"/>
    <n v="0"/>
    <n v="0"/>
    <n v="5132054"/>
    <n v="6000000"/>
    <m/>
    <x v="1"/>
    <n v="6000000"/>
  </r>
  <r>
    <x v="1"/>
    <x v="21"/>
    <x v="21"/>
    <x v="1"/>
    <s v="Específicos"/>
    <x v="11"/>
    <x v="608"/>
    <x v="53"/>
    <x v="861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7628017"/>
    <n v="0"/>
    <n v="-165448"/>
    <n v="7462569"/>
    <n v="7062569"/>
    <m/>
    <x v="1"/>
    <n v="7062569"/>
  </r>
  <r>
    <x v="1"/>
    <x v="21"/>
    <x v="21"/>
    <x v="1"/>
    <s v="Específicos"/>
    <x v="11"/>
    <x v="608"/>
    <x v="55"/>
    <x v="862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7628017"/>
    <n v="0"/>
    <n v="0"/>
    <n v="7628017"/>
    <n v="5728017"/>
    <m/>
    <x v="1"/>
    <n v="5728017"/>
  </r>
  <r>
    <x v="1"/>
    <x v="21"/>
    <x v="21"/>
    <x v="1"/>
    <s v="Específicos"/>
    <x v="11"/>
    <x v="608"/>
    <x v="278"/>
    <x v="864"/>
    <n v="2"/>
    <s v="Desarrollo Social"/>
    <n v="3"/>
    <s v="Urbanización, Vivienda y Desarrollo Regional"/>
    <n v="1"/>
    <x v="69"/>
    <x v="0"/>
    <x v="154"/>
    <n v="1"/>
    <s v="Gasto corriente"/>
    <x v="0"/>
    <x v="0"/>
    <x v="0"/>
    <x v="0"/>
    <x v="0"/>
    <x v="0"/>
    <x v="0"/>
    <m/>
    <x v="0"/>
    <x v="0"/>
    <m/>
    <n v="5339612"/>
    <n v="0"/>
    <n v="0"/>
    <n v="5339612"/>
    <n v="5039612"/>
    <m/>
    <x v="1"/>
    <n v="5039612"/>
  </r>
  <r>
    <x v="1"/>
    <x v="21"/>
    <x v="21"/>
    <x v="11"/>
    <s v="Sujetos a Reglas de Operación"/>
    <x v="70"/>
    <x v="597"/>
    <x v="18"/>
    <x v="852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07"/>
    <x v="868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07"/>
    <x v="868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83"/>
    <x v="869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83"/>
    <x v="869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08"/>
    <x v="870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08"/>
    <x v="870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09"/>
    <x v="871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09"/>
    <x v="871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10"/>
    <x v="872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10"/>
    <x v="872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26"/>
    <x v="873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26"/>
    <x v="873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27"/>
    <x v="874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27"/>
    <x v="874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25"/>
    <x v="875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25"/>
    <x v="875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28"/>
    <x v="876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28"/>
    <x v="876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29"/>
    <x v="877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29"/>
    <x v="877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11"/>
    <x v="878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11"/>
    <x v="878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1"/>
    <x v="879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1"/>
    <x v="879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2"/>
    <x v="880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2"/>
    <x v="880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13"/>
    <x v="881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13"/>
    <x v="881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12"/>
    <x v="882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12"/>
    <x v="882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3"/>
    <x v="883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3"/>
    <x v="883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16"/>
    <x v="884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16"/>
    <x v="884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14"/>
    <x v="885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14"/>
    <x v="885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17"/>
    <x v="886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17"/>
    <x v="886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4"/>
    <x v="887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4"/>
    <x v="887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5"/>
    <x v="888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5"/>
    <x v="888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6"/>
    <x v="889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6"/>
    <x v="889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7"/>
    <x v="890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7"/>
    <x v="890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8"/>
    <x v="891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8"/>
    <x v="891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29"/>
    <x v="892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29"/>
    <x v="892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30"/>
    <x v="893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30"/>
    <x v="893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31"/>
    <x v="894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31"/>
    <x v="894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32"/>
    <x v="895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32"/>
    <x v="895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33"/>
    <x v="896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33"/>
    <x v="896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34"/>
    <x v="897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34"/>
    <x v="897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35"/>
    <x v="898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100000"/>
    <n v="0"/>
    <n v="0"/>
    <n v="100000"/>
    <n v="10100000"/>
    <m/>
    <x v="1"/>
    <n v="10100000"/>
  </r>
  <r>
    <x v="1"/>
    <x v="21"/>
    <x v="21"/>
    <x v="11"/>
    <s v="Sujetos a Reglas de Operación"/>
    <x v="70"/>
    <x v="597"/>
    <x v="135"/>
    <x v="898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0"/>
    <m/>
    <x v="0"/>
    <x v="0"/>
    <m/>
    <n v="10000000"/>
    <n v="0"/>
    <n v="0"/>
    <n v="10000000"/>
    <m/>
    <m/>
    <x v="1"/>
    <n v="0"/>
  </r>
  <r>
    <x v="1"/>
    <x v="21"/>
    <x v="21"/>
    <x v="11"/>
    <s v="Sujetos a Reglas de Operación"/>
    <x v="70"/>
    <x v="597"/>
    <x v="161"/>
    <x v="863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1"/>
    <m/>
    <x v="0"/>
    <x v="0"/>
    <m/>
    <n v="1292481069"/>
    <n v="1000000000"/>
    <n v="-25875112"/>
    <n v="2266605957"/>
    <n v="2685607350"/>
    <m/>
    <x v="1"/>
    <n v="2685607350"/>
  </r>
  <r>
    <x v="1"/>
    <x v="21"/>
    <x v="21"/>
    <x v="11"/>
    <s v="Sujetos a Reglas de Operación"/>
    <x v="70"/>
    <x v="597"/>
    <x v="161"/>
    <x v="863"/>
    <n v="2"/>
    <s v="Desarrollo Social"/>
    <n v="3"/>
    <s v="Urbanización, Vivienda y Desarrollo Regional"/>
    <n v="1"/>
    <x v="69"/>
    <x v="1"/>
    <x v="150"/>
    <n v="2"/>
    <s v="Gasto de capital"/>
    <x v="0"/>
    <x v="0"/>
    <x v="0"/>
    <x v="0"/>
    <x v="0"/>
    <x v="0"/>
    <x v="1"/>
    <m/>
    <x v="0"/>
    <x v="0"/>
    <m/>
    <n v="1130035789"/>
    <n v="0"/>
    <n v="0"/>
    <n v="1130035789"/>
    <m/>
    <m/>
    <x v="1"/>
    <n v="0"/>
  </r>
  <r>
    <x v="1"/>
    <x v="21"/>
    <x v="21"/>
    <x v="11"/>
    <s v="Sujetos a Reglas de Operación"/>
    <x v="70"/>
    <x v="597"/>
    <x v="76"/>
    <x v="910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m/>
    <m/>
    <m/>
    <m/>
    <n v="2600000"/>
    <m/>
    <x v="1"/>
    <n v="2600000"/>
  </r>
  <r>
    <x v="1"/>
    <x v="21"/>
    <x v="21"/>
    <x v="11"/>
    <s v="Sujetos a Reglas de Operación"/>
    <x v="136"/>
    <x v="609"/>
    <x v="412"/>
    <x v="912"/>
    <n v="2"/>
    <s v="Desarrollo Social"/>
    <n v="5"/>
    <s v="Asistencia Social"/>
    <n v="3"/>
    <x v="54"/>
    <x v="16"/>
    <x v="156"/>
    <n v="1"/>
    <s v="Gasto corriente"/>
    <x v="0"/>
    <x v="0"/>
    <x v="1"/>
    <x v="0"/>
    <x v="1"/>
    <x v="0"/>
    <x v="0"/>
    <m/>
    <x v="0"/>
    <x v="0"/>
    <m/>
    <n v="1580018900"/>
    <n v="250000000"/>
    <n v="-48600000"/>
    <n v="1781418900"/>
    <n v="1781418900"/>
    <m/>
    <x v="1"/>
    <n v="1781418900"/>
  </r>
  <r>
    <x v="1"/>
    <x v="21"/>
    <x v="21"/>
    <x v="11"/>
    <s v="Sujetos a Reglas de Operación"/>
    <x v="136"/>
    <x v="609"/>
    <x v="412"/>
    <x v="912"/>
    <n v="2"/>
    <s v="Desarrollo Social"/>
    <n v="5"/>
    <s v="Asistencia Social"/>
    <n v="3"/>
    <x v="54"/>
    <x v="16"/>
    <x v="156"/>
    <n v="2"/>
    <s v="Gasto de capital"/>
    <x v="0"/>
    <x v="0"/>
    <x v="1"/>
    <x v="0"/>
    <x v="1"/>
    <x v="0"/>
    <x v="0"/>
    <m/>
    <x v="0"/>
    <x v="0"/>
    <m/>
    <n v="226485800"/>
    <n v="0"/>
    <n v="-11900000"/>
    <n v="214585800"/>
    <n v="214585800"/>
    <m/>
    <x v="1"/>
    <n v="214585800"/>
  </r>
  <r>
    <x v="1"/>
    <x v="21"/>
    <x v="21"/>
    <x v="11"/>
    <s v="Sujetos a Reglas de Operación"/>
    <x v="137"/>
    <x v="610"/>
    <x v="4"/>
    <x v="900"/>
    <n v="2"/>
    <s v="Desarrollo Social"/>
    <n v="3"/>
    <s v="Urbanización, Vivienda y Desarrollo Regional"/>
    <n v="3"/>
    <x v="70"/>
    <x v="11"/>
    <x v="153"/>
    <n v="1"/>
    <s v="Gasto corriente"/>
    <x v="0"/>
    <x v="0"/>
    <x v="1"/>
    <x v="0"/>
    <x v="0"/>
    <x v="0"/>
    <x v="0"/>
    <m/>
    <x v="0"/>
    <x v="0"/>
    <m/>
    <n v="491980950"/>
    <n v="0"/>
    <n v="-3163793"/>
    <n v="488817157"/>
    <n v="487441265"/>
    <m/>
    <x v="1"/>
    <n v="487441265"/>
  </r>
  <r>
    <x v="1"/>
    <x v="21"/>
    <x v="21"/>
    <x v="11"/>
    <s v="Sujetos a Reglas de Operación"/>
    <x v="74"/>
    <x v="611"/>
    <x v="411"/>
    <x v="859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89470792"/>
    <n v="0"/>
    <n v="-3475362"/>
    <n v="85995430"/>
    <n v="87922446"/>
    <m/>
    <x v="1"/>
    <n v="87922446"/>
  </r>
  <r>
    <x v="1"/>
    <x v="21"/>
    <x v="21"/>
    <x v="11"/>
    <s v="Sujetos a Reglas de Operación"/>
    <x v="138"/>
    <x v="612"/>
    <x v="413"/>
    <x v="913"/>
    <n v="2"/>
    <s v="Desarrollo Social"/>
    <n v="3"/>
    <s v="Urbanización, Vivienda y Desarrollo Regional"/>
    <n v="2"/>
    <x v="23"/>
    <x v="4"/>
    <x v="158"/>
    <n v="1"/>
    <s v="Gasto corriente"/>
    <x v="0"/>
    <x v="0"/>
    <x v="1"/>
    <x v="0"/>
    <x v="1"/>
    <x v="1"/>
    <x v="1"/>
    <m/>
    <x v="0"/>
    <x v="0"/>
    <m/>
    <n v="1821085335"/>
    <n v="0"/>
    <n v="-12068538"/>
    <n v="1809016797"/>
    <n v="1613892933"/>
    <m/>
    <x v="117"/>
    <n v="1655892933"/>
  </r>
  <r>
    <x v="1"/>
    <x v="21"/>
    <x v="21"/>
    <x v="11"/>
    <s v="Sujetos a Reglas de Operación"/>
    <x v="138"/>
    <x v="612"/>
    <x v="413"/>
    <x v="913"/>
    <n v="2"/>
    <s v="Desarrollo Social"/>
    <n v="3"/>
    <s v="Urbanización, Vivienda y Desarrollo Regional"/>
    <n v="2"/>
    <x v="23"/>
    <x v="4"/>
    <x v="158"/>
    <n v="2"/>
    <s v="Gasto de capital"/>
    <x v="0"/>
    <x v="0"/>
    <x v="1"/>
    <x v="0"/>
    <x v="1"/>
    <x v="0"/>
    <x v="1"/>
    <m/>
    <x v="0"/>
    <x v="0"/>
    <m/>
    <n v="8963865"/>
    <n v="0"/>
    <n v="0"/>
    <n v="8963865"/>
    <n v="6655939"/>
    <m/>
    <x v="1"/>
    <n v="6655939"/>
  </r>
  <r>
    <x v="1"/>
    <x v="21"/>
    <x v="21"/>
    <x v="11"/>
    <s v="Sujetos a Reglas de Operación"/>
    <x v="105"/>
    <x v="613"/>
    <x v="18"/>
    <x v="852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661714"/>
    <m/>
    <x v="1"/>
    <n v="661714"/>
  </r>
  <r>
    <x v="1"/>
    <x v="21"/>
    <x v="21"/>
    <x v="11"/>
    <s v="Sujetos a Reglas de Operación"/>
    <x v="105"/>
    <x v="613"/>
    <x v="18"/>
    <x v="852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654580"/>
    <n v="0"/>
    <n v="0"/>
    <n v="654580"/>
    <m/>
    <m/>
    <x v="1"/>
    <n v="0"/>
  </r>
  <r>
    <x v="1"/>
    <x v="21"/>
    <x v="21"/>
    <x v="11"/>
    <s v="Sujetos a Reglas de Operación"/>
    <x v="105"/>
    <x v="613"/>
    <x v="108"/>
    <x v="870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78743"/>
    <m/>
    <x v="1"/>
    <n v="178743"/>
  </r>
  <r>
    <x v="1"/>
    <x v="21"/>
    <x v="21"/>
    <x v="11"/>
    <s v="Sujetos a Reglas de Operación"/>
    <x v="105"/>
    <x v="613"/>
    <x v="108"/>
    <x v="870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53139"/>
    <n v="0"/>
    <n v="0"/>
    <n v="153139"/>
    <m/>
    <m/>
    <x v="1"/>
    <n v="0"/>
  </r>
  <r>
    <x v="1"/>
    <x v="21"/>
    <x v="21"/>
    <x v="11"/>
    <s v="Sujetos a Reglas de Operación"/>
    <x v="105"/>
    <x v="613"/>
    <x v="110"/>
    <x v="872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755981"/>
    <m/>
    <x v="1"/>
    <n v="755981"/>
  </r>
  <r>
    <x v="1"/>
    <x v="21"/>
    <x v="21"/>
    <x v="11"/>
    <s v="Sujetos a Reglas de Operación"/>
    <x v="105"/>
    <x v="613"/>
    <x v="110"/>
    <x v="872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752452"/>
    <n v="0"/>
    <n v="0"/>
    <n v="752452"/>
    <m/>
    <m/>
    <x v="1"/>
    <n v="0"/>
  </r>
  <r>
    <x v="1"/>
    <x v="21"/>
    <x v="21"/>
    <x v="11"/>
    <s v="Sujetos a Reglas de Operación"/>
    <x v="105"/>
    <x v="613"/>
    <x v="26"/>
    <x v="873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755981"/>
    <m/>
    <x v="1"/>
    <n v="755981"/>
  </r>
  <r>
    <x v="1"/>
    <x v="21"/>
    <x v="21"/>
    <x v="11"/>
    <s v="Sujetos a Reglas de Operación"/>
    <x v="105"/>
    <x v="613"/>
    <x v="26"/>
    <x v="873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752452"/>
    <n v="0"/>
    <n v="0"/>
    <n v="752452"/>
    <m/>
    <m/>
    <x v="1"/>
    <n v="0"/>
  </r>
  <r>
    <x v="1"/>
    <x v="21"/>
    <x v="21"/>
    <x v="11"/>
    <s v="Sujetos a Reglas de Operación"/>
    <x v="105"/>
    <x v="613"/>
    <x v="27"/>
    <x v="874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548488"/>
    <m/>
    <x v="1"/>
    <n v="548488"/>
  </r>
  <r>
    <x v="1"/>
    <x v="21"/>
    <x v="21"/>
    <x v="11"/>
    <s v="Sujetos a Reglas de Operación"/>
    <x v="105"/>
    <x v="613"/>
    <x v="27"/>
    <x v="874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532047"/>
    <n v="0"/>
    <n v="0"/>
    <n v="532047"/>
    <m/>
    <m/>
    <x v="1"/>
    <n v="0"/>
  </r>
  <r>
    <x v="1"/>
    <x v="21"/>
    <x v="21"/>
    <x v="11"/>
    <s v="Sujetos a Reglas de Operación"/>
    <x v="105"/>
    <x v="613"/>
    <x v="25"/>
    <x v="875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240791"/>
    <m/>
    <x v="1"/>
    <n v="240791"/>
  </r>
  <r>
    <x v="1"/>
    <x v="21"/>
    <x v="21"/>
    <x v="11"/>
    <s v="Sujetos a Reglas de Operación"/>
    <x v="105"/>
    <x v="613"/>
    <x v="25"/>
    <x v="875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250000"/>
    <n v="0"/>
    <n v="0"/>
    <n v="250000"/>
    <m/>
    <m/>
    <x v="1"/>
    <n v="0"/>
  </r>
  <r>
    <x v="1"/>
    <x v="21"/>
    <x v="21"/>
    <x v="11"/>
    <s v="Sujetos a Reglas de Operación"/>
    <x v="105"/>
    <x v="613"/>
    <x v="28"/>
    <x v="876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683357"/>
    <m/>
    <x v="1"/>
    <n v="1683357"/>
  </r>
  <r>
    <x v="1"/>
    <x v="21"/>
    <x v="21"/>
    <x v="11"/>
    <s v="Sujetos a Reglas de Operación"/>
    <x v="105"/>
    <x v="613"/>
    <x v="28"/>
    <x v="876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668366"/>
    <n v="0"/>
    <n v="0"/>
    <n v="1668366"/>
    <m/>
    <m/>
    <x v="1"/>
    <n v="0"/>
  </r>
  <r>
    <x v="1"/>
    <x v="21"/>
    <x v="21"/>
    <x v="11"/>
    <s v="Sujetos a Reglas de Operación"/>
    <x v="105"/>
    <x v="613"/>
    <x v="29"/>
    <x v="877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5283729"/>
    <m/>
    <x v="1"/>
    <n v="5283729"/>
  </r>
  <r>
    <x v="1"/>
    <x v="21"/>
    <x v="21"/>
    <x v="11"/>
    <s v="Sujetos a Reglas de Operación"/>
    <x v="105"/>
    <x v="613"/>
    <x v="29"/>
    <x v="877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5338280"/>
    <n v="0"/>
    <n v="0"/>
    <n v="5338280"/>
    <m/>
    <m/>
    <x v="1"/>
    <n v="0"/>
  </r>
  <r>
    <x v="1"/>
    <x v="21"/>
    <x v="21"/>
    <x v="11"/>
    <s v="Sujetos a Reglas de Operación"/>
    <x v="105"/>
    <x v="613"/>
    <x v="111"/>
    <x v="878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409697"/>
    <m/>
    <x v="1"/>
    <n v="1409697"/>
  </r>
  <r>
    <x v="1"/>
    <x v="21"/>
    <x v="21"/>
    <x v="11"/>
    <s v="Sujetos a Reglas de Operación"/>
    <x v="105"/>
    <x v="613"/>
    <x v="111"/>
    <x v="878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415339"/>
    <n v="0"/>
    <n v="0"/>
    <n v="1415339"/>
    <m/>
    <m/>
    <x v="1"/>
    <n v="0"/>
  </r>
  <r>
    <x v="1"/>
    <x v="21"/>
    <x v="21"/>
    <x v="11"/>
    <s v="Sujetos a Reglas de Operación"/>
    <x v="105"/>
    <x v="613"/>
    <x v="121"/>
    <x v="879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482694"/>
    <m/>
    <x v="1"/>
    <n v="1482694"/>
  </r>
  <r>
    <x v="1"/>
    <x v="21"/>
    <x v="21"/>
    <x v="11"/>
    <s v="Sujetos a Reglas de Operación"/>
    <x v="105"/>
    <x v="613"/>
    <x v="121"/>
    <x v="879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437053"/>
    <n v="0"/>
    <n v="0"/>
    <n v="1437053"/>
    <m/>
    <m/>
    <x v="1"/>
    <n v="0"/>
  </r>
  <r>
    <x v="1"/>
    <x v="21"/>
    <x v="21"/>
    <x v="11"/>
    <s v="Sujetos a Reglas de Operación"/>
    <x v="105"/>
    <x v="613"/>
    <x v="122"/>
    <x v="880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0239111"/>
    <m/>
    <x v="1"/>
    <n v="10239111"/>
  </r>
  <r>
    <x v="1"/>
    <x v="21"/>
    <x v="21"/>
    <x v="11"/>
    <s v="Sujetos a Reglas de Operación"/>
    <x v="105"/>
    <x v="613"/>
    <x v="122"/>
    <x v="880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0228238"/>
    <n v="0"/>
    <n v="0"/>
    <n v="10228238"/>
    <m/>
    <m/>
    <x v="1"/>
    <n v="0"/>
  </r>
  <r>
    <x v="1"/>
    <x v="21"/>
    <x v="21"/>
    <x v="11"/>
    <s v="Sujetos a Reglas de Operación"/>
    <x v="105"/>
    <x v="613"/>
    <x v="113"/>
    <x v="881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698281"/>
    <m/>
    <x v="1"/>
    <n v="1698281"/>
  </r>
  <r>
    <x v="1"/>
    <x v="21"/>
    <x v="21"/>
    <x v="11"/>
    <s v="Sujetos a Reglas de Operación"/>
    <x v="105"/>
    <x v="613"/>
    <x v="113"/>
    <x v="881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716446"/>
    <n v="0"/>
    <n v="0"/>
    <n v="1716446"/>
    <m/>
    <m/>
    <x v="1"/>
    <n v="0"/>
  </r>
  <r>
    <x v="1"/>
    <x v="21"/>
    <x v="21"/>
    <x v="11"/>
    <s v="Sujetos a Reglas de Operación"/>
    <x v="105"/>
    <x v="613"/>
    <x v="112"/>
    <x v="882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5616520"/>
    <m/>
    <x v="1"/>
    <n v="5616520"/>
  </r>
  <r>
    <x v="1"/>
    <x v="21"/>
    <x v="21"/>
    <x v="11"/>
    <s v="Sujetos a Reglas de Operación"/>
    <x v="105"/>
    <x v="613"/>
    <x v="112"/>
    <x v="882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5639749"/>
    <n v="0"/>
    <n v="0"/>
    <n v="5639749"/>
    <m/>
    <m/>
    <x v="1"/>
    <n v="0"/>
  </r>
  <r>
    <x v="1"/>
    <x v="21"/>
    <x v="21"/>
    <x v="11"/>
    <s v="Sujetos a Reglas de Operación"/>
    <x v="105"/>
    <x v="613"/>
    <x v="123"/>
    <x v="883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524941"/>
    <m/>
    <x v="1"/>
    <n v="524941"/>
  </r>
  <r>
    <x v="1"/>
    <x v="21"/>
    <x v="21"/>
    <x v="11"/>
    <s v="Sujetos a Reglas de Operación"/>
    <x v="105"/>
    <x v="613"/>
    <x v="123"/>
    <x v="883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512577"/>
    <n v="0"/>
    <n v="0"/>
    <n v="512577"/>
    <m/>
    <m/>
    <x v="1"/>
    <n v="0"/>
  </r>
  <r>
    <x v="1"/>
    <x v="21"/>
    <x v="21"/>
    <x v="11"/>
    <s v="Sujetos a Reglas de Operación"/>
    <x v="105"/>
    <x v="613"/>
    <x v="116"/>
    <x v="884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694273"/>
    <m/>
    <x v="1"/>
    <n v="1694273"/>
  </r>
  <r>
    <x v="1"/>
    <x v="21"/>
    <x v="21"/>
    <x v="11"/>
    <s v="Sujetos a Reglas de Operación"/>
    <x v="105"/>
    <x v="613"/>
    <x v="116"/>
    <x v="884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702481"/>
    <n v="0"/>
    <n v="0"/>
    <n v="1702481"/>
    <m/>
    <m/>
    <x v="1"/>
    <n v="0"/>
  </r>
  <r>
    <x v="1"/>
    <x v="21"/>
    <x v="21"/>
    <x v="11"/>
    <s v="Sujetos a Reglas de Operación"/>
    <x v="105"/>
    <x v="613"/>
    <x v="114"/>
    <x v="885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582942"/>
    <m/>
    <x v="1"/>
    <n v="582942"/>
  </r>
  <r>
    <x v="1"/>
    <x v="21"/>
    <x v="21"/>
    <x v="11"/>
    <s v="Sujetos a Reglas de Operación"/>
    <x v="105"/>
    <x v="613"/>
    <x v="114"/>
    <x v="885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572796"/>
    <n v="0"/>
    <n v="0"/>
    <n v="572796"/>
    <m/>
    <m/>
    <x v="1"/>
    <n v="0"/>
  </r>
  <r>
    <x v="1"/>
    <x v="21"/>
    <x v="21"/>
    <x v="11"/>
    <s v="Sujetos a Reglas de Operación"/>
    <x v="105"/>
    <x v="613"/>
    <x v="117"/>
    <x v="886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2314556"/>
    <m/>
    <x v="1"/>
    <n v="2314556"/>
  </r>
  <r>
    <x v="1"/>
    <x v="21"/>
    <x v="21"/>
    <x v="11"/>
    <s v="Sujetos a Reglas de Operación"/>
    <x v="105"/>
    <x v="613"/>
    <x v="117"/>
    <x v="886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2340339"/>
    <n v="0"/>
    <n v="0"/>
    <n v="2340339"/>
    <m/>
    <m/>
    <x v="1"/>
    <n v="0"/>
  </r>
  <r>
    <x v="1"/>
    <x v="21"/>
    <x v="21"/>
    <x v="11"/>
    <s v="Sujetos a Reglas de Operación"/>
    <x v="105"/>
    <x v="613"/>
    <x v="124"/>
    <x v="887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427807"/>
    <m/>
    <x v="1"/>
    <n v="1427807"/>
  </r>
  <r>
    <x v="1"/>
    <x v="21"/>
    <x v="21"/>
    <x v="11"/>
    <s v="Sujetos a Reglas de Operación"/>
    <x v="105"/>
    <x v="613"/>
    <x v="124"/>
    <x v="887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438776"/>
    <n v="0"/>
    <n v="0"/>
    <n v="1438776"/>
    <m/>
    <m/>
    <x v="1"/>
    <n v="0"/>
  </r>
  <r>
    <x v="1"/>
    <x v="21"/>
    <x v="21"/>
    <x v="11"/>
    <s v="Sujetos a Reglas de Operación"/>
    <x v="105"/>
    <x v="613"/>
    <x v="125"/>
    <x v="888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695829"/>
    <m/>
    <x v="1"/>
    <n v="695829"/>
  </r>
  <r>
    <x v="1"/>
    <x v="21"/>
    <x v="21"/>
    <x v="11"/>
    <s v="Sujetos a Reglas de Operación"/>
    <x v="105"/>
    <x v="613"/>
    <x v="125"/>
    <x v="888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683488"/>
    <n v="0"/>
    <n v="0"/>
    <n v="683488"/>
    <m/>
    <m/>
    <x v="1"/>
    <n v="0"/>
  </r>
  <r>
    <x v="1"/>
    <x v="21"/>
    <x v="21"/>
    <x v="11"/>
    <s v="Sujetos a Reglas de Operación"/>
    <x v="105"/>
    <x v="613"/>
    <x v="126"/>
    <x v="889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73190"/>
    <m/>
    <x v="1"/>
    <n v="173190"/>
  </r>
  <r>
    <x v="1"/>
    <x v="21"/>
    <x v="21"/>
    <x v="11"/>
    <s v="Sujetos a Reglas de Operación"/>
    <x v="105"/>
    <x v="613"/>
    <x v="126"/>
    <x v="889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47373"/>
    <n v="0"/>
    <n v="0"/>
    <n v="147373"/>
    <m/>
    <m/>
    <x v="1"/>
    <n v="0"/>
  </r>
  <r>
    <x v="1"/>
    <x v="21"/>
    <x v="21"/>
    <x v="11"/>
    <s v="Sujetos a Reglas de Operación"/>
    <x v="105"/>
    <x v="613"/>
    <x v="127"/>
    <x v="890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4518327"/>
    <m/>
    <x v="1"/>
    <n v="4518327"/>
  </r>
  <r>
    <x v="1"/>
    <x v="21"/>
    <x v="21"/>
    <x v="11"/>
    <s v="Sujetos a Reglas de Operación"/>
    <x v="105"/>
    <x v="613"/>
    <x v="127"/>
    <x v="890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4646513"/>
    <n v="0"/>
    <n v="0"/>
    <n v="4646513"/>
    <m/>
    <m/>
    <x v="1"/>
    <n v="0"/>
  </r>
  <r>
    <x v="1"/>
    <x v="21"/>
    <x v="21"/>
    <x v="11"/>
    <s v="Sujetos a Reglas de Operación"/>
    <x v="105"/>
    <x v="613"/>
    <x v="128"/>
    <x v="891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880583"/>
    <m/>
    <x v="1"/>
    <n v="880583"/>
  </r>
  <r>
    <x v="1"/>
    <x v="21"/>
    <x v="21"/>
    <x v="11"/>
    <s v="Sujetos a Reglas de Operación"/>
    <x v="105"/>
    <x v="613"/>
    <x v="128"/>
    <x v="891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881820"/>
    <n v="0"/>
    <n v="0"/>
    <n v="881820"/>
    <m/>
    <m/>
    <x v="1"/>
    <n v="0"/>
  </r>
  <r>
    <x v="1"/>
    <x v="21"/>
    <x v="21"/>
    <x v="11"/>
    <s v="Sujetos a Reglas de Operación"/>
    <x v="105"/>
    <x v="613"/>
    <x v="129"/>
    <x v="892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504887"/>
    <m/>
    <x v="1"/>
    <n v="504887"/>
  </r>
  <r>
    <x v="1"/>
    <x v="21"/>
    <x v="21"/>
    <x v="11"/>
    <s v="Sujetos a Reglas de Operación"/>
    <x v="105"/>
    <x v="613"/>
    <x v="129"/>
    <x v="892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491756"/>
    <n v="0"/>
    <n v="0"/>
    <n v="491756"/>
    <m/>
    <m/>
    <x v="1"/>
    <n v="0"/>
  </r>
  <r>
    <x v="1"/>
    <x v="21"/>
    <x v="21"/>
    <x v="11"/>
    <s v="Sujetos a Reglas de Operación"/>
    <x v="105"/>
    <x v="613"/>
    <x v="130"/>
    <x v="893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272036"/>
    <m/>
    <x v="1"/>
    <n v="272036"/>
  </r>
  <r>
    <x v="1"/>
    <x v="21"/>
    <x v="21"/>
    <x v="11"/>
    <s v="Sujetos a Reglas de Operación"/>
    <x v="105"/>
    <x v="613"/>
    <x v="130"/>
    <x v="893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250000"/>
    <n v="0"/>
    <n v="0"/>
    <n v="250000"/>
    <m/>
    <m/>
    <x v="1"/>
    <n v="0"/>
  </r>
  <r>
    <x v="1"/>
    <x v="21"/>
    <x v="21"/>
    <x v="11"/>
    <s v="Sujetos a Reglas de Operación"/>
    <x v="105"/>
    <x v="613"/>
    <x v="131"/>
    <x v="894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606629"/>
    <m/>
    <x v="1"/>
    <n v="606629"/>
  </r>
  <r>
    <x v="1"/>
    <x v="21"/>
    <x v="21"/>
    <x v="11"/>
    <s v="Sujetos a Reglas de Operación"/>
    <x v="105"/>
    <x v="613"/>
    <x v="131"/>
    <x v="894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553314"/>
    <n v="0"/>
    <n v="0"/>
    <n v="553314"/>
    <m/>
    <m/>
    <x v="1"/>
    <n v="0"/>
  </r>
  <r>
    <x v="1"/>
    <x v="21"/>
    <x v="21"/>
    <x v="11"/>
    <s v="Sujetos a Reglas de Operación"/>
    <x v="105"/>
    <x v="613"/>
    <x v="132"/>
    <x v="895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608724"/>
    <m/>
    <x v="1"/>
    <n v="608724"/>
  </r>
  <r>
    <x v="1"/>
    <x v="21"/>
    <x v="21"/>
    <x v="11"/>
    <s v="Sujetos a Reglas de Operación"/>
    <x v="105"/>
    <x v="613"/>
    <x v="132"/>
    <x v="895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599295"/>
    <n v="0"/>
    <n v="0"/>
    <n v="599295"/>
    <m/>
    <m/>
    <x v="1"/>
    <n v="0"/>
  </r>
  <r>
    <x v="1"/>
    <x v="21"/>
    <x v="21"/>
    <x v="11"/>
    <s v="Sujetos a Reglas de Operación"/>
    <x v="105"/>
    <x v="613"/>
    <x v="133"/>
    <x v="896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963169"/>
    <m/>
    <x v="1"/>
    <n v="963169"/>
  </r>
  <r>
    <x v="1"/>
    <x v="21"/>
    <x v="21"/>
    <x v="11"/>
    <s v="Sujetos a Reglas de Operación"/>
    <x v="105"/>
    <x v="613"/>
    <x v="133"/>
    <x v="896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963003"/>
    <n v="0"/>
    <n v="0"/>
    <n v="963003"/>
    <m/>
    <m/>
    <x v="1"/>
    <n v="0"/>
  </r>
  <r>
    <x v="1"/>
    <x v="21"/>
    <x v="21"/>
    <x v="11"/>
    <s v="Sujetos a Reglas de Operación"/>
    <x v="105"/>
    <x v="613"/>
    <x v="134"/>
    <x v="897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1068685"/>
    <m/>
    <x v="1"/>
    <n v="1068685"/>
  </r>
  <r>
    <x v="1"/>
    <x v="21"/>
    <x v="21"/>
    <x v="11"/>
    <s v="Sujetos a Reglas de Operación"/>
    <x v="105"/>
    <x v="613"/>
    <x v="134"/>
    <x v="897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1014650"/>
    <n v="0"/>
    <n v="0"/>
    <n v="1014650"/>
    <m/>
    <m/>
    <x v="1"/>
    <n v="0"/>
  </r>
  <r>
    <x v="1"/>
    <x v="21"/>
    <x v="21"/>
    <x v="11"/>
    <s v="Sujetos a Reglas de Operación"/>
    <x v="105"/>
    <x v="613"/>
    <x v="135"/>
    <x v="898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9608335"/>
    <m/>
    <x v="1"/>
    <n v="9608335"/>
  </r>
  <r>
    <x v="1"/>
    <x v="21"/>
    <x v="21"/>
    <x v="11"/>
    <s v="Sujetos a Reglas de Operación"/>
    <x v="105"/>
    <x v="613"/>
    <x v="135"/>
    <x v="898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9767078"/>
    <n v="0"/>
    <n v="0"/>
    <n v="9767078"/>
    <m/>
    <m/>
    <x v="1"/>
    <n v="0"/>
  </r>
  <r>
    <x v="1"/>
    <x v="21"/>
    <x v="21"/>
    <x v="11"/>
    <s v="Sujetos a Reglas de Operación"/>
    <x v="105"/>
    <x v="613"/>
    <x v="50"/>
    <x v="902"/>
    <n v="2"/>
    <s v="Desarrollo Social"/>
    <n v="3"/>
    <s v="Urbanización, Vivienda y Desarrollo Regional"/>
    <n v="3"/>
    <x v="70"/>
    <x v="6"/>
    <x v="151"/>
    <n v="1"/>
    <s v="Gasto corriente"/>
    <x v="0"/>
    <x v="0"/>
    <x v="1"/>
    <x v="0"/>
    <x v="0"/>
    <x v="0"/>
    <x v="0"/>
    <m/>
    <x v="0"/>
    <x v="0"/>
    <m/>
    <m/>
    <m/>
    <m/>
    <m/>
    <n v="390750806"/>
    <m/>
    <x v="1"/>
    <n v="390750806"/>
  </r>
  <r>
    <x v="1"/>
    <x v="21"/>
    <x v="21"/>
    <x v="11"/>
    <s v="Sujetos a Reglas de Operación"/>
    <x v="105"/>
    <x v="613"/>
    <x v="50"/>
    <x v="902"/>
    <n v="2"/>
    <s v="Desarrollo Social"/>
    <n v="3"/>
    <s v="Urbanización, Vivienda y Desarrollo Regional"/>
    <n v="3"/>
    <x v="70"/>
    <x v="6"/>
    <x v="151"/>
    <n v="2"/>
    <s v="Gasto de capital"/>
    <x v="0"/>
    <x v="0"/>
    <x v="1"/>
    <x v="0"/>
    <x v="0"/>
    <x v="0"/>
    <x v="0"/>
    <m/>
    <x v="0"/>
    <x v="0"/>
    <m/>
    <m/>
    <m/>
    <m/>
    <m/>
    <n v="10000000"/>
    <m/>
    <x v="1"/>
    <n v="10000000"/>
  </r>
  <r>
    <x v="1"/>
    <x v="21"/>
    <x v="21"/>
    <x v="11"/>
    <s v="Sujetos a Reglas de Operación"/>
    <x v="105"/>
    <x v="613"/>
    <x v="50"/>
    <x v="902"/>
    <n v="2"/>
    <s v="Desarrollo Social"/>
    <n v="5"/>
    <s v="Asistencia Social"/>
    <n v="3"/>
    <x v="54"/>
    <x v="9"/>
    <x v="152"/>
    <n v="1"/>
    <s v="Gasto corriente"/>
    <x v="0"/>
    <x v="0"/>
    <x v="1"/>
    <x v="0"/>
    <x v="0"/>
    <x v="0"/>
    <x v="0"/>
    <m/>
    <x v="0"/>
    <x v="0"/>
    <m/>
    <n v="468465870"/>
    <n v="0"/>
    <n v="-4894451"/>
    <n v="463571419"/>
    <m/>
    <m/>
    <x v="1"/>
    <n v="0"/>
  </r>
  <r>
    <x v="1"/>
    <x v="21"/>
    <x v="21"/>
    <x v="11"/>
    <s v="Sujetos a Reglas de Operación"/>
    <x v="105"/>
    <x v="613"/>
    <x v="50"/>
    <x v="902"/>
    <n v="2"/>
    <s v="Desarrollo Social"/>
    <n v="5"/>
    <s v="Asistencia Social"/>
    <n v="3"/>
    <x v="54"/>
    <x v="9"/>
    <x v="152"/>
    <n v="2"/>
    <s v="Gasto de capital"/>
    <x v="0"/>
    <x v="0"/>
    <x v="1"/>
    <x v="0"/>
    <x v="0"/>
    <x v="0"/>
    <x v="0"/>
    <m/>
    <x v="0"/>
    <x v="0"/>
    <m/>
    <n v="36800000"/>
    <n v="0"/>
    <n v="0"/>
    <n v="36800000"/>
    <m/>
    <m/>
    <x v="1"/>
    <n v="0"/>
  </r>
  <r>
    <x v="1"/>
    <x v="21"/>
    <x v="21"/>
    <x v="11"/>
    <s v="Sujetos a Reglas de Operación"/>
    <x v="77"/>
    <x v="614"/>
    <x v="107"/>
    <x v="868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336024"/>
    <n v="0"/>
    <n v="0"/>
    <n v="336024"/>
    <n v="2505599"/>
    <m/>
    <x v="1"/>
    <n v="2505599"/>
  </r>
  <r>
    <x v="1"/>
    <x v="21"/>
    <x v="21"/>
    <x v="11"/>
    <s v="Sujetos a Reglas de Operación"/>
    <x v="77"/>
    <x v="614"/>
    <x v="83"/>
    <x v="869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176358"/>
    <n v="0"/>
    <n v="0"/>
    <n v="176358"/>
    <n v="3194325"/>
    <m/>
    <x v="1"/>
    <n v="3194325"/>
  </r>
  <r>
    <x v="1"/>
    <x v="21"/>
    <x v="21"/>
    <x v="11"/>
    <s v="Sujetos a Reglas de Operación"/>
    <x v="77"/>
    <x v="614"/>
    <x v="108"/>
    <x v="870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m/>
    <m/>
    <m/>
    <m/>
    <n v="73506"/>
    <m/>
    <x v="1"/>
    <n v="73506"/>
  </r>
  <r>
    <x v="1"/>
    <x v="21"/>
    <x v="21"/>
    <x v="11"/>
    <s v="Sujetos a Reglas de Operación"/>
    <x v="77"/>
    <x v="614"/>
    <x v="109"/>
    <x v="871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m/>
    <m/>
    <m/>
    <m/>
    <n v="656357"/>
    <m/>
    <x v="1"/>
    <n v="656357"/>
  </r>
  <r>
    <x v="1"/>
    <x v="21"/>
    <x v="21"/>
    <x v="11"/>
    <s v="Sujetos a Reglas de Operación"/>
    <x v="77"/>
    <x v="614"/>
    <x v="110"/>
    <x v="872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143583"/>
    <n v="0"/>
    <n v="0"/>
    <n v="143583"/>
    <n v="881925"/>
    <m/>
    <x v="1"/>
    <n v="881925"/>
  </r>
  <r>
    <x v="1"/>
    <x v="21"/>
    <x v="21"/>
    <x v="11"/>
    <s v="Sujetos a Reglas de Operación"/>
    <x v="77"/>
    <x v="614"/>
    <x v="26"/>
    <x v="873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m/>
    <m/>
    <m/>
    <m/>
    <n v="447469"/>
    <m/>
    <x v="1"/>
    <n v="447469"/>
  </r>
  <r>
    <x v="1"/>
    <x v="21"/>
    <x v="21"/>
    <x v="11"/>
    <s v="Sujetos a Reglas de Operación"/>
    <x v="77"/>
    <x v="614"/>
    <x v="27"/>
    <x v="874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183162"/>
    <n v="0"/>
    <n v="0"/>
    <n v="183162"/>
    <n v="2217747"/>
    <m/>
    <x v="1"/>
    <n v="2217747"/>
  </r>
  <r>
    <x v="1"/>
    <x v="21"/>
    <x v="21"/>
    <x v="11"/>
    <s v="Sujetos a Reglas de Operación"/>
    <x v="77"/>
    <x v="614"/>
    <x v="28"/>
    <x v="876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13177"/>
    <n v="0"/>
    <n v="0"/>
    <n v="213177"/>
    <n v="626347"/>
    <m/>
    <x v="1"/>
    <n v="626347"/>
  </r>
  <r>
    <x v="1"/>
    <x v="21"/>
    <x v="21"/>
    <x v="11"/>
    <s v="Sujetos a Reglas de Operación"/>
    <x v="77"/>
    <x v="614"/>
    <x v="29"/>
    <x v="877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m/>
    <m/>
    <m/>
    <m/>
    <n v="188281"/>
    <m/>
    <x v="1"/>
    <n v="188281"/>
  </r>
  <r>
    <x v="1"/>
    <x v="21"/>
    <x v="21"/>
    <x v="11"/>
    <s v="Sujetos a Reglas de Operación"/>
    <x v="77"/>
    <x v="614"/>
    <x v="111"/>
    <x v="878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395574"/>
    <n v="0"/>
    <n v="0"/>
    <n v="395574"/>
    <n v="1177422"/>
    <m/>
    <x v="1"/>
    <n v="1177422"/>
  </r>
  <r>
    <x v="1"/>
    <x v="21"/>
    <x v="21"/>
    <x v="11"/>
    <s v="Sujetos a Reglas de Operación"/>
    <x v="77"/>
    <x v="614"/>
    <x v="121"/>
    <x v="879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320050"/>
    <n v="0"/>
    <n v="0"/>
    <n v="320050"/>
    <n v="1599112"/>
    <m/>
    <x v="1"/>
    <n v="1599112"/>
  </r>
  <r>
    <x v="1"/>
    <x v="21"/>
    <x v="21"/>
    <x v="11"/>
    <s v="Sujetos a Reglas de Operación"/>
    <x v="77"/>
    <x v="614"/>
    <x v="122"/>
    <x v="880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14963"/>
    <n v="0"/>
    <n v="0"/>
    <n v="214963"/>
    <n v="1405168"/>
    <m/>
    <x v="1"/>
    <n v="1405168"/>
  </r>
  <r>
    <x v="1"/>
    <x v="21"/>
    <x v="21"/>
    <x v="11"/>
    <s v="Sujetos a Reglas de Operación"/>
    <x v="77"/>
    <x v="614"/>
    <x v="112"/>
    <x v="882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61134"/>
    <n v="0"/>
    <n v="0"/>
    <n v="261134"/>
    <n v="3481028"/>
    <m/>
    <x v="1"/>
    <n v="3481028"/>
  </r>
  <r>
    <x v="1"/>
    <x v="21"/>
    <x v="21"/>
    <x v="11"/>
    <s v="Sujetos a Reglas de Operación"/>
    <x v="77"/>
    <x v="614"/>
    <x v="123"/>
    <x v="883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86158"/>
    <n v="0"/>
    <n v="0"/>
    <n v="286158"/>
    <n v="1246317"/>
    <m/>
    <x v="1"/>
    <n v="1246317"/>
  </r>
  <r>
    <x v="1"/>
    <x v="21"/>
    <x v="21"/>
    <x v="11"/>
    <s v="Sujetos a Reglas de Operación"/>
    <x v="77"/>
    <x v="614"/>
    <x v="116"/>
    <x v="884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54567"/>
    <n v="0"/>
    <n v="0"/>
    <n v="254567"/>
    <n v="1827450"/>
    <m/>
    <x v="1"/>
    <n v="1827450"/>
  </r>
  <r>
    <x v="1"/>
    <x v="21"/>
    <x v="21"/>
    <x v="11"/>
    <s v="Sujetos a Reglas de Operación"/>
    <x v="77"/>
    <x v="614"/>
    <x v="114"/>
    <x v="885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m/>
    <m/>
    <m/>
    <m/>
    <n v="121383"/>
    <m/>
    <x v="1"/>
    <n v="121383"/>
  </r>
  <r>
    <x v="1"/>
    <x v="21"/>
    <x v="21"/>
    <x v="11"/>
    <s v="Sujetos a Reglas de Operación"/>
    <x v="77"/>
    <x v="614"/>
    <x v="117"/>
    <x v="886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523134"/>
    <n v="0"/>
    <n v="0"/>
    <n v="523134"/>
    <n v="2391312"/>
    <m/>
    <x v="1"/>
    <n v="2391312"/>
  </r>
  <r>
    <x v="1"/>
    <x v="21"/>
    <x v="21"/>
    <x v="11"/>
    <s v="Sujetos a Reglas de Operación"/>
    <x v="77"/>
    <x v="614"/>
    <x v="124"/>
    <x v="887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83513"/>
    <n v="0"/>
    <n v="0"/>
    <n v="283513"/>
    <n v="2304751"/>
    <m/>
    <x v="1"/>
    <n v="2304751"/>
  </r>
  <r>
    <x v="1"/>
    <x v="21"/>
    <x v="21"/>
    <x v="11"/>
    <s v="Sujetos a Reglas de Operación"/>
    <x v="77"/>
    <x v="614"/>
    <x v="126"/>
    <x v="889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m/>
    <m/>
    <m/>
    <m/>
    <n v="80216"/>
    <m/>
    <x v="1"/>
    <n v="80216"/>
  </r>
  <r>
    <x v="1"/>
    <x v="21"/>
    <x v="21"/>
    <x v="11"/>
    <s v="Sujetos a Reglas de Operación"/>
    <x v="77"/>
    <x v="614"/>
    <x v="127"/>
    <x v="890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49265"/>
    <n v="0"/>
    <n v="0"/>
    <n v="249265"/>
    <n v="1776029"/>
    <m/>
    <x v="1"/>
    <n v="1776029"/>
  </r>
  <r>
    <x v="1"/>
    <x v="21"/>
    <x v="21"/>
    <x v="11"/>
    <s v="Sujetos a Reglas de Operación"/>
    <x v="77"/>
    <x v="614"/>
    <x v="128"/>
    <x v="891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623660"/>
    <n v="0"/>
    <n v="0"/>
    <n v="623660"/>
    <n v="8694950"/>
    <m/>
    <x v="1"/>
    <n v="8694950"/>
  </r>
  <r>
    <x v="1"/>
    <x v="21"/>
    <x v="21"/>
    <x v="11"/>
    <s v="Sujetos a Reglas de Operación"/>
    <x v="77"/>
    <x v="614"/>
    <x v="129"/>
    <x v="892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326384"/>
    <n v="0"/>
    <n v="0"/>
    <n v="326384"/>
    <n v="4805010"/>
    <m/>
    <x v="1"/>
    <n v="4805010"/>
  </r>
  <r>
    <x v="1"/>
    <x v="21"/>
    <x v="21"/>
    <x v="11"/>
    <s v="Sujetos a Reglas de Operación"/>
    <x v="77"/>
    <x v="614"/>
    <x v="130"/>
    <x v="893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m/>
    <m/>
    <m/>
    <m/>
    <n v="614510"/>
    <m/>
    <x v="1"/>
    <n v="614510"/>
  </r>
  <r>
    <x v="1"/>
    <x v="21"/>
    <x v="21"/>
    <x v="11"/>
    <s v="Sujetos a Reglas de Operación"/>
    <x v="77"/>
    <x v="614"/>
    <x v="131"/>
    <x v="894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150760"/>
    <n v="0"/>
    <n v="0"/>
    <n v="150760"/>
    <n v="896641"/>
    <m/>
    <x v="1"/>
    <n v="896641"/>
  </r>
  <r>
    <x v="1"/>
    <x v="21"/>
    <x v="21"/>
    <x v="11"/>
    <s v="Sujetos a Reglas de Operación"/>
    <x v="77"/>
    <x v="614"/>
    <x v="133"/>
    <x v="896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406977"/>
    <n v="0"/>
    <n v="0"/>
    <n v="406977"/>
    <n v="2878273"/>
    <m/>
    <x v="1"/>
    <n v="2878273"/>
  </r>
  <r>
    <x v="1"/>
    <x v="21"/>
    <x v="21"/>
    <x v="11"/>
    <s v="Sujetos a Reglas de Operación"/>
    <x v="77"/>
    <x v="614"/>
    <x v="135"/>
    <x v="898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m/>
    <m/>
    <m/>
    <m/>
    <n v="133872"/>
    <m/>
    <x v="1"/>
    <n v="133872"/>
  </r>
  <r>
    <x v="1"/>
    <x v="21"/>
    <x v="21"/>
    <x v="11"/>
    <s v="Sujetos a Reglas de Operación"/>
    <x v="77"/>
    <x v="614"/>
    <x v="51"/>
    <x v="903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94627234"/>
    <n v="0"/>
    <n v="-5722201"/>
    <n v="288905033"/>
    <n v="247064915"/>
    <m/>
    <x v="1"/>
    <n v="247064915"/>
  </r>
  <r>
    <x v="1"/>
    <x v="21"/>
    <x v="21"/>
    <x v="11"/>
    <s v="Sujetos a Reglas de Operación"/>
    <x v="139"/>
    <x v="615"/>
    <x v="40"/>
    <x v="855"/>
    <n v="2"/>
    <s v="Desarrollo Social"/>
    <n v="3"/>
    <s v="Urbanización, Vivienda y Desarrollo Regional"/>
    <n v="3"/>
    <x v="70"/>
    <x v="11"/>
    <x v="153"/>
    <n v="1"/>
    <s v="Gasto corriente"/>
    <x v="0"/>
    <x v="0"/>
    <x v="1"/>
    <x v="0"/>
    <x v="1"/>
    <x v="1"/>
    <x v="1"/>
    <m/>
    <x v="0"/>
    <x v="0"/>
    <m/>
    <n v="353103171"/>
    <n v="0"/>
    <n v="-2270708"/>
    <n v="350832463"/>
    <n v="347798724"/>
    <m/>
    <x v="1"/>
    <n v="347798724"/>
  </r>
  <r>
    <x v="1"/>
    <x v="21"/>
    <x v="21"/>
    <x v="11"/>
    <s v="Sujetos a Reglas de Operación"/>
    <x v="62"/>
    <x v="246"/>
    <x v="18"/>
    <x v="852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56344"/>
    <n v="0"/>
    <n v="0"/>
    <n v="256344"/>
    <n v="2942750"/>
    <m/>
    <x v="1"/>
    <n v="2942750"/>
  </r>
  <r>
    <x v="1"/>
    <x v="21"/>
    <x v="21"/>
    <x v="11"/>
    <s v="Sujetos a Reglas de Operación"/>
    <x v="62"/>
    <x v="246"/>
    <x v="107"/>
    <x v="868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47186"/>
    <n v="0"/>
    <n v="0"/>
    <n v="247186"/>
    <n v="7247463"/>
    <m/>
    <x v="1"/>
    <n v="7247463"/>
  </r>
  <r>
    <x v="1"/>
    <x v="21"/>
    <x v="21"/>
    <x v="11"/>
    <s v="Sujetos a Reglas de Operación"/>
    <x v="62"/>
    <x v="246"/>
    <x v="83"/>
    <x v="869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66074"/>
    <n v="0"/>
    <n v="0"/>
    <n v="266074"/>
    <n v="2857574"/>
    <m/>
    <x v="1"/>
    <n v="2857574"/>
  </r>
  <r>
    <x v="1"/>
    <x v="21"/>
    <x v="21"/>
    <x v="11"/>
    <s v="Sujetos a Reglas de Operación"/>
    <x v="62"/>
    <x v="246"/>
    <x v="108"/>
    <x v="870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641156"/>
    <n v="0"/>
    <n v="0"/>
    <n v="641156"/>
    <n v="1048132"/>
    <m/>
    <x v="1"/>
    <n v="1048132"/>
  </r>
  <r>
    <x v="1"/>
    <x v="21"/>
    <x v="21"/>
    <x v="11"/>
    <s v="Sujetos a Reglas de Operación"/>
    <x v="62"/>
    <x v="246"/>
    <x v="109"/>
    <x v="871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41683"/>
    <n v="0"/>
    <n v="0"/>
    <n v="241683"/>
    <n v="9305084"/>
    <m/>
    <x v="1"/>
    <n v="9305084"/>
  </r>
  <r>
    <x v="1"/>
    <x v="21"/>
    <x v="21"/>
    <x v="11"/>
    <s v="Sujetos a Reglas de Operación"/>
    <x v="62"/>
    <x v="246"/>
    <x v="110"/>
    <x v="872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295083"/>
    <n v="0"/>
    <n v="0"/>
    <n v="295083"/>
    <n v="437403"/>
    <m/>
    <x v="1"/>
    <n v="437403"/>
  </r>
  <r>
    <x v="1"/>
    <x v="21"/>
    <x v="21"/>
    <x v="11"/>
    <s v="Sujetos a Reglas de Operación"/>
    <x v="62"/>
    <x v="246"/>
    <x v="26"/>
    <x v="873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1398501"/>
    <n v="0"/>
    <n v="0"/>
    <n v="1398501"/>
    <n v="4318669"/>
    <m/>
    <x v="1"/>
    <n v="4318669"/>
  </r>
  <r>
    <x v="1"/>
    <x v="21"/>
    <x v="21"/>
    <x v="11"/>
    <s v="Sujetos a Reglas de Operación"/>
    <x v="62"/>
    <x v="246"/>
    <x v="27"/>
    <x v="874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497152"/>
    <n v="0"/>
    <n v="0"/>
    <n v="497152"/>
    <n v="13130386"/>
    <m/>
    <x v="1"/>
    <n v="13130386"/>
  </r>
  <r>
    <x v="1"/>
    <x v="21"/>
    <x v="21"/>
    <x v="11"/>
    <s v="Sujetos a Reglas de Operación"/>
    <x v="62"/>
    <x v="246"/>
    <x v="28"/>
    <x v="876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568131"/>
    <n v="0"/>
    <n v="0"/>
    <n v="568131"/>
    <n v="1950394"/>
    <m/>
    <x v="1"/>
    <n v="1950394"/>
  </r>
  <r>
    <x v="1"/>
    <x v="21"/>
    <x v="21"/>
    <x v="11"/>
    <s v="Sujetos a Reglas de Operación"/>
    <x v="62"/>
    <x v="246"/>
    <x v="29"/>
    <x v="877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577303"/>
    <n v="0"/>
    <n v="0"/>
    <n v="577303"/>
    <n v="3157931"/>
    <m/>
    <x v="1"/>
    <n v="3157931"/>
  </r>
  <r>
    <x v="1"/>
    <x v="21"/>
    <x v="21"/>
    <x v="11"/>
    <s v="Sujetos a Reglas de Operación"/>
    <x v="62"/>
    <x v="246"/>
    <x v="111"/>
    <x v="878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1223085"/>
    <n v="0"/>
    <n v="0"/>
    <n v="1223085"/>
    <n v="3937049"/>
    <m/>
    <x v="1"/>
    <n v="3937049"/>
  </r>
  <r>
    <x v="1"/>
    <x v="21"/>
    <x v="21"/>
    <x v="11"/>
    <s v="Sujetos a Reglas de Operación"/>
    <x v="62"/>
    <x v="246"/>
    <x v="121"/>
    <x v="879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709154"/>
    <n v="0"/>
    <n v="0"/>
    <n v="709154"/>
    <n v="3729119"/>
    <m/>
    <x v="1"/>
    <n v="3729119"/>
  </r>
  <r>
    <x v="1"/>
    <x v="21"/>
    <x v="21"/>
    <x v="11"/>
    <s v="Sujetos a Reglas de Operación"/>
    <x v="62"/>
    <x v="246"/>
    <x v="122"/>
    <x v="880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426018"/>
    <n v="0"/>
    <n v="0"/>
    <n v="426018"/>
    <n v="6636251"/>
    <m/>
    <x v="1"/>
    <n v="6636251"/>
  </r>
  <r>
    <x v="1"/>
    <x v="21"/>
    <x v="21"/>
    <x v="11"/>
    <s v="Sujetos a Reglas de Operación"/>
    <x v="62"/>
    <x v="246"/>
    <x v="113"/>
    <x v="881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539198"/>
    <n v="0"/>
    <n v="0"/>
    <n v="539198"/>
    <n v="12351729"/>
    <m/>
    <x v="1"/>
    <n v="12351729"/>
  </r>
  <r>
    <x v="1"/>
    <x v="21"/>
    <x v="21"/>
    <x v="11"/>
    <s v="Sujetos a Reglas de Operación"/>
    <x v="62"/>
    <x v="246"/>
    <x v="112"/>
    <x v="882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699012"/>
    <n v="0"/>
    <n v="0"/>
    <n v="699012"/>
    <n v="3219980"/>
    <m/>
    <x v="1"/>
    <n v="3219980"/>
  </r>
  <r>
    <x v="1"/>
    <x v="21"/>
    <x v="21"/>
    <x v="11"/>
    <s v="Sujetos a Reglas de Operación"/>
    <x v="62"/>
    <x v="246"/>
    <x v="123"/>
    <x v="883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373804"/>
    <n v="0"/>
    <n v="0"/>
    <n v="373804"/>
    <n v="1325988"/>
    <m/>
    <x v="1"/>
    <n v="1325988"/>
  </r>
  <r>
    <x v="1"/>
    <x v="21"/>
    <x v="21"/>
    <x v="11"/>
    <s v="Sujetos a Reglas de Operación"/>
    <x v="62"/>
    <x v="246"/>
    <x v="116"/>
    <x v="884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502097"/>
    <n v="0"/>
    <n v="0"/>
    <n v="502097"/>
    <n v="1196551"/>
    <m/>
    <x v="1"/>
    <n v="1196551"/>
  </r>
  <r>
    <x v="1"/>
    <x v="21"/>
    <x v="21"/>
    <x v="11"/>
    <s v="Sujetos a Reglas de Operación"/>
    <x v="62"/>
    <x v="246"/>
    <x v="114"/>
    <x v="885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333415"/>
    <n v="0"/>
    <n v="0"/>
    <n v="333415"/>
    <n v="10409874"/>
    <m/>
    <x v="1"/>
    <n v="10409874"/>
  </r>
  <r>
    <x v="1"/>
    <x v="21"/>
    <x v="21"/>
    <x v="11"/>
    <s v="Sujetos a Reglas de Operación"/>
    <x v="62"/>
    <x v="246"/>
    <x v="117"/>
    <x v="886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1250109"/>
    <n v="0"/>
    <n v="0"/>
    <n v="1250109"/>
    <n v="12942380"/>
    <m/>
    <x v="1"/>
    <n v="12942380"/>
  </r>
  <r>
    <x v="1"/>
    <x v="21"/>
    <x v="21"/>
    <x v="11"/>
    <s v="Sujetos a Reglas de Operación"/>
    <x v="62"/>
    <x v="246"/>
    <x v="124"/>
    <x v="887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899407"/>
    <n v="0"/>
    <n v="0"/>
    <n v="899407"/>
    <n v="8451488"/>
    <m/>
    <x v="1"/>
    <n v="8451488"/>
  </r>
  <r>
    <x v="1"/>
    <x v="21"/>
    <x v="21"/>
    <x v="11"/>
    <s v="Sujetos a Reglas de Operación"/>
    <x v="62"/>
    <x v="246"/>
    <x v="125"/>
    <x v="888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437207"/>
    <n v="0"/>
    <n v="0"/>
    <n v="437207"/>
    <n v="2698176"/>
    <m/>
    <x v="1"/>
    <n v="2698176"/>
  </r>
  <r>
    <x v="1"/>
    <x v="21"/>
    <x v="21"/>
    <x v="11"/>
    <s v="Sujetos a Reglas de Operación"/>
    <x v="62"/>
    <x v="246"/>
    <x v="126"/>
    <x v="889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400920"/>
    <n v="0"/>
    <n v="0"/>
    <n v="400920"/>
    <n v="6484365"/>
    <m/>
    <x v="1"/>
    <n v="6484365"/>
  </r>
  <r>
    <x v="1"/>
    <x v="21"/>
    <x v="21"/>
    <x v="11"/>
    <s v="Sujetos a Reglas de Operación"/>
    <x v="62"/>
    <x v="246"/>
    <x v="127"/>
    <x v="890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778894"/>
    <n v="0"/>
    <n v="0"/>
    <n v="778894"/>
    <n v="4239843"/>
    <m/>
    <x v="1"/>
    <n v="4239843"/>
  </r>
  <r>
    <x v="1"/>
    <x v="21"/>
    <x v="21"/>
    <x v="11"/>
    <s v="Sujetos a Reglas de Operación"/>
    <x v="62"/>
    <x v="246"/>
    <x v="128"/>
    <x v="891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460464"/>
    <n v="0"/>
    <n v="0"/>
    <n v="460464"/>
    <n v="13122073"/>
    <m/>
    <x v="1"/>
    <n v="13122073"/>
  </r>
  <r>
    <x v="1"/>
    <x v="21"/>
    <x v="21"/>
    <x v="11"/>
    <s v="Sujetos a Reglas de Operación"/>
    <x v="62"/>
    <x v="246"/>
    <x v="129"/>
    <x v="892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373778"/>
    <n v="0"/>
    <n v="0"/>
    <n v="373778"/>
    <n v="6251826"/>
    <m/>
    <x v="1"/>
    <n v="6251826"/>
  </r>
  <r>
    <x v="1"/>
    <x v="21"/>
    <x v="21"/>
    <x v="11"/>
    <s v="Sujetos a Reglas de Operación"/>
    <x v="62"/>
    <x v="246"/>
    <x v="130"/>
    <x v="893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538759"/>
    <n v="0"/>
    <n v="0"/>
    <n v="538759"/>
    <n v="1406203"/>
    <m/>
    <x v="1"/>
    <n v="1406203"/>
  </r>
  <r>
    <x v="1"/>
    <x v="21"/>
    <x v="21"/>
    <x v="11"/>
    <s v="Sujetos a Reglas de Operación"/>
    <x v="62"/>
    <x v="246"/>
    <x v="131"/>
    <x v="894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432211"/>
    <n v="0"/>
    <n v="0"/>
    <n v="432211"/>
    <n v="7983086"/>
    <m/>
    <x v="1"/>
    <n v="7983086"/>
  </r>
  <r>
    <x v="1"/>
    <x v="21"/>
    <x v="21"/>
    <x v="11"/>
    <s v="Sujetos a Reglas de Operación"/>
    <x v="62"/>
    <x v="246"/>
    <x v="132"/>
    <x v="895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424356"/>
    <n v="0"/>
    <n v="0"/>
    <n v="424356"/>
    <n v="1784568"/>
    <m/>
    <x v="1"/>
    <n v="1784568"/>
  </r>
  <r>
    <x v="1"/>
    <x v="21"/>
    <x v="21"/>
    <x v="11"/>
    <s v="Sujetos a Reglas de Operación"/>
    <x v="62"/>
    <x v="246"/>
    <x v="133"/>
    <x v="896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1164077"/>
    <n v="0"/>
    <n v="0"/>
    <n v="1164077"/>
    <n v="6950051"/>
    <m/>
    <x v="1"/>
    <n v="6950051"/>
  </r>
  <r>
    <x v="1"/>
    <x v="21"/>
    <x v="21"/>
    <x v="11"/>
    <s v="Sujetos a Reglas de Operación"/>
    <x v="62"/>
    <x v="246"/>
    <x v="134"/>
    <x v="897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656417"/>
    <n v="0"/>
    <n v="0"/>
    <n v="656417"/>
    <n v="4439330"/>
    <m/>
    <x v="1"/>
    <n v="4439330"/>
  </r>
  <r>
    <x v="1"/>
    <x v="21"/>
    <x v="21"/>
    <x v="11"/>
    <s v="Sujetos a Reglas de Operación"/>
    <x v="62"/>
    <x v="246"/>
    <x v="135"/>
    <x v="898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0"/>
    <m/>
    <x v="0"/>
    <x v="0"/>
    <m/>
    <n v="635842"/>
    <n v="0"/>
    <n v="0"/>
    <n v="635842"/>
    <n v="1744284"/>
    <m/>
    <x v="1"/>
    <n v="1744284"/>
  </r>
  <r>
    <x v="1"/>
    <x v="21"/>
    <x v="21"/>
    <x v="11"/>
    <s v="Sujetos a Reglas de Operación"/>
    <x v="62"/>
    <x v="246"/>
    <x v="51"/>
    <x v="903"/>
    <n v="2"/>
    <s v="Desarrollo Social"/>
    <n v="5"/>
    <s v="Asistencia Social"/>
    <n v="3"/>
    <x v="54"/>
    <x v="10"/>
    <x v="157"/>
    <n v="1"/>
    <s v="Gasto corriente"/>
    <x v="0"/>
    <x v="0"/>
    <x v="1"/>
    <x v="0"/>
    <x v="1"/>
    <x v="0"/>
    <x v="1"/>
    <m/>
    <x v="0"/>
    <x v="0"/>
    <m/>
    <n v="831789023"/>
    <n v="0"/>
    <n v="-6742469"/>
    <n v="825046554"/>
    <n v="625052810"/>
    <m/>
    <x v="1"/>
    <n v="625052810"/>
  </r>
  <r>
    <x v="1"/>
    <x v="21"/>
    <x v="21"/>
    <x v="11"/>
    <s v="Sujetos a Reglas de Operación"/>
    <x v="80"/>
    <x v="373"/>
    <x v="66"/>
    <x v="857"/>
    <n v="2"/>
    <s v="Desarrollo Social"/>
    <n v="5"/>
    <s v="Asistencia Social"/>
    <n v="3"/>
    <x v="54"/>
    <x v="9"/>
    <x v="152"/>
    <n v="1"/>
    <s v="Gasto corriente"/>
    <x v="0"/>
    <x v="0"/>
    <x v="1"/>
    <x v="0"/>
    <x v="1"/>
    <x v="0"/>
    <x v="0"/>
    <m/>
    <x v="0"/>
    <x v="0"/>
    <m/>
    <n v="38844151053"/>
    <n v="0"/>
    <n v="-4570295946"/>
    <n v="34273855107"/>
    <n v="35355077096"/>
    <m/>
    <x v="1"/>
    <n v="35355077096"/>
  </r>
  <r>
    <x v="1"/>
    <x v="21"/>
    <x v="21"/>
    <x v="11"/>
    <s v="Sujetos a Reglas de Operación"/>
    <x v="140"/>
    <x v="616"/>
    <x v="413"/>
    <x v="913"/>
    <n v="2"/>
    <s v="Desarrollo Social"/>
    <n v="3"/>
    <s v="Urbanización, Vivienda y Desarrollo Regional"/>
    <n v="2"/>
    <x v="23"/>
    <x v="4"/>
    <x v="158"/>
    <n v="1"/>
    <s v="Gasto corriente"/>
    <x v="0"/>
    <x v="0"/>
    <x v="1"/>
    <x v="0"/>
    <x v="1"/>
    <x v="0"/>
    <x v="1"/>
    <m/>
    <x v="0"/>
    <x v="0"/>
    <m/>
    <n v="378957404"/>
    <n v="0"/>
    <n v="-2441735"/>
    <n v="376515669"/>
    <n v="375874974"/>
    <m/>
    <x v="48"/>
    <n v="725874974"/>
  </r>
  <r>
    <x v="1"/>
    <x v="21"/>
    <x v="21"/>
    <x v="11"/>
    <s v="Sujetos a Reglas de Operación"/>
    <x v="140"/>
    <x v="616"/>
    <x v="413"/>
    <x v="913"/>
    <n v="2"/>
    <s v="Desarrollo Social"/>
    <n v="3"/>
    <s v="Urbanización, Vivienda y Desarrollo Regional"/>
    <n v="2"/>
    <x v="23"/>
    <x v="4"/>
    <x v="158"/>
    <n v="2"/>
    <s v="Gasto de capital"/>
    <x v="0"/>
    <x v="0"/>
    <x v="1"/>
    <x v="0"/>
    <x v="1"/>
    <x v="0"/>
    <x v="1"/>
    <m/>
    <x v="0"/>
    <x v="0"/>
    <m/>
    <n v="740966"/>
    <n v="0"/>
    <n v="0"/>
    <n v="740966"/>
    <n v="1381661"/>
    <m/>
    <x v="1"/>
    <n v="1381661"/>
  </r>
  <r>
    <x v="1"/>
    <x v="21"/>
    <x v="21"/>
    <x v="11"/>
    <s v="Sujetos a Reglas de Operación"/>
    <x v="141"/>
    <x v="617"/>
    <x v="66"/>
    <x v="857"/>
    <n v="2"/>
    <s v="Desarrollo Social"/>
    <n v="5"/>
    <s v="Asistencia Social"/>
    <n v="3"/>
    <x v="54"/>
    <x v="9"/>
    <x v="152"/>
    <n v="1"/>
    <s v="Gasto corriente"/>
    <x v="0"/>
    <x v="0"/>
    <x v="1"/>
    <x v="0"/>
    <x v="1"/>
    <x v="0"/>
    <x v="0"/>
    <m/>
    <x v="0"/>
    <x v="0"/>
    <m/>
    <n v="6652413833"/>
    <n v="0"/>
    <n v="-1542779826"/>
    <n v="5109634007"/>
    <n v="4207677026"/>
    <m/>
    <x v="1"/>
    <n v="4207677026"/>
  </r>
  <r>
    <x v="1"/>
    <x v="21"/>
    <x v="21"/>
    <x v="11"/>
    <s v="Sujetos a Reglas de Operación"/>
    <x v="142"/>
    <x v="618"/>
    <x v="40"/>
    <x v="855"/>
    <n v="2"/>
    <s v="Desarrollo Social"/>
    <n v="3"/>
    <s v="Urbanización, Vivienda y Desarrollo Regional"/>
    <n v="3"/>
    <x v="70"/>
    <x v="11"/>
    <x v="153"/>
    <n v="1"/>
    <s v="Gasto corriente"/>
    <x v="0"/>
    <x v="0"/>
    <x v="0"/>
    <x v="0"/>
    <x v="0"/>
    <x v="1"/>
    <x v="1"/>
    <m/>
    <x v="0"/>
    <x v="0"/>
    <m/>
    <n v="196800000"/>
    <n v="0"/>
    <n v="-1265566"/>
    <n v="195534434"/>
    <n v="193976464"/>
    <m/>
    <x v="120"/>
    <n v="202976464"/>
  </r>
  <r>
    <x v="1"/>
    <x v="21"/>
    <x v="21"/>
    <x v="11"/>
    <s v="Sujetos a Reglas de Operación"/>
    <x v="112"/>
    <x v="457"/>
    <x v="18"/>
    <x v="852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35830200"/>
    <n v="0"/>
    <n v="0"/>
    <n v="35830200"/>
    <n v="44223949"/>
    <m/>
    <x v="1"/>
    <n v="44223949"/>
  </r>
  <r>
    <x v="1"/>
    <x v="21"/>
    <x v="21"/>
    <x v="11"/>
    <s v="Sujetos a Reglas de Operación"/>
    <x v="112"/>
    <x v="457"/>
    <x v="107"/>
    <x v="868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26908560"/>
    <n v="0"/>
    <n v="0"/>
    <n v="26908560"/>
    <n v="36347549"/>
    <m/>
    <x v="1"/>
    <n v="36347549"/>
  </r>
  <r>
    <x v="1"/>
    <x v="21"/>
    <x v="21"/>
    <x v="11"/>
    <s v="Sujetos a Reglas de Operación"/>
    <x v="112"/>
    <x v="457"/>
    <x v="83"/>
    <x v="869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9679740"/>
    <n v="0"/>
    <n v="0"/>
    <n v="9679740"/>
    <n v="12331319"/>
    <m/>
    <x v="1"/>
    <n v="12331319"/>
  </r>
  <r>
    <x v="1"/>
    <x v="21"/>
    <x v="21"/>
    <x v="11"/>
    <s v="Sujetos a Reglas de Operación"/>
    <x v="112"/>
    <x v="457"/>
    <x v="108"/>
    <x v="870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28783860"/>
    <n v="0"/>
    <n v="0"/>
    <n v="28783860"/>
    <n v="29873963"/>
    <m/>
    <x v="1"/>
    <n v="29873963"/>
  </r>
  <r>
    <x v="1"/>
    <x v="21"/>
    <x v="21"/>
    <x v="11"/>
    <s v="Sujetos a Reglas de Operación"/>
    <x v="112"/>
    <x v="457"/>
    <x v="109"/>
    <x v="871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30443700"/>
    <n v="0"/>
    <n v="0"/>
    <n v="30443700"/>
    <n v="39936743"/>
    <m/>
    <x v="1"/>
    <n v="39936743"/>
  </r>
  <r>
    <x v="1"/>
    <x v="21"/>
    <x v="21"/>
    <x v="11"/>
    <s v="Sujetos a Reglas de Operación"/>
    <x v="112"/>
    <x v="457"/>
    <x v="110"/>
    <x v="872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19104120"/>
    <n v="0"/>
    <n v="0"/>
    <n v="19104120"/>
    <n v="23795555"/>
    <m/>
    <x v="1"/>
    <n v="23795555"/>
  </r>
  <r>
    <x v="1"/>
    <x v="21"/>
    <x v="21"/>
    <x v="11"/>
    <s v="Sujetos a Reglas de Operación"/>
    <x v="112"/>
    <x v="457"/>
    <x v="26"/>
    <x v="873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62275920"/>
    <n v="0"/>
    <n v="0"/>
    <n v="62275920"/>
    <n v="64805118"/>
    <m/>
    <x v="1"/>
    <n v="64805118"/>
  </r>
  <r>
    <x v="1"/>
    <x v="21"/>
    <x v="21"/>
    <x v="11"/>
    <s v="Sujetos a Reglas de Operación"/>
    <x v="112"/>
    <x v="457"/>
    <x v="27"/>
    <x v="874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46738860"/>
    <n v="0"/>
    <n v="0"/>
    <n v="46738860"/>
    <n v="57775431"/>
    <m/>
    <x v="1"/>
    <n v="57775431"/>
  </r>
  <r>
    <x v="1"/>
    <x v="21"/>
    <x v="21"/>
    <x v="11"/>
    <s v="Sujetos a Reglas de Operación"/>
    <x v="112"/>
    <x v="457"/>
    <x v="25"/>
    <x v="875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173006400"/>
    <n v="0"/>
    <n v="0"/>
    <n v="173006400"/>
    <n v="165795504"/>
    <m/>
    <x v="1"/>
    <n v="165795504"/>
  </r>
  <r>
    <x v="1"/>
    <x v="21"/>
    <x v="21"/>
    <x v="11"/>
    <s v="Sujetos a Reglas de Operación"/>
    <x v="112"/>
    <x v="457"/>
    <x v="28"/>
    <x v="876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41376300"/>
    <n v="0"/>
    <n v="0"/>
    <n v="41376300"/>
    <n v="42483672"/>
    <m/>
    <x v="1"/>
    <n v="42483672"/>
  </r>
  <r>
    <x v="1"/>
    <x v="21"/>
    <x v="21"/>
    <x v="11"/>
    <s v="Sujetos a Reglas de Operación"/>
    <x v="112"/>
    <x v="457"/>
    <x v="29"/>
    <x v="877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110155920"/>
    <n v="0"/>
    <n v="0"/>
    <n v="110155920"/>
    <n v="121454088"/>
    <m/>
    <x v="1"/>
    <n v="121454088"/>
  </r>
  <r>
    <x v="1"/>
    <x v="21"/>
    <x v="21"/>
    <x v="11"/>
    <s v="Sujetos a Reglas de Operación"/>
    <x v="112"/>
    <x v="457"/>
    <x v="111"/>
    <x v="878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57368220"/>
    <n v="0"/>
    <n v="0"/>
    <n v="57368220"/>
    <n v="56426937"/>
    <m/>
    <x v="1"/>
    <n v="56426937"/>
  </r>
  <r>
    <x v="1"/>
    <x v="21"/>
    <x v="21"/>
    <x v="11"/>
    <s v="Sujetos a Reglas de Operación"/>
    <x v="112"/>
    <x v="457"/>
    <x v="121"/>
    <x v="879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52827600"/>
    <n v="0"/>
    <n v="0"/>
    <n v="52827600"/>
    <n v="52086090"/>
    <m/>
    <x v="1"/>
    <n v="52086090"/>
  </r>
  <r>
    <x v="1"/>
    <x v="21"/>
    <x v="21"/>
    <x v="11"/>
    <s v="Sujetos a Reglas de Operación"/>
    <x v="112"/>
    <x v="457"/>
    <x v="122"/>
    <x v="880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115318980"/>
    <n v="0"/>
    <n v="0"/>
    <n v="115318980"/>
    <n v="120877617"/>
    <m/>
    <x v="1"/>
    <n v="120877617"/>
  </r>
  <r>
    <x v="1"/>
    <x v="21"/>
    <x v="21"/>
    <x v="11"/>
    <s v="Sujetos a Reglas de Operación"/>
    <x v="112"/>
    <x v="457"/>
    <x v="113"/>
    <x v="881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298444020"/>
    <n v="0"/>
    <n v="0"/>
    <n v="298444020"/>
    <n v="286414422"/>
    <m/>
    <x v="1"/>
    <n v="286414422"/>
  </r>
  <r>
    <x v="1"/>
    <x v="21"/>
    <x v="21"/>
    <x v="11"/>
    <s v="Sujetos a Reglas de Operación"/>
    <x v="112"/>
    <x v="457"/>
    <x v="112"/>
    <x v="882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79536660"/>
    <n v="0"/>
    <n v="0"/>
    <n v="79536660"/>
    <n v="77164276"/>
    <m/>
    <x v="1"/>
    <n v="77164276"/>
  </r>
  <r>
    <x v="1"/>
    <x v="21"/>
    <x v="21"/>
    <x v="11"/>
    <s v="Sujetos a Reglas de Operación"/>
    <x v="112"/>
    <x v="457"/>
    <x v="123"/>
    <x v="883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49180740"/>
    <n v="0"/>
    <n v="0"/>
    <n v="49180740"/>
    <n v="50872038"/>
    <m/>
    <x v="1"/>
    <n v="50872038"/>
  </r>
  <r>
    <x v="1"/>
    <x v="21"/>
    <x v="21"/>
    <x v="11"/>
    <s v="Sujetos a Reglas de Operación"/>
    <x v="112"/>
    <x v="457"/>
    <x v="116"/>
    <x v="884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49898940"/>
    <n v="0"/>
    <n v="0"/>
    <n v="49898940"/>
    <n v="53401992"/>
    <m/>
    <x v="1"/>
    <n v="53401992"/>
  </r>
  <r>
    <x v="1"/>
    <x v="21"/>
    <x v="21"/>
    <x v="11"/>
    <s v="Sujetos a Reglas de Operación"/>
    <x v="112"/>
    <x v="457"/>
    <x v="114"/>
    <x v="885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38280060"/>
    <n v="0"/>
    <n v="0"/>
    <n v="38280060"/>
    <n v="47290992"/>
    <m/>
    <x v="1"/>
    <n v="47290992"/>
  </r>
  <r>
    <x v="1"/>
    <x v="21"/>
    <x v="21"/>
    <x v="11"/>
    <s v="Sujetos a Reglas de Operación"/>
    <x v="112"/>
    <x v="457"/>
    <x v="117"/>
    <x v="886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70766640"/>
    <n v="0"/>
    <n v="0"/>
    <n v="70766640"/>
    <n v="69334727"/>
    <m/>
    <x v="1"/>
    <n v="69334727"/>
  </r>
  <r>
    <x v="1"/>
    <x v="21"/>
    <x v="21"/>
    <x v="11"/>
    <s v="Sujetos a Reglas de Operación"/>
    <x v="112"/>
    <x v="457"/>
    <x v="124"/>
    <x v="887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85681260"/>
    <n v="0"/>
    <n v="0"/>
    <n v="85681260"/>
    <n v="91117047"/>
    <m/>
    <x v="1"/>
    <n v="91117047"/>
  </r>
  <r>
    <x v="1"/>
    <x v="21"/>
    <x v="21"/>
    <x v="11"/>
    <s v="Sujetos a Reglas de Operación"/>
    <x v="112"/>
    <x v="457"/>
    <x v="125"/>
    <x v="888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33029220"/>
    <n v="0"/>
    <n v="0"/>
    <n v="33029220"/>
    <n v="34705048"/>
    <m/>
    <x v="1"/>
    <n v="34705048"/>
  </r>
  <r>
    <x v="1"/>
    <x v="21"/>
    <x v="21"/>
    <x v="11"/>
    <s v="Sujetos a Reglas de Operación"/>
    <x v="112"/>
    <x v="457"/>
    <x v="126"/>
    <x v="889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23062200"/>
    <n v="0"/>
    <n v="0"/>
    <n v="23062200"/>
    <n v="27613572"/>
    <m/>
    <x v="1"/>
    <n v="27613572"/>
  </r>
  <r>
    <x v="1"/>
    <x v="21"/>
    <x v="21"/>
    <x v="11"/>
    <s v="Sujetos a Reglas de Operación"/>
    <x v="112"/>
    <x v="457"/>
    <x v="127"/>
    <x v="890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43459080"/>
    <n v="0"/>
    <n v="0"/>
    <n v="43459080"/>
    <n v="45722502"/>
    <m/>
    <x v="1"/>
    <n v="45722502"/>
  </r>
  <r>
    <x v="1"/>
    <x v="21"/>
    <x v="21"/>
    <x v="11"/>
    <s v="Sujetos a Reglas de Operación"/>
    <x v="112"/>
    <x v="457"/>
    <x v="128"/>
    <x v="891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51247560"/>
    <n v="0"/>
    <n v="0"/>
    <n v="51247560"/>
    <n v="56151942"/>
    <m/>
    <x v="1"/>
    <n v="56151942"/>
  </r>
  <r>
    <x v="1"/>
    <x v="21"/>
    <x v="21"/>
    <x v="11"/>
    <s v="Sujetos a Reglas de Operación"/>
    <x v="112"/>
    <x v="457"/>
    <x v="129"/>
    <x v="892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38798760"/>
    <n v="0"/>
    <n v="0"/>
    <n v="38798760"/>
    <n v="43405075"/>
    <m/>
    <x v="1"/>
    <n v="43405075"/>
  </r>
  <r>
    <x v="1"/>
    <x v="21"/>
    <x v="21"/>
    <x v="11"/>
    <s v="Sujetos a Reglas de Operación"/>
    <x v="112"/>
    <x v="457"/>
    <x v="130"/>
    <x v="893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43969800"/>
    <n v="0"/>
    <n v="0"/>
    <n v="43969800"/>
    <n v="42901936"/>
    <m/>
    <x v="1"/>
    <n v="42901936"/>
  </r>
  <r>
    <x v="1"/>
    <x v="21"/>
    <x v="21"/>
    <x v="11"/>
    <s v="Sujetos a Reglas de Operación"/>
    <x v="112"/>
    <x v="457"/>
    <x v="131"/>
    <x v="894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68045460"/>
    <n v="0"/>
    <n v="0"/>
    <n v="68045460"/>
    <n v="77908460"/>
    <m/>
    <x v="1"/>
    <n v="77908460"/>
  </r>
  <r>
    <x v="1"/>
    <x v="21"/>
    <x v="21"/>
    <x v="11"/>
    <s v="Sujetos a Reglas de Operación"/>
    <x v="112"/>
    <x v="457"/>
    <x v="132"/>
    <x v="895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38455620"/>
    <n v="0"/>
    <n v="0"/>
    <n v="38455620"/>
    <n v="40875800"/>
    <m/>
    <x v="1"/>
    <n v="40875800"/>
  </r>
  <r>
    <x v="1"/>
    <x v="21"/>
    <x v="21"/>
    <x v="11"/>
    <s v="Sujetos a Reglas de Operación"/>
    <x v="112"/>
    <x v="457"/>
    <x v="133"/>
    <x v="896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134303400"/>
    <n v="0"/>
    <n v="0"/>
    <n v="134303400"/>
    <n v="132034266"/>
    <m/>
    <x v="1"/>
    <n v="132034266"/>
  </r>
  <r>
    <x v="1"/>
    <x v="21"/>
    <x v="21"/>
    <x v="11"/>
    <s v="Sujetos a Reglas de Operación"/>
    <x v="112"/>
    <x v="457"/>
    <x v="134"/>
    <x v="897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44057580"/>
    <n v="0"/>
    <n v="0"/>
    <n v="44057580"/>
    <n v="45203067"/>
    <m/>
    <x v="1"/>
    <n v="45203067"/>
  </r>
  <r>
    <x v="1"/>
    <x v="21"/>
    <x v="21"/>
    <x v="11"/>
    <s v="Sujetos a Reglas de Operación"/>
    <x v="112"/>
    <x v="457"/>
    <x v="135"/>
    <x v="898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37498020"/>
    <n v="0"/>
    <n v="0"/>
    <n v="37498020"/>
    <n v="36261316"/>
    <m/>
    <x v="1"/>
    <n v="36261316"/>
  </r>
  <r>
    <x v="1"/>
    <x v="21"/>
    <x v="21"/>
    <x v="11"/>
    <s v="Sujetos a Reglas de Operación"/>
    <x v="112"/>
    <x v="457"/>
    <x v="5"/>
    <x v="901"/>
    <n v="2"/>
    <s v="Desarrollo Social"/>
    <n v="5"/>
    <s v="Asistencia Social"/>
    <n v="3"/>
    <x v="54"/>
    <x v="7"/>
    <x v="159"/>
    <n v="1"/>
    <s v="Gasto corriente"/>
    <x v="0"/>
    <x v="0"/>
    <x v="1"/>
    <x v="0"/>
    <x v="0"/>
    <x v="0"/>
    <x v="1"/>
    <m/>
    <x v="0"/>
    <x v="0"/>
    <m/>
    <n v="605567301"/>
    <n v="0"/>
    <n v="-27516686"/>
    <n v="578050615"/>
    <n v="764465587"/>
    <m/>
    <x v="1"/>
    <n v="764465587"/>
  </r>
  <r>
    <x v="1"/>
    <x v="21"/>
    <x v="21"/>
    <x v="11"/>
    <s v="Sujetos a Reglas de Operación"/>
    <x v="135"/>
    <x v="599"/>
    <x v="107"/>
    <x v="868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83"/>
    <x v="869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08"/>
    <x v="870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09"/>
    <x v="871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10"/>
    <x v="872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26"/>
    <x v="873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27"/>
    <x v="874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25"/>
    <x v="875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28"/>
    <x v="876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29"/>
    <x v="877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11"/>
    <x v="878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1"/>
    <x v="879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2"/>
    <x v="880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13"/>
    <x v="881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12"/>
    <x v="882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3"/>
    <x v="883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16"/>
    <x v="884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14"/>
    <x v="885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17"/>
    <x v="886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4"/>
    <x v="887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5"/>
    <x v="888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6"/>
    <x v="889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7"/>
    <x v="890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8"/>
    <x v="891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29"/>
    <x v="892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30"/>
    <x v="893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31"/>
    <x v="894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32"/>
    <x v="895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33"/>
    <x v="896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34"/>
    <x v="897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135"/>
    <x v="898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0"/>
    <m/>
    <n v="5000000"/>
    <n v="0"/>
    <n v="0"/>
    <n v="5000000"/>
    <n v="1500000"/>
    <m/>
    <x v="1"/>
    <n v="1500000"/>
  </r>
  <r>
    <x v="1"/>
    <x v="21"/>
    <x v="21"/>
    <x v="11"/>
    <s v="Sujetos a Reglas de Operación"/>
    <x v="135"/>
    <x v="599"/>
    <x v="53"/>
    <x v="861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1"/>
    <m/>
    <x v="0"/>
    <x v="0"/>
    <m/>
    <n v="969783060"/>
    <n v="0"/>
    <n v="-10903382"/>
    <n v="958879678"/>
    <n v="1110130400"/>
    <m/>
    <x v="1"/>
    <n v="1110130400"/>
  </r>
  <r>
    <x v="1"/>
    <x v="21"/>
    <x v="21"/>
    <x v="11"/>
    <s v="Sujetos a Reglas de Operación"/>
    <x v="143"/>
    <x v="619"/>
    <x v="18"/>
    <x v="852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12000"/>
    <m/>
    <x v="1"/>
    <n v="112000"/>
  </r>
  <r>
    <x v="1"/>
    <x v="21"/>
    <x v="21"/>
    <x v="11"/>
    <s v="Sujetos a Reglas de Operación"/>
    <x v="143"/>
    <x v="619"/>
    <x v="107"/>
    <x v="868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92000"/>
    <m/>
    <x v="1"/>
    <n v="192000"/>
  </r>
  <r>
    <x v="1"/>
    <x v="21"/>
    <x v="21"/>
    <x v="11"/>
    <s v="Sujetos a Reglas de Operación"/>
    <x v="143"/>
    <x v="619"/>
    <x v="83"/>
    <x v="869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56000"/>
    <m/>
    <x v="1"/>
    <n v="156000"/>
  </r>
  <r>
    <x v="1"/>
    <x v="21"/>
    <x v="21"/>
    <x v="11"/>
    <s v="Sujetos a Reglas de Operación"/>
    <x v="143"/>
    <x v="619"/>
    <x v="108"/>
    <x v="870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80000"/>
    <m/>
    <x v="1"/>
    <n v="80000"/>
  </r>
  <r>
    <x v="1"/>
    <x v="21"/>
    <x v="21"/>
    <x v="11"/>
    <s v="Sujetos a Reglas de Operación"/>
    <x v="143"/>
    <x v="619"/>
    <x v="109"/>
    <x v="871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52000"/>
    <m/>
    <x v="1"/>
    <n v="152000"/>
  </r>
  <r>
    <x v="1"/>
    <x v="21"/>
    <x v="21"/>
    <x v="11"/>
    <s v="Sujetos a Reglas de Operación"/>
    <x v="143"/>
    <x v="619"/>
    <x v="110"/>
    <x v="872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80000"/>
    <m/>
    <x v="1"/>
    <n v="80000"/>
  </r>
  <r>
    <x v="1"/>
    <x v="21"/>
    <x v="21"/>
    <x v="11"/>
    <s v="Sujetos a Reglas de Operación"/>
    <x v="143"/>
    <x v="619"/>
    <x v="26"/>
    <x v="873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760000"/>
    <m/>
    <x v="1"/>
    <n v="760000"/>
  </r>
  <r>
    <x v="1"/>
    <x v="21"/>
    <x v="21"/>
    <x v="11"/>
    <s v="Sujetos a Reglas de Operación"/>
    <x v="143"/>
    <x v="619"/>
    <x v="27"/>
    <x v="874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252000"/>
    <m/>
    <x v="1"/>
    <n v="252000"/>
  </r>
  <r>
    <x v="1"/>
    <x v="21"/>
    <x v="21"/>
    <x v="11"/>
    <s v="Sujetos a Reglas de Operación"/>
    <x v="143"/>
    <x v="619"/>
    <x v="25"/>
    <x v="875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20000"/>
    <m/>
    <x v="1"/>
    <n v="20000"/>
  </r>
  <r>
    <x v="1"/>
    <x v="21"/>
    <x v="21"/>
    <x v="11"/>
    <s v="Sujetos a Reglas de Operación"/>
    <x v="143"/>
    <x v="619"/>
    <x v="28"/>
    <x v="876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304000"/>
    <m/>
    <x v="1"/>
    <n v="304000"/>
  </r>
  <r>
    <x v="1"/>
    <x v="21"/>
    <x v="21"/>
    <x v="11"/>
    <s v="Sujetos a Reglas de Operación"/>
    <x v="143"/>
    <x v="619"/>
    <x v="29"/>
    <x v="877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568000"/>
    <m/>
    <x v="1"/>
    <n v="568000"/>
  </r>
  <r>
    <x v="1"/>
    <x v="21"/>
    <x v="21"/>
    <x v="11"/>
    <s v="Sujetos a Reglas de Operación"/>
    <x v="143"/>
    <x v="619"/>
    <x v="111"/>
    <x v="878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548000"/>
    <m/>
    <x v="1"/>
    <n v="548000"/>
  </r>
  <r>
    <x v="1"/>
    <x v="21"/>
    <x v="21"/>
    <x v="11"/>
    <s v="Sujetos a Reglas de Operación"/>
    <x v="143"/>
    <x v="619"/>
    <x v="121"/>
    <x v="879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544000"/>
    <m/>
    <x v="1"/>
    <n v="544000"/>
  </r>
  <r>
    <x v="1"/>
    <x v="21"/>
    <x v="21"/>
    <x v="11"/>
    <s v="Sujetos a Reglas de Operación"/>
    <x v="143"/>
    <x v="619"/>
    <x v="122"/>
    <x v="880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588000"/>
    <m/>
    <x v="1"/>
    <n v="588000"/>
  </r>
  <r>
    <x v="1"/>
    <x v="21"/>
    <x v="21"/>
    <x v="11"/>
    <s v="Sujetos a Reglas de Operación"/>
    <x v="143"/>
    <x v="619"/>
    <x v="113"/>
    <x v="881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364000"/>
    <m/>
    <x v="1"/>
    <n v="1364000"/>
  </r>
  <r>
    <x v="1"/>
    <x v="21"/>
    <x v="21"/>
    <x v="11"/>
    <s v="Sujetos a Reglas de Operación"/>
    <x v="143"/>
    <x v="619"/>
    <x v="112"/>
    <x v="882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732000"/>
    <m/>
    <x v="1"/>
    <n v="732000"/>
  </r>
  <r>
    <x v="1"/>
    <x v="21"/>
    <x v="21"/>
    <x v="11"/>
    <s v="Sujetos a Reglas de Operación"/>
    <x v="143"/>
    <x v="619"/>
    <x v="123"/>
    <x v="883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92000"/>
    <m/>
    <x v="1"/>
    <n v="192000"/>
  </r>
  <r>
    <x v="1"/>
    <x v="21"/>
    <x v="21"/>
    <x v="11"/>
    <s v="Sujetos a Reglas de Operación"/>
    <x v="143"/>
    <x v="619"/>
    <x v="116"/>
    <x v="884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316000"/>
    <m/>
    <x v="1"/>
    <n v="316000"/>
  </r>
  <r>
    <x v="1"/>
    <x v="21"/>
    <x v="21"/>
    <x v="11"/>
    <s v="Sujetos a Reglas de Operación"/>
    <x v="143"/>
    <x v="619"/>
    <x v="114"/>
    <x v="885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80000"/>
    <m/>
    <x v="1"/>
    <n v="80000"/>
  </r>
  <r>
    <x v="1"/>
    <x v="21"/>
    <x v="21"/>
    <x v="11"/>
    <s v="Sujetos a Reglas de Operación"/>
    <x v="143"/>
    <x v="619"/>
    <x v="117"/>
    <x v="886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876000"/>
    <m/>
    <x v="1"/>
    <n v="876000"/>
  </r>
  <r>
    <x v="1"/>
    <x v="21"/>
    <x v="21"/>
    <x v="11"/>
    <s v="Sujetos a Reglas de Operación"/>
    <x v="143"/>
    <x v="619"/>
    <x v="124"/>
    <x v="887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020000"/>
    <m/>
    <x v="1"/>
    <n v="1020000"/>
  </r>
  <r>
    <x v="1"/>
    <x v="21"/>
    <x v="21"/>
    <x v="11"/>
    <s v="Sujetos a Reglas de Operación"/>
    <x v="143"/>
    <x v="619"/>
    <x v="125"/>
    <x v="888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356000"/>
    <m/>
    <x v="1"/>
    <n v="356000"/>
  </r>
  <r>
    <x v="1"/>
    <x v="21"/>
    <x v="21"/>
    <x v="11"/>
    <s v="Sujetos a Reglas de Operación"/>
    <x v="143"/>
    <x v="619"/>
    <x v="126"/>
    <x v="889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76000"/>
    <m/>
    <x v="1"/>
    <n v="76000"/>
  </r>
  <r>
    <x v="1"/>
    <x v="21"/>
    <x v="21"/>
    <x v="11"/>
    <s v="Sujetos a Reglas de Operación"/>
    <x v="143"/>
    <x v="619"/>
    <x v="127"/>
    <x v="890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428000"/>
    <m/>
    <x v="1"/>
    <n v="428000"/>
  </r>
  <r>
    <x v="1"/>
    <x v="21"/>
    <x v="21"/>
    <x v="11"/>
    <s v="Sujetos a Reglas de Operación"/>
    <x v="143"/>
    <x v="619"/>
    <x v="128"/>
    <x v="891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956000"/>
    <m/>
    <x v="1"/>
    <n v="956000"/>
  </r>
  <r>
    <x v="1"/>
    <x v="21"/>
    <x v="21"/>
    <x v="11"/>
    <s v="Sujetos a Reglas de Operación"/>
    <x v="143"/>
    <x v="619"/>
    <x v="129"/>
    <x v="892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480000"/>
    <m/>
    <x v="1"/>
    <n v="480000"/>
  </r>
  <r>
    <x v="1"/>
    <x v="21"/>
    <x v="21"/>
    <x v="11"/>
    <s v="Sujetos a Reglas de Operación"/>
    <x v="143"/>
    <x v="619"/>
    <x v="130"/>
    <x v="893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556000"/>
    <m/>
    <x v="1"/>
    <n v="556000"/>
  </r>
  <r>
    <x v="1"/>
    <x v="21"/>
    <x v="21"/>
    <x v="11"/>
    <s v="Sujetos a Reglas de Operación"/>
    <x v="143"/>
    <x v="619"/>
    <x v="131"/>
    <x v="894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16000"/>
    <m/>
    <x v="1"/>
    <n v="116000"/>
  </r>
  <r>
    <x v="1"/>
    <x v="21"/>
    <x v="21"/>
    <x v="11"/>
    <s v="Sujetos a Reglas de Operación"/>
    <x v="143"/>
    <x v="619"/>
    <x v="132"/>
    <x v="895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252000"/>
    <m/>
    <x v="1"/>
    <n v="252000"/>
  </r>
  <r>
    <x v="1"/>
    <x v="21"/>
    <x v="21"/>
    <x v="11"/>
    <s v="Sujetos a Reglas de Operación"/>
    <x v="143"/>
    <x v="619"/>
    <x v="133"/>
    <x v="896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1304000"/>
    <m/>
    <x v="1"/>
    <n v="1304000"/>
  </r>
  <r>
    <x v="1"/>
    <x v="21"/>
    <x v="21"/>
    <x v="11"/>
    <s v="Sujetos a Reglas de Operación"/>
    <x v="143"/>
    <x v="619"/>
    <x v="134"/>
    <x v="897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308000"/>
    <m/>
    <x v="1"/>
    <n v="308000"/>
  </r>
  <r>
    <x v="1"/>
    <x v="21"/>
    <x v="21"/>
    <x v="11"/>
    <s v="Sujetos a Reglas de Operación"/>
    <x v="143"/>
    <x v="619"/>
    <x v="135"/>
    <x v="898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m/>
    <m/>
    <m/>
    <m/>
    <n v="232000"/>
    <m/>
    <x v="1"/>
    <n v="232000"/>
  </r>
  <r>
    <x v="1"/>
    <x v="21"/>
    <x v="21"/>
    <x v="11"/>
    <s v="Sujetos a Reglas de Operación"/>
    <x v="143"/>
    <x v="619"/>
    <x v="51"/>
    <x v="903"/>
    <n v="2"/>
    <s v="Desarrollo Social"/>
    <n v="5"/>
    <s v="Asistencia Social"/>
    <n v="3"/>
    <x v="54"/>
    <x v="5"/>
    <x v="160"/>
    <n v="1"/>
    <s v="Gasto corriente"/>
    <x v="0"/>
    <x v="0"/>
    <x v="1"/>
    <x v="0"/>
    <x v="1"/>
    <x v="1"/>
    <x v="0"/>
    <m/>
    <x v="0"/>
    <x v="0"/>
    <m/>
    <n v="13205270037"/>
    <n v="0"/>
    <n v="-104009577"/>
    <n v="13101260460"/>
    <n v="13273220934"/>
    <m/>
    <x v="1"/>
    <n v="13273220934"/>
  </r>
  <r>
    <x v="1"/>
    <x v="21"/>
    <x v="21"/>
    <x v="11"/>
    <s v="Sujetos a Reglas de Operación"/>
    <x v="144"/>
    <x v="620"/>
    <x v="55"/>
    <x v="862"/>
    <n v="2"/>
    <s v="Desarrollo Social"/>
    <n v="3"/>
    <s v="Urbanización, Vivienda y Desarrollo Regional"/>
    <n v="1"/>
    <x v="69"/>
    <x v="13"/>
    <x v="161"/>
    <n v="1"/>
    <s v="Gasto corriente"/>
    <x v="0"/>
    <x v="0"/>
    <x v="0"/>
    <x v="0"/>
    <x v="0"/>
    <x v="0"/>
    <x v="0"/>
    <m/>
    <x v="0"/>
    <x v="0"/>
    <m/>
    <n v="235701407"/>
    <n v="0"/>
    <n v="-2740253"/>
    <n v="232961154"/>
    <n v="232434630"/>
    <m/>
    <x v="1"/>
    <n v="232434630"/>
  </r>
  <r>
    <x v="1"/>
    <x v="21"/>
    <x v="21"/>
    <x v="11"/>
    <s v="Sujetos a Reglas de Operación"/>
    <x v="145"/>
    <x v="621"/>
    <x v="18"/>
    <x v="852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3183435"/>
    <n v="0"/>
    <n v="0"/>
    <n v="3183435"/>
    <n v="2543389"/>
    <m/>
    <x v="1"/>
    <n v="2543389"/>
  </r>
  <r>
    <x v="1"/>
    <x v="21"/>
    <x v="21"/>
    <x v="11"/>
    <s v="Sujetos a Reglas de Operación"/>
    <x v="145"/>
    <x v="621"/>
    <x v="107"/>
    <x v="868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6824583"/>
    <n v="0"/>
    <n v="0"/>
    <n v="6824583"/>
    <n v="5546929"/>
    <m/>
    <x v="1"/>
    <n v="5546929"/>
  </r>
  <r>
    <x v="1"/>
    <x v="21"/>
    <x v="21"/>
    <x v="11"/>
    <s v="Sujetos a Reglas de Operación"/>
    <x v="145"/>
    <x v="621"/>
    <x v="83"/>
    <x v="869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3461415"/>
    <n v="0"/>
    <n v="0"/>
    <n v="3461415"/>
    <n v="2922262"/>
    <m/>
    <x v="1"/>
    <n v="2922262"/>
  </r>
  <r>
    <x v="1"/>
    <x v="21"/>
    <x v="21"/>
    <x v="11"/>
    <s v="Sujetos a Reglas de Operación"/>
    <x v="145"/>
    <x v="621"/>
    <x v="108"/>
    <x v="870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0240261"/>
    <n v="0"/>
    <n v="0"/>
    <n v="20240261"/>
    <n v="15623958"/>
    <m/>
    <x v="1"/>
    <n v="15623958"/>
  </r>
  <r>
    <x v="1"/>
    <x v="21"/>
    <x v="21"/>
    <x v="11"/>
    <s v="Sujetos a Reglas de Operación"/>
    <x v="145"/>
    <x v="621"/>
    <x v="109"/>
    <x v="871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8912222"/>
    <n v="0"/>
    <n v="0"/>
    <n v="8912222"/>
    <n v="7142892"/>
    <m/>
    <x v="1"/>
    <n v="7142892"/>
  </r>
  <r>
    <x v="1"/>
    <x v="21"/>
    <x v="21"/>
    <x v="11"/>
    <s v="Sujetos a Reglas de Operación"/>
    <x v="145"/>
    <x v="621"/>
    <x v="110"/>
    <x v="872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264508"/>
    <n v="0"/>
    <n v="0"/>
    <n v="2264508"/>
    <n v="1823605"/>
    <m/>
    <x v="1"/>
    <n v="1823605"/>
  </r>
  <r>
    <x v="1"/>
    <x v="21"/>
    <x v="21"/>
    <x v="11"/>
    <s v="Sujetos a Reglas de Operación"/>
    <x v="145"/>
    <x v="621"/>
    <x v="26"/>
    <x v="873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20900160"/>
    <n v="0"/>
    <n v="0"/>
    <n v="120900160"/>
    <n v="92146101"/>
    <m/>
    <x v="1"/>
    <n v="92146101"/>
  </r>
  <r>
    <x v="1"/>
    <x v="21"/>
    <x v="21"/>
    <x v="11"/>
    <s v="Sujetos a Reglas de Operación"/>
    <x v="145"/>
    <x v="621"/>
    <x v="27"/>
    <x v="874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6535102"/>
    <n v="0"/>
    <n v="0"/>
    <n v="26535102"/>
    <n v="20380386"/>
    <m/>
    <x v="1"/>
    <n v="20380386"/>
  </r>
  <r>
    <x v="1"/>
    <x v="21"/>
    <x v="21"/>
    <x v="11"/>
    <s v="Sujetos a Reglas de Operación"/>
    <x v="145"/>
    <x v="621"/>
    <x v="25"/>
    <x v="875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1710200"/>
    <n v="0"/>
    <n v="0"/>
    <n v="21710200"/>
    <n v="16486834"/>
    <m/>
    <x v="1"/>
    <n v="16486834"/>
  </r>
  <r>
    <x v="1"/>
    <x v="21"/>
    <x v="21"/>
    <x v="11"/>
    <s v="Sujetos a Reglas de Operación"/>
    <x v="145"/>
    <x v="621"/>
    <x v="28"/>
    <x v="876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31983834"/>
    <n v="0"/>
    <n v="0"/>
    <n v="31983834"/>
    <n v="24275118"/>
    <m/>
    <x v="1"/>
    <n v="24275118"/>
  </r>
  <r>
    <x v="1"/>
    <x v="21"/>
    <x v="21"/>
    <x v="11"/>
    <s v="Sujetos a Reglas de Operación"/>
    <x v="145"/>
    <x v="621"/>
    <x v="29"/>
    <x v="877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34940590"/>
    <n v="0"/>
    <n v="0"/>
    <n v="34940590"/>
    <n v="27017115"/>
    <m/>
    <x v="1"/>
    <n v="27017115"/>
  </r>
  <r>
    <x v="1"/>
    <x v="21"/>
    <x v="21"/>
    <x v="11"/>
    <s v="Sujetos a Reglas de Operación"/>
    <x v="145"/>
    <x v="621"/>
    <x v="111"/>
    <x v="878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06920665"/>
    <n v="0"/>
    <n v="0"/>
    <n v="106920665"/>
    <n v="81181773"/>
    <m/>
    <x v="1"/>
    <n v="81181773"/>
  </r>
  <r>
    <x v="1"/>
    <x v="21"/>
    <x v="21"/>
    <x v="11"/>
    <s v="Sujetos a Reglas de Operación"/>
    <x v="145"/>
    <x v="621"/>
    <x v="121"/>
    <x v="879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56368759"/>
    <n v="0"/>
    <n v="0"/>
    <n v="56368759"/>
    <n v="42891538"/>
    <m/>
    <x v="1"/>
    <n v="42891538"/>
  </r>
  <r>
    <x v="1"/>
    <x v="21"/>
    <x v="21"/>
    <x v="11"/>
    <s v="Sujetos a Reglas de Operación"/>
    <x v="145"/>
    <x v="621"/>
    <x v="122"/>
    <x v="880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4858545"/>
    <n v="0"/>
    <n v="0"/>
    <n v="24858545"/>
    <n v="19598879"/>
    <m/>
    <x v="1"/>
    <n v="19598879"/>
  </r>
  <r>
    <x v="1"/>
    <x v="21"/>
    <x v="21"/>
    <x v="11"/>
    <s v="Sujetos a Reglas de Operación"/>
    <x v="145"/>
    <x v="621"/>
    <x v="113"/>
    <x v="881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42740046"/>
    <n v="0"/>
    <n v="0"/>
    <n v="42740046"/>
    <n v="32820264"/>
    <m/>
    <x v="1"/>
    <n v="32820264"/>
  </r>
  <r>
    <x v="1"/>
    <x v="21"/>
    <x v="21"/>
    <x v="11"/>
    <s v="Sujetos a Reglas de Operación"/>
    <x v="145"/>
    <x v="621"/>
    <x v="112"/>
    <x v="882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56531960"/>
    <n v="0"/>
    <n v="0"/>
    <n v="56531960"/>
    <n v="43342029"/>
    <m/>
    <x v="1"/>
    <n v="43342029"/>
  </r>
  <r>
    <x v="1"/>
    <x v="21"/>
    <x v="21"/>
    <x v="11"/>
    <s v="Sujetos a Reglas de Operación"/>
    <x v="145"/>
    <x v="621"/>
    <x v="123"/>
    <x v="883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9402456"/>
    <n v="0"/>
    <n v="0"/>
    <n v="9402456"/>
    <n v="7532767"/>
    <m/>
    <x v="1"/>
    <n v="7532767"/>
  </r>
  <r>
    <x v="1"/>
    <x v="21"/>
    <x v="21"/>
    <x v="11"/>
    <s v="Sujetos a Reglas de Operación"/>
    <x v="145"/>
    <x v="621"/>
    <x v="116"/>
    <x v="884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2119007"/>
    <n v="0"/>
    <n v="0"/>
    <n v="22119007"/>
    <n v="16791238"/>
    <m/>
    <x v="1"/>
    <n v="16791238"/>
  </r>
  <r>
    <x v="1"/>
    <x v="21"/>
    <x v="21"/>
    <x v="11"/>
    <s v="Sujetos a Reglas de Operación"/>
    <x v="145"/>
    <x v="621"/>
    <x v="114"/>
    <x v="885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1646886"/>
    <n v="0"/>
    <n v="0"/>
    <n v="11646886"/>
    <n v="9341412"/>
    <m/>
    <x v="1"/>
    <n v="9341412"/>
  </r>
  <r>
    <x v="1"/>
    <x v="21"/>
    <x v="21"/>
    <x v="11"/>
    <s v="Sujetos a Reglas de Operación"/>
    <x v="145"/>
    <x v="621"/>
    <x v="117"/>
    <x v="886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11343699"/>
    <n v="0"/>
    <n v="0"/>
    <n v="211343699"/>
    <n v="161534080"/>
    <m/>
    <x v="1"/>
    <n v="161534080"/>
  </r>
  <r>
    <x v="1"/>
    <x v="21"/>
    <x v="21"/>
    <x v="11"/>
    <s v="Sujetos a Reglas de Operación"/>
    <x v="145"/>
    <x v="621"/>
    <x v="124"/>
    <x v="887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21699325"/>
    <n v="0"/>
    <n v="0"/>
    <n v="121699325"/>
    <n v="93030299"/>
    <m/>
    <x v="1"/>
    <n v="93030299"/>
  </r>
  <r>
    <x v="1"/>
    <x v="21"/>
    <x v="21"/>
    <x v="11"/>
    <s v="Sujetos a Reglas de Operación"/>
    <x v="145"/>
    <x v="621"/>
    <x v="125"/>
    <x v="888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4371264"/>
    <n v="0"/>
    <n v="0"/>
    <n v="24371264"/>
    <n v="18567728"/>
    <m/>
    <x v="1"/>
    <n v="18567728"/>
  </r>
  <r>
    <x v="1"/>
    <x v="21"/>
    <x v="21"/>
    <x v="11"/>
    <s v="Sujetos a Reglas de Operación"/>
    <x v="145"/>
    <x v="621"/>
    <x v="126"/>
    <x v="889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23619146"/>
    <n v="0"/>
    <n v="0"/>
    <n v="23619146"/>
    <n v="17880942"/>
    <m/>
    <x v="1"/>
    <n v="17880942"/>
  </r>
  <r>
    <x v="1"/>
    <x v="21"/>
    <x v="21"/>
    <x v="11"/>
    <s v="Sujetos a Reglas de Operación"/>
    <x v="145"/>
    <x v="621"/>
    <x v="127"/>
    <x v="890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75534503"/>
    <n v="0"/>
    <n v="0"/>
    <n v="75534503"/>
    <n v="57149221"/>
    <m/>
    <x v="1"/>
    <n v="57149221"/>
  </r>
  <r>
    <x v="1"/>
    <x v="21"/>
    <x v="21"/>
    <x v="11"/>
    <s v="Sujetos a Reglas de Operación"/>
    <x v="145"/>
    <x v="621"/>
    <x v="128"/>
    <x v="891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4161352"/>
    <n v="0"/>
    <n v="0"/>
    <n v="14161352"/>
    <n v="11166400"/>
    <m/>
    <x v="1"/>
    <n v="11166400"/>
  </r>
  <r>
    <x v="1"/>
    <x v="21"/>
    <x v="21"/>
    <x v="11"/>
    <s v="Sujetos a Reglas de Operación"/>
    <x v="145"/>
    <x v="621"/>
    <x v="129"/>
    <x v="892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3815754"/>
    <n v="0"/>
    <n v="0"/>
    <n v="13815754"/>
    <n v="10712282"/>
    <m/>
    <x v="1"/>
    <n v="10712282"/>
  </r>
  <r>
    <x v="1"/>
    <x v="21"/>
    <x v="21"/>
    <x v="11"/>
    <s v="Sujetos a Reglas de Operación"/>
    <x v="145"/>
    <x v="621"/>
    <x v="130"/>
    <x v="893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6084084"/>
    <n v="0"/>
    <n v="0"/>
    <n v="16084084"/>
    <n v="12413541"/>
    <m/>
    <x v="1"/>
    <n v="12413541"/>
  </r>
  <r>
    <x v="1"/>
    <x v="21"/>
    <x v="21"/>
    <x v="11"/>
    <s v="Sujetos a Reglas de Operación"/>
    <x v="145"/>
    <x v="621"/>
    <x v="131"/>
    <x v="894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6871709"/>
    <n v="0"/>
    <n v="0"/>
    <n v="16871709"/>
    <n v="13150182"/>
    <m/>
    <x v="1"/>
    <n v="13150182"/>
  </r>
  <r>
    <x v="1"/>
    <x v="21"/>
    <x v="21"/>
    <x v="11"/>
    <s v="Sujetos a Reglas de Operación"/>
    <x v="145"/>
    <x v="621"/>
    <x v="132"/>
    <x v="895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8420986"/>
    <n v="0"/>
    <n v="0"/>
    <n v="8420986"/>
    <n v="6570438"/>
    <m/>
    <x v="1"/>
    <n v="6570438"/>
  </r>
  <r>
    <x v="1"/>
    <x v="21"/>
    <x v="21"/>
    <x v="11"/>
    <s v="Sujetos a Reglas de Operación"/>
    <x v="145"/>
    <x v="621"/>
    <x v="133"/>
    <x v="896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81100137"/>
    <n v="0"/>
    <n v="0"/>
    <n v="81100137"/>
    <n v="63449977"/>
    <m/>
    <x v="1"/>
    <n v="63449977"/>
  </r>
  <r>
    <x v="1"/>
    <x v="21"/>
    <x v="21"/>
    <x v="11"/>
    <s v="Sujetos a Reglas de Operación"/>
    <x v="145"/>
    <x v="621"/>
    <x v="134"/>
    <x v="897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38429436"/>
    <n v="0"/>
    <n v="0"/>
    <n v="38429436"/>
    <n v="29159140"/>
    <m/>
    <x v="1"/>
    <n v="29159140"/>
  </r>
  <r>
    <x v="1"/>
    <x v="21"/>
    <x v="21"/>
    <x v="11"/>
    <s v="Sujetos a Reglas de Operación"/>
    <x v="145"/>
    <x v="621"/>
    <x v="135"/>
    <x v="898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13973723"/>
    <n v="0"/>
    <n v="0"/>
    <n v="13973723"/>
    <n v="10807281"/>
    <m/>
    <x v="1"/>
    <n v="10807281"/>
  </r>
  <r>
    <x v="1"/>
    <x v="21"/>
    <x v="21"/>
    <x v="11"/>
    <s v="Sujetos a Reglas de Operación"/>
    <x v="145"/>
    <x v="621"/>
    <x v="50"/>
    <x v="902"/>
    <n v="2"/>
    <s v="Desarrollo Social"/>
    <n v="3"/>
    <s v="Urbanización, Vivienda y Desarrollo Regional"/>
    <n v="3"/>
    <x v="70"/>
    <x v="15"/>
    <x v="162"/>
    <n v="1"/>
    <s v="Gasto corriente"/>
    <x v="0"/>
    <x v="0"/>
    <x v="1"/>
    <x v="0"/>
    <x v="1"/>
    <x v="0"/>
    <x v="0"/>
    <m/>
    <x v="0"/>
    <x v="0"/>
    <m/>
    <n v="4920237570"/>
    <n v="950000000"/>
    <n v="-56676113"/>
    <n v="5813561457"/>
    <n v="5471994027"/>
    <n v="256297454"/>
    <x v="1"/>
    <n v="5215696573"/>
  </r>
  <r>
    <x v="1"/>
    <x v="21"/>
    <x v="21"/>
    <x v="11"/>
    <s v="Sujetos a Reglas de Operación"/>
    <x v="146"/>
    <x v="622"/>
    <x v="278"/>
    <x v="864"/>
    <n v="2"/>
    <s v="Desarrollo Social"/>
    <n v="3"/>
    <s v="Urbanización, Vivienda y Desarrollo Regional"/>
    <n v="1"/>
    <x v="69"/>
    <x v="1"/>
    <x v="150"/>
    <n v="1"/>
    <s v="Gasto corriente"/>
    <x v="0"/>
    <x v="0"/>
    <x v="0"/>
    <x v="0"/>
    <x v="0"/>
    <x v="0"/>
    <x v="0"/>
    <m/>
    <x v="0"/>
    <x v="1"/>
    <m/>
    <m/>
    <m/>
    <m/>
    <m/>
    <n v="200000000"/>
    <m/>
    <x v="1"/>
    <n v="200000000"/>
  </r>
  <r>
    <x v="1"/>
    <x v="21"/>
    <x v="21"/>
    <x v="7"/>
    <s v="Otros Subsidios"/>
    <x v="4"/>
    <x v="623"/>
    <x v="7"/>
    <x v="860"/>
    <n v="1"/>
    <s v="Gobierno"/>
    <n v="8"/>
    <s v="Administración Pública"/>
    <n v="3"/>
    <x v="6"/>
    <x v="1"/>
    <x v="150"/>
    <n v="1"/>
    <s v="Gasto corriente"/>
    <x v="0"/>
    <x v="0"/>
    <x v="0"/>
    <x v="0"/>
    <x v="0"/>
    <x v="0"/>
    <x v="0"/>
    <m/>
    <x v="0"/>
    <x v="0"/>
    <m/>
    <n v="340000000"/>
    <n v="0"/>
    <n v="-2186446"/>
    <n v="337813554"/>
    <n v="619404302"/>
    <m/>
    <x v="1"/>
    <n v="619404302"/>
  </r>
  <r>
    <x v="1"/>
    <x v="21"/>
    <x v="21"/>
    <x v="7"/>
    <s v="Otros Subsidios"/>
    <x v="7"/>
    <x v="624"/>
    <x v="247"/>
    <x v="865"/>
    <n v="2"/>
    <s v="Desarrollo Social"/>
    <n v="3"/>
    <s v="Urbanización, Vivienda y Desarrollo Regional"/>
    <n v="3"/>
    <x v="70"/>
    <x v="0"/>
    <x v="154"/>
    <n v="1"/>
    <s v="Gasto corriente"/>
    <x v="0"/>
    <x v="0"/>
    <x v="0"/>
    <x v="0"/>
    <x v="0"/>
    <x v="0"/>
    <x v="0"/>
    <m/>
    <x v="0"/>
    <x v="0"/>
    <m/>
    <n v="7490400"/>
    <n v="0"/>
    <n v="-48169"/>
    <n v="7442231"/>
    <n v="7442231"/>
    <m/>
    <x v="1"/>
    <n v="7442231"/>
  </r>
  <r>
    <x v="1"/>
    <x v="22"/>
    <x v="22"/>
    <x v="4"/>
    <s v="Prestación de Servicios Públicos"/>
    <x v="6"/>
    <x v="625"/>
    <x v="31"/>
    <x v="914"/>
    <n v="3"/>
    <s v="Desarrollo Económico"/>
    <n v="6"/>
    <s v="Turismo"/>
    <n v="1"/>
    <x v="71"/>
    <x v="4"/>
    <x v="163"/>
    <n v="1"/>
    <s v="Gasto corriente"/>
    <x v="0"/>
    <x v="1"/>
    <x v="0"/>
    <x v="0"/>
    <x v="0"/>
    <x v="0"/>
    <x v="0"/>
    <m/>
    <x v="0"/>
    <x v="0"/>
    <m/>
    <n v="10879004"/>
    <n v="0"/>
    <n v="0"/>
    <n v="10879004"/>
    <n v="12510855"/>
    <m/>
    <x v="1"/>
    <n v="12510855"/>
  </r>
  <r>
    <x v="1"/>
    <x v="22"/>
    <x v="22"/>
    <x v="4"/>
    <s v="Prestación de Servicios Públicos"/>
    <x v="6"/>
    <x v="625"/>
    <x v="31"/>
    <x v="914"/>
    <n v="3"/>
    <s v="Desarrollo Económico"/>
    <n v="6"/>
    <s v="Turismo"/>
    <n v="1"/>
    <x v="71"/>
    <x v="4"/>
    <x v="163"/>
    <n v="1"/>
    <s v="Gasto corriente"/>
    <x v="0"/>
    <x v="0"/>
    <x v="0"/>
    <x v="0"/>
    <x v="0"/>
    <x v="0"/>
    <x v="0"/>
    <m/>
    <x v="0"/>
    <x v="0"/>
    <m/>
    <n v="179334972"/>
    <n v="0"/>
    <n v="-9198368"/>
    <n v="170136604"/>
    <n v="237395027"/>
    <n v="97525172"/>
    <x v="1"/>
    <n v="139869855"/>
  </r>
  <r>
    <x v="1"/>
    <x v="22"/>
    <x v="22"/>
    <x v="4"/>
    <s v="Prestación de Servicios Públicos"/>
    <x v="6"/>
    <x v="625"/>
    <x v="31"/>
    <x v="914"/>
    <n v="3"/>
    <s v="Desarrollo Económico"/>
    <n v="6"/>
    <s v="Turismo"/>
    <n v="1"/>
    <x v="71"/>
    <x v="4"/>
    <x v="163"/>
    <n v="2"/>
    <s v="Gasto de capital"/>
    <x v="0"/>
    <x v="0"/>
    <x v="0"/>
    <x v="0"/>
    <x v="0"/>
    <x v="0"/>
    <x v="0"/>
    <m/>
    <x v="0"/>
    <x v="0"/>
    <m/>
    <n v="44100000"/>
    <n v="0"/>
    <n v="-3289261"/>
    <n v="40810739"/>
    <m/>
    <m/>
    <x v="1"/>
    <n v="0"/>
  </r>
  <r>
    <x v="1"/>
    <x v="22"/>
    <x v="22"/>
    <x v="4"/>
    <s v="Prestación de Servicios Públicos"/>
    <x v="8"/>
    <x v="626"/>
    <x v="414"/>
    <x v="915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101064196"/>
    <n v="0"/>
    <n v="-9531942"/>
    <n v="91532254"/>
    <n v="160000000"/>
    <m/>
    <x v="1"/>
    <n v="160000000"/>
  </r>
  <r>
    <x v="1"/>
    <x v="22"/>
    <x v="22"/>
    <x v="9"/>
    <s v="Promoción y fomento"/>
    <x v="2"/>
    <x v="627"/>
    <x v="415"/>
    <x v="916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302202443"/>
    <n v="0"/>
    <n v="-24586718"/>
    <n v="277615725"/>
    <n v="684295838"/>
    <m/>
    <x v="1"/>
    <n v="684295838"/>
  </r>
  <r>
    <x v="1"/>
    <x v="22"/>
    <x v="22"/>
    <x v="9"/>
    <s v="Promoción y fomento"/>
    <x v="2"/>
    <x v="627"/>
    <x v="415"/>
    <x v="916"/>
    <n v="3"/>
    <s v="Desarrollo Económico"/>
    <n v="6"/>
    <s v="Turismo"/>
    <n v="1"/>
    <x v="71"/>
    <x v="0"/>
    <x v="164"/>
    <n v="2"/>
    <s v="Gasto de capital"/>
    <x v="0"/>
    <x v="0"/>
    <x v="0"/>
    <x v="0"/>
    <x v="0"/>
    <x v="0"/>
    <x v="0"/>
    <m/>
    <x v="0"/>
    <x v="0"/>
    <m/>
    <n v="3000000"/>
    <n v="0"/>
    <n v="-203041"/>
    <n v="2796959"/>
    <m/>
    <m/>
    <x v="1"/>
    <n v="0"/>
  </r>
  <r>
    <x v="1"/>
    <x v="22"/>
    <x v="22"/>
    <x v="9"/>
    <s v="Promoción y fomento"/>
    <x v="3"/>
    <x v="628"/>
    <x v="416"/>
    <x v="917"/>
    <n v="3"/>
    <s v="Desarrollo Económico"/>
    <n v="6"/>
    <s v="Turismo"/>
    <n v="1"/>
    <x v="71"/>
    <x v="1"/>
    <x v="165"/>
    <n v="1"/>
    <s v="Gasto corriente"/>
    <x v="0"/>
    <x v="0"/>
    <x v="0"/>
    <x v="0"/>
    <x v="0"/>
    <x v="0"/>
    <x v="0"/>
    <m/>
    <x v="0"/>
    <x v="1"/>
    <m/>
    <m/>
    <m/>
    <m/>
    <m/>
    <n v="164827040"/>
    <m/>
    <x v="1"/>
    <n v="164827040"/>
  </r>
  <r>
    <x v="1"/>
    <x v="22"/>
    <x v="22"/>
    <x v="9"/>
    <s v="Promoción y fomento"/>
    <x v="4"/>
    <x v="629"/>
    <x v="4"/>
    <x v="918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644245"/>
    <n v="0"/>
    <n v="0"/>
    <n v="644245"/>
    <n v="736651"/>
    <m/>
    <x v="1"/>
    <n v="736651"/>
  </r>
  <r>
    <x v="1"/>
    <x v="22"/>
    <x v="22"/>
    <x v="9"/>
    <s v="Promoción y fomento"/>
    <x v="4"/>
    <x v="629"/>
    <x v="4"/>
    <x v="918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16168903"/>
    <n v="0"/>
    <n v="-591040"/>
    <n v="15577863"/>
    <n v="16067407"/>
    <m/>
    <x v="1"/>
    <n v="16067407"/>
  </r>
  <r>
    <x v="1"/>
    <x v="22"/>
    <x v="22"/>
    <x v="9"/>
    <s v="Promoción y fomento"/>
    <x v="5"/>
    <x v="630"/>
    <x v="5"/>
    <x v="919"/>
    <n v="3"/>
    <s v="Desarrollo Económico"/>
    <n v="6"/>
    <s v="Turismo"/>
    <n v="1"/>
    <x v="71"/>
    <x v="9"/>
    <x v="166"/>
    <n v="1"/>
    <s v="Gasto corriente"/>
    <x v="0"/>
    <x v="1"/>
    <x v="0"/>
    <x v="0"/>
    <x v="0"/>
    <x v="0"/>
    <x v="0"/>
    <m/>
    <x v="0"/>
    <x v="0"/>
    <m/>
    <n v="486412"/>
    <n v="0"/>
    <n v="0"/>
    <n v="486412"/>
    <n v="518791"/>
    <m/>
    <x v="1"/>
    <n v="518791"/>
  </r>
  <r>
    <x v="1"/>
    <x v="22"/>
    <x v="22"/>
    <x v="9"/>
    <s v="Promoción y fomento"/>
    <x v="5"/>
    <x v="630"/>
    <x v="5"/>
    <x v="919"/>
    <n v="3"/>
    <s v="Desarrollo Económico"/>
    <n v="6"/>
    <s v="Turismo"/>
    <n v="1"/>
    <x v="71"/>
    <x v="9"/>
    <x v="166"/>
    <n v="1"/>
    <s v="Gasto corriente"/>
    <x v="0"/>
    <x v="0"/>
    <x v="0"/>
    <x v="0"/>
    <x v="0"/>
    <x v="0"/>
    <x v="0"/>
    <m/>
    <x v="0"/>
    <x v="0"/>
    <m/>
    <n v="35395359"/>
    <n v="0"/>
    <n v="-2663198"/>
    <n v="32732161"/>
    <n v="28682114"/>
    <m/>
    <x v="1"/>
    <n v="28682114"/>
  </r>
  <r>
    <x v="1"/>
    <x v="22"/>
    <x v="22"/>
    <x v="10"/>
    <s v="Regulación y supervisión"/>
    <x v="2"/>
    <x v="631"/>
    <x v="51"/>
    <x v="920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466477"/>
    <n v="0"/>
    <n v="0"/>
    <n v="466477"/>
    <n v="592957"/>
    <m/>
    <x v="1"/>
    <n v="592957"/>
  </r>
  <r>
    <x v="1"/>
    <x v="22"/>
    <x v="22"/>
    <x v="10"/>
    <s v="Regulación y supervisión"/>
    <x v="2"/>
    <x v="631"/>
    <x v="51"/>
    <x v="920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12103497"/>
    <n v="0"/>
    <n v="-766882"/>
    <n v="11336615"/>
    <n v="13761894"/>
    <m/>
    <x v="1"/>
    <n v="13761894"/>
  </r>
  <r>
    <x v="1"/>
    <x v="22"/>
    <x v="22"/>
    <x v="15"/>
    <s v="Gasto Federalizado"/>
    <x v="3"/>
    <x v="632"/>
    <x v="4"/>
    <x v="918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836951312"/>
    <n v="900000000"/>
    <n v="0"/>
    <n v="1736951312"/>
    <n v="930728318"/>
    <m/>
    <x v="121"/>
    <n v="1680728318"/>
  </r>
  <r>
    <x v="1"/>
    <x v="22"/>
    <x v="22"/>
    <x v="15"/>
    <s v="Gasto Federalizado"/>
    <x v="4"/>
    <x v="633"/>
    <x v="5"/>
    <x v="919"/>
    <n v="3"/>
    <s v="Desarrollo Económico"/>
    <n v="6"/>
    <s v="Turismo"/>
    <n v="1"/>
    <x v="71"/>
    <x v="0"/>
    <x v="164"/>
    <n v="1"/>
    <s v="Gasto corriente"/>
    <x v="0"/>
    <x v="0"/>
    <x v="0"/>
    <x v="0"/>
    <x v="1"/>
    <x v="0"/>
    <x v="0"/>
    <m/>
    <x v="0"/>
    <x v="1"/>
    <m/>
    <n v="135000000"/>
    <n v="0"/>
    <n v="0"/>
    <n v="135000000"/>
    <n v="153259865"/>
    <m/>
    <x v="1"/>
    <n v="153259865"/>
  </r>
  <r>
    <x v="1"/>
    <x v="22"/>
    <x v="22"/>
    <x v="0"/>
    <s v="Proyectos de Inversión"/>
    <x v="24"/>
    <x v="634"/>
    <x v="416"/>
    <x v="917"/>
    <n v="3"/>
    <s v="Desarrollo Económico"/>
    <n v="6"/>
    <s v="Turismo"/>
    <n v="1"/>
    <x v="71"/>
    <x v="1"/>
    <x v="165"/>
    <n v="2"/>
    <s v="Gasto de capital"/>
    <x v="0"/>
    <x v="0"/>
    <x v="0"/>
    <x v="0"/>
    <x v="0"/>
    <x v="0"/>
    <x v="0"/>
    <m/>
    <x v="0"/>
    <x v="1"/>
    <m/>
    <n v="311990103"/>
    <n v="12988000"/>
    <n v="0"/>
    <n v="324978103"/>
    <n v="626635257"/>
    <m/>
    <x v="1"/>
    <n v="626635257"/>
  </r>
  <r>
    <x v="1"/>
    <x v="22"/>
    <x v="22"/>
    <x v="0"/>
    <s v="Proyectos de Inversión"/>
    <x v="25"/>
    <x v="186"/>
    <x v="416"/>
    <x v="917"/>
    <n v="3"/>
    <s v="Desarrollo Económico"/>
    <n v="6"/>
    <s v="Turismo"/>
    <n v="1"/>
    <x v="71"/>
    <x v="1"/>
    <x v="165"/>
    <n v="2"/>
    <s v="Gasto de capital"/>
    <x v="0"/>
    <x v="0"/>
    <x v="0"/>
    <x v="0"/>
    <x v="0"/>
    <x v="0"/>
    <x v="0"/>
    <m/>
    <x v="0"/>
    <x v="1"/>
    <m/>
    <n v="462273315"/>
    <n v="87012000"/>
    <n v="0"/>
    <n v="549285315"/>
    <n v="557000000"/>
    <m/>
    <x v="1"/>
    <n v="557000000"/>
  </r>
  <r>
    <x v="1"/>
    <x v="22"/>
    <x v="22"/>
    <x v="0"/>
    <s v="Proyectos de Inversión"/>
    <x v="1"/>
    <x v="1"/>
    <x v="416"/>
    <x v="917"/>
    <n v="3"/>
    <s v="Desarrollo Económico"/>
    <n v="6"/>
    <s v="Turismo"/>
    <n v="1"/>
    <x v="71"/>
    <x v="1"/>
    <x v="165"/>
    <n v="2"/>
    <s v="Gasto de capital"/>
    <x v="0"/>
    <x v="0"/>
    <x v="0"/>
    <x v="0"/>
    <x v="0"/>
    <x v="0"/>
    <x v="0"/>
    <m/>
    <x v="0"/>
    <x v="1"/>
    <m/>
    <n v="184837569"/>
    <n v="0"/>
    <n v="0"/>
    <n v="184837569"/>
    <n v="160000000"/>
    <m/>
    <x v="1"/>
    <n v="160000000"/>
  </r>
  <r>
    <x v="1"/>
    <x v="22"/>
    <x v="22"/>
    <x v="2"/>
    <s v="Apoyo al proceso presupuestario y para mejorar la eficiencia institucional"/>
    <x v="2"/>
    <x v="34"/>
    <x v="58"/>
    <x v="921"/>
    <n v="3"/>
    <s v="Desarrollo Económico"/>
    <n v="6"/>
    <s v="Turismo"/>
    <n v="1"/>
    <x v="71"/>
    <x v="3"/>
    <x v="12"/>
    <n v="1"/>
    <s v="Gasto corriente"/>
    <x v="0"/>
    <x v="1"/>
    <x v="0"/>
    <x v="0"/>
    <x v="0"/>
    <x v="0"/>
    <x v="0"/>
    <m/>
    <x v="0"/>
    <x v="0"/>
    <m/>
    <n v="490725"/>
    <n v="0"/>
    <n v="0"/>
    <n v="490725"/>
    <n v="1250915"/>
    <m/>
    <x v="1"/>
    <n v="1250915"/>
  </r>
  <r>
    <x v="1"/>
    <x v="22"/>
    <x v="22"/>
    <x v="2"/>
    <s v="Apoyo al proceso presupuestario y para mejorar la eficiencia institucional"/>
    <x v="2"/>
    <x v="34"/>
    <x v="58"/>
    <x v="921"/>
    <n v="3"/>
    <s v="Desarrollo Económico"/>
    <n v="6"/>
    <s v="Turismo"/>
    <n v="1"/>
    <x v="71"/>
    <x v="3"/>
    <x v="12"/>
    <n v="1"/>
    <s v="Gasto corriente"/>
    <x v="0"/>
    <x v="0"/>
    <x v="0"/>
    <x v="0"/>
    <x v="0"/>
    <x v="0"/>
    <x v="0"/>
    <m/>
    <x v="0"/>
    <x v="0"/>
    <m/>
    <n v="10768068"/>
    <n v="0"/>
    <n v="-326054"/>
    <n v="10442014"/>
    <n v="26102441"/>
    <m/>
    <x v="1"/>
    <n v="26102441"/>
  </r>
  <r>
    <x v="1"/>
    <x v="22"/>
    <x v="22"/>
    <x v="2"/>
    <s v="Apoyo al proceso presupuestario y para mejorar la eficiencia institucional"/>
    <x v="2"/>
    <x v="34"/>
    <x v="59"/>
    <x v="214"/>
    <n v="3"/>
    <s v="Desarrollo Económico"/>
    <n v="6"/>
    <s v="Turismo"/>
    <n v="1"/>
    <x v="71"/>
    <x v="3"/>
    <x v="12"/>
    <n v="1"/>
    <s v="Gasto corriente"/>
    <x v="0"/>
    <x v="1"/>
    <x v="0"/>
    <x v="0"/>
    <x v="0"/>
    <x v="0"/>
    <x v="1"/>
    <m/>
    <x v="0"/>
    <x v="0"/>
    <m/>
    <n v="2747949"/>
    <n v="0"/>
    <n v="0"/>
    <n v="2747949"/>
    <n v="2750277"/>
    <m/>
    <x v="1"/>
    <n v="2750277"/>
  </r>
  <r>
    <x v="1"/>
    <x v="22"/>
    <x v="22"/>
    <x v="2"/>
    <s v="Apoyo al proceso presupuestario y para mejorar la eficiencia institucional"/>
    <x v="2"/>
    <x v="34"/>
    <x v="59"/>
    <x v="214"/>
    <n v="3"/>
    <s v="Desarrollo Económico"/>
    <n v="6"/>
    <s v="Turismo"/>
    <n v="1"/>
    <x v="71"/>
    <x v="3"/>
    <x v="12"/>
    <n v="1"/>
    <s v="Gasto corriente"/>
    <x v="0"/>
    <x v="0"/>
    <x v="0"/>
    <x v="0"/>
    <x v="0"/>
    <x v="0"/>
    <x v="1"/>
    <m/>
    <x v="0"/>
    <x v="0"/>
    <m/>
    <n v="45599320"/>
    <n v="0"/>
    <n v="-1649081"/>
    <n v="43950239"/>
    <n v="54150394"/>
    <m/>
    <x v="1"/>
    <n v="54150394"/>
  </r>
  <r>
    <x v="1"/>
    <x v="22"/>
    <x v="22"/>
    <x v="2"/>
    <s v="Apoyo al proceso presupuestario y para mejorar la eficiencia institucional"/>
    <x v="2"/>
    <x v="34"/>
    <x v="59"/>
    <x v="214"/>
    <n v="3"/>
    <s v="Desarrollo Económico"/>
    <n v="6"/>
    <s v="Turismo"/>
    <n v="1"/>
    <x v="71"/>
    <x v="3"/>
    <x v="12"/>
    <n v="2"/>
    <s v="Gasto de capital"/>
    <x v="0"/>
    <x v="0"/>
    <x v="0"/>
    <x v="0"/>
    <x v="0"/>
    <x v="0"/>
    <x v="1"/>
    <m/>
    <x v="0"/>
    <x v="0"/>
    <m/>
    <n v="4500000"/>
    <n v="0"/>
    <n v="0"/>
    <n v="4500000"/>
    <m/>
    <m/>
    <x v="1"/>
    <n v="0"/>
  </r>
  <r>
    <x v="1"/>
    <x v="22"/>
    <x v="22"/>
    <x v="2"/>
    <s v="Apoyo al proceso presupuestario y para mejorar la eficiencia institucional"/>
    <x v="2"/>
    <x v="34"/>
    <x v="415"/>
    <x v="916"/>
    <n v="3"/>
    <s v="Desarrollo Económico"/>
    <n v="6"/>
    <s v="Turismo"/>
    <n v="1"/>
    <x v="71"/>
    <x v="3"/>
    <x v="12"/>
    <n v="1"/>
    <s v="Gasto corriente"/>
    <x v="0"/>
    <x v="0"/>
    <x v="0"/>
    <x v="0"/>
    <x v="0"/>
    <x v="0"/>
    <x v="0"/>
    <m/>
    <x v="0"/>
    <x v="0"/>
    <m/>
    <n v="13836010"/>
    <n v="0"/>
    <n v="0"/>
    <n v="13836010"/>
    <n v="10001678"/>
    <m/>
    <x v="1"/>
    <n v="10001678"/>
  </r>
  <r>
    <x v="1"/>
    <x v="22"/>
    <x v="22"/>
    <x v="3"/>
    <s v="Apoyo a la función pública y al mejoramiento de la gestión"/>
    <x v="2"/>
    <x v="42"/>
    <x v="3"/>
    <x v="92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597239"/>
    <n v="0"/>
    <n v="0"/>
    <n v="597239"/>
    <n v="726672"/>
    <m/>
    <x v="1"/>
    <n v="726672"/>
  </r>
  <r>
    <x v="1"/>
    <x v="22"/>
    <x v="22"/>
    <x v="3"/>
    <s v="Apoyo a la función pública y al mejoramiento de la gestión"/>
    <x v="2"/>
    <x v="42"/>
    <x v="3"/>
    <x v="92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3376675"/>
    <n v="0"/>
    <n v="-379620"/>
    <n v="12997055"/>
    <n v="11023308"/>
    <m/>
    <x v="1"/>
    <n v="11023308"/>
  </r>
  <r>
    <x v="1"/>
    <x v="22"/>
    <x v="22"/>
    <x v="3"/>
    <s v="Apoyo a la función pública y al mejoramiento de la gestión"/>
    <x v="2"/>
    <x v="42"/>
    <x v="415"/>
    <x v="91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559705"/>
    <n v="0"/>
    <n v="0"/>
    <n v="4559705"/>
    <n v="4510883"/>
    <m/>
    <x v="1"/>
    <n v="4510883"/>
  </r>
  <r>
    <x v="1"/>
    <x v="22"/>
    <x v="22"/>
    <x v="3"/>
    <s v="Apoyo a la función pública y al mejoramiento de la gestión"/>
    <x v="32"/>
    <x v="121"/>
    <x v="85"/>
    <x v="92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200000"/>
    <n v="0"/>
    <n v="-106416"/>
    <n v="2093584"/>
    <n v="2243420"/>
    <m/>
    <x v="1"/>
    <n v="2243420"/>
  </r>
  <r>
    <x v="1"/>
    <x v="22"/>
    <x v="22"/>
    <x v="3"/>
    <s v="Apoyo a la función pública y al mejoramiento de la gestión"/>
    <x v="32"/>
    <x v="121"/>
    <x v="57"/>
    <x v="92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99000"/>
    <n v="0"/>
    <n v="0"/>
    <n v="199000"/>
    <n v="175120"/>
    <m/>
    <x v="1"/>
    <n v="175120"/>
  </r>
  <r>
    <x v="1"/>
    <x v="22"/>
    <x v="22"/>
    <x v="3"/>
    <s v="Apoyo a la función pública y al mejoramiento de la gestión"/>
    <x v="32"/>
    <x v="121"/>
    <x v="31"/>
    <x v="914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00000"/>
    <n v="0"/>
    <n v="0"/>
    <n v="200000"/>
    <n v="176000"/>
    <m/>
    <x v="1"/>
    <n v="176000"/>
  </r>
  <r>
    <x v="1"/>
    <x v="22"/>
    <x v="22"/>
    <x v="5"/>
    <s v="Planeación, seguimiento y evaluación de políticas públicas"/>
    <x v="2"/>
    <x v="635"/>
    <x v="1"/>
    <x v="78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1126802"/>
    <n v="0"/>
    <n v="0"/>
    <n v="1126802"/>
    <n v="1263959"/>
    <m/>
    <x v="1"/>
    <n v="1263959"/>
  </r>
  <r>
    <x v="1"/>
    <x v="22"/>
    <x v="22"/>
    <x v="5"/>
    <s v="Planeación, seguimiento y evaluación de políticas públicas"/>
    <x v="2"/>
    <x v="635"/>
    <x v="1"/>
    <x v="78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44207015"/>
    <n v="0"/>
    <n v="-1515074"/>
    <n v="42691941"/>
    <n v="61685304"/>
    <m/>
    <x v="1"/>
    <n v="61685304"/>
  </r>
  <r>
    <x v="1"/>
    <x v="22"/>
    <x v="22"/>
    <x v="5"/>
    <s v="Planeación, seguimiento y evaluación de políticas públicas"/>
    <x v="2"/>
    <x v="635"/>
    <x v="22"/>
    <x v="93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666928"/>
    <n v="0"/>
    <n v="0"/>
    <n v="666928"/>
    <n v="798065"/>
    <m/>
    <x v="1"/>
    <n v="798065"/>
  </r>
  <r>
    <x v="1"/>
    <x v="22"/>
    <x v="22"/>
    <x v="5"/>
    <s v="Planeación, seguimiento y evaluación de políticas públicas"/>
    <x v="2"/>
    <x v="635"/>
    <x v="22"/>
    <x v="93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19978290"/>
    <n v="0"/>
    <n v="-1176793"/>
    <n v="18801497"/>
    <n v="29722457"/>
    <m/>
    <x v="1"/>
    <n v="29722457"/>
  </r>
  <r>
    <x v="1"/>
    <x v="22"/>
    <x v="22"/>
    <x v="5"/>
    <s v="Planeación, seguimiento y evaluación de políticas públicas"/>
    <x v="2"/>
    <x v="635"/>
    <x v="23"/>
    <x v="43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458388"/>
    <n v="0"/>
    <n v="0"/>
    <n v="458388"/>
    <n v="643498"/>
    <m/>
    <x v="1"/>
    <n v="643498"/>
  </r>
  <r>
    <x v="1"/>
    <x v="22"/>
    <x v="22"/>
    <x v="5"/>
    <s v="Planeación, seguimiento y evaluación de políticas públicas"/>
    <x v="2"/>
    <x v="635"/>
    <x v="23"/>
    <x v="43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9171770"/>
    <n v="0"/>
    <n v="-321925"/>
    <n v="8849845"/>
    <n v="32667034"/>
    <m/>
    <x v="1"/>
    <n v="32667034"/>
  </r>
  <r>
    <x v="1"/>
    <x v="22"/>
    <x v="22"/>
    <x v="5"/>
    <s v="Planeación, seguimiento y evaluación de políticas públicas"/>
    <x v="2"/>
    <x v="635"/>
    <x v="0"/>
    <x v="925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576290"/>
    <n v="0"/>
    <n v="0"/>
    <n v="576290"/>
    <n v="741399"/>
    <m/>
    <x v="1"/>
    <n v="741399"/>
  </r>
  <r>
    <x v="1"/>
    <x v="22"/>
    <x v="22"/>
    <x v="5"/>
    <s v="Planeación, seguimiento y evaluación de políticas públicas"/>
    <x v="2"/>
    <x v="635"/>
    <x v="0"/>
    <x v="925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25911855"/>
    <n v="0"/>
    <n v="-582746"/>
    <n v="25329109"/>
    <n v="41817178"/>
    <m/>
    <x v="1"/>
    <n v="41817178"/>
  </r>
  <r>
    <x v="1"/>
    <x v="22"/>
    <x v="22"/>
    <x v="5"/>
    <s v="Planeación, seguimiento y evaluación de políticas públicas"/>
    <x v="2"/>
    <x v="635"/>
    <x v="85"/>
    <x v="923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914576"/>
    <n v="0"/>
    <n v="0"/>
    <n v="914576"/>
    <n v="993420"/>
    <m/>
    <x v="1"/>
    <n v="993420"/>
  </r>
  <r>
    <x v="1"/>
    <x v="22"/>
    <x v="22"/>
    <x v="5"/>
    <s v="Planeación, seguimiento y evaluación de políticas públicas"/>
    <x v="2"/>
    <x v="635"/>
    <x v="85"/>
    <x v="923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66274456"/>
    <n v="0"/>
    <n v="-4924289"/>
    <n v="61350167"/>
    <n v="28017237"/>
    <m/>
    <x v="1"/>
    <n v="28017237"/>
  </r>
  <r>
    <x v="1"/>
    <x v="22"/>
    <x v="22"/>
    <x v="5"/>
    <s v="Planeación, seguimiento y evaluación de políticas públicas"/>
    <x v="2"/>
    <x v="635"/>
    <x v="74"/>
    <x v="926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777331"/>
    <n v="0"/>
    <n v="0"/>
    <n v="777331"/>
    <n v="905369"/>
    <m/>
    <x v="1"/>
    <n v="905369"/>
  </r>
  <r>
    <x v="1"/>
    <x v="22"/>
    <x v="22"/>
    <x v="5"/>
    <s v="Planeación, seguimiento y evaluación de políticas públicas"/>
    <x v="2"/>
    <x v="635"/>
    <x v="74"/>
    <x v="926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27292313"/>
    <n v="0"/>
    <n v="-1674483"/>
    <n v="25617830"/>
    <n v="41757280"/>
    <m/>
    <x v="1"/>
    <n v="41757280"/>
  </r>
  <r>
    <x v="1"/>
    <x v="22"/>
    <x v="22"/>
    <x v="5"/>
    <s v="Planeación, seguimiento y evaluación de políticas públicas"/>
    <x v="2"/>
    <x v="635"/>
    <x v="75"/>
    <x v="927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0"/>
    <m/>
    <x v="0"/>
    <x v="0"/>
    <m/>
    <n v="423595"/>
    <n v="0"/>
    <n v="0"/>
    <n v="423595"/>
    <n v="517568"/>
    <m/>
    <x v="1"/>
    <n v="517568"/>
  </r>
  <r>
    <x v="1"/>
    <x v="22"/>
    <x v="22"/>
    <x v="5"/>
    <s v="Planeación, seguimiento y evaluación de políticas públicas"/>
    <x v="2"/>
    <x v="635"/>
    <x v="75"/>
    <x v="927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0"/>
    <m/>
    <x v="0"/>
    <x v="0"/>
    <m/>
    <n v="14037491"/>
    <n v="0"/>
    <n v="-1095465"/>
    <n v="12942026"/>
    <n v="11611649"/>
    <m/>
    <x v="1"/>
    <n v="11611649"/>
  </r>
  <r>
    <x v="1"/>
    <x v="22"/>
    <x v="22"/>
    <x v="5"/>
    <s v="Planeación, seguimiento y evaluación de políticas públicas"/>
    <x v="2"/>
    <x v="635"/>
    <x v="72"/>
    <x v="928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1"/>
    <m/>
    <x v="0"/>
    <x v="0"/>
    <m/>
    <n v="391580"/>
    <n v="0"/>
    <n v="0"/>
    <n v="391580"/>
    <n v="530099"/>
    <m/>
    <x v="1"/>
    <n v="530099"/>
  </r>
  <r>
    <x v="1"/>
    <x v="22"/>
    <x v="22"/>
    <x v="5"/>
    <s v="Planeación, seguimiento y evaluación de políticas públicas"/>
    <x v="2"/>
    <x v="635"/>
    <x v="72"/>
    <x v="928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1"/>
    <m/>
    <x v="0"/>
    <x v="0"/>
    <m/>
    <n v="16738059"/>
    <n v="5000000"/>
    <n v="-1238281"/>
    <n v="20499778"/>
    <n v="16677515"/>
    <m/>
    <x v="1"/>
    <n v="16677515"/>
  </r>
  <r>
    <x v="1"/>
    <x v="22"/>
    <x v="22"/>
    <x v="5"/>
    <s v="Planeación, seguimiento y evaluación de políticas públicas"/>
    <x v="2"/>
    <x v="635"/>
    <x v="57"/>
    <x v="924"/>
    <n v="3"/>
    <s v="Desarrollo Económico"/>
    <n v="6"/>
    <s v="Turismo"/>
    <n v="1"/>
    <x v="71"/>
    <x v="0"/>
    <x v="164"/>
    <n v="1"/>
    <s v="Gasto corriente"/>
    <x v="0"/>
    <x v="1"/>
    <x v="0"/>
    <x v="1"/>
    <x v="0"/>
    <x v="0"/>
    <x v="0"/>
    <m/>
    <x v="0"/>
    <x v="0"/>
    <m/>
    <n v="422335"/>
    <n v="0"/>
    <n v="0"/>
    <n v="422335"/>
    <n v="485685"/>
    <m/>
    <x v="1"/>
    <n v="485685"/>
  </r>
  <r>
    <x v="1"/>
    <x v="22"/>
    <x v="22"/>
    <x v="5"/>
    <s v="Planeación, seguimiento y evaluación de políticas públicas"/>
    <x v="2"/>
    <x v="635"/>
    <x v="57"/>
    <x v="924"/>
    <n v="3"/>
    <s v="Desarrollo Económico"/>
    <n v="6"/>
    <s v="Turismo"/>
    <n v="1"/>
    <x v="71"/>
    <x v="0"/>
    <x v="164"/>
    <n v="1"/>
    <s v="Gasto corriente"/>
    <x v="0"/>
    <x v="0"/>
    <x v="0"/>
    <x v="1"/>
    <x v="0"/>
    <x v="0"/>
    <x v="0"/>
    <m/>
    <x v="0"/>
    <x v="0"/>
    <m/>
    <n v="22386525"/>
    <n v="0"/>
    <n v="-2779494"/>
    <n v="19607031"/>
    <n v="18055920"/>
    <m/>
    <x v="1"/>
    <n v="18055920"/>
  </r>
  <r>
    <x v="1"/>
    <x v="22"/>
    <x v="22"/>
    <x v="5"/>
    <s v="Planeación, seguimiento y evaluación de políticas públicas"/>
    <x v="3"/>
    <x v="636"/>
    <x v="50"/>
    <x v="929"/>
    <n v="3"/>
    <s v="Desarrollo Económico"/>
    <n v="6"/>
    <s v="Turismo"/>
    <n v="1"/>
    <x v="71"/>
    <x v="0"/>
    <x v="164"/>
    <n v="1"/>
    <s v="Gasto corriente"/>
    <x v="0"/>
    <x v="1"/>
    <x v="0"/>
    <x v="0"/>
    <x v="0"/>
    <x v="0"/>
    <x v="1"/>
    <m/>
    <x v="0"/>
    <x v="0"/>
    <m/>
    <n v="374087"/>
    <n v="0"/>
    <n v="0"/>
    <n v="374087"/>
    <n v="483677"/>
    <m/>
    <x v="1"/>
    <n v="483677"/>
  </r>
  <r>
    <x v="1"/>
    <x v="22"/>
    <x v="22"/>
    <x v="5"/>
    <s v="Planeación, seguimiento y evaluación de políticas públicas"/>
    <x v="3"/>
    <x v="636"/>
    <x v="50"/>
    <x v="929"/>
    <n v="3"/>
    <s v="Desarrollo Económico"/>
    <n v="6"/>
    <s v="Turismo"/>
    <n v="1"/>
    <x v="71"/>
    <x v="0"/>
    <x v="164"/>
    <n v="1"/>
    <s v="Gasto corriente"/>
    <x v="0"/>
    <x v="0"/>
    <x v="0"/>
    <x v="0"/>
    <x v="0"/>
    <x v="0"/>
    <x v="1"/>
    <m/>
    <x v="0"/>
    <x v="0"/>
    <m/>
    <n v="12663695"/>
    <n v="0"/>
    <n v="-1407173"/>
    <n v="11256522"/>
    <n v="16341441"/>
    <m/>
    <x v="1"/>
    <n v="16341441"/>
  </r>
  <r>
    <x v="1"/>
    <x v="23"/>
    <x v="23"/>
    <x v="2"/>
    <s v="Apoyo al proceso presupuestario y para mejorar la eficiencia institucional"/>
    <x v="2"/>
    <x v="34"/>
    <x v="58"/>
    <x v="39"/>
    <n v="1"/>
    <s v="Gobierno"/>
    <n v="8"/>
    <s v="Administración Pública"/>
    <n v="3"/>
    <x v="6"/>
    <x v="3"/>
    <x v="12"/>
    <n v="1"/>
    <s v="Gasto corriente"/>
    <x v="0"/>
    <x v="1"/>
    <x v="0"/>
    <x v="0"/>
    <x v="0"/>
    <x v="0"/>
    <x v="0"/>
    <m/>
    <x v="0"/>
    <x v="0"/>
    <m/>
    <n v="261895"/>
    <n v="0"/>
    <n v="-22362"/>
    <n v="239533"/>
    <n v="323819"/>
    <m/>
    <x v="1"/>
    <n v="323819"/>
  </r>
  <r>
    <x v="1"/>
    <x v="23"/>
    <x v="23"/>
    <x v="2"/>
    <s v="Apoyo al proceso presupuestario y para mejorar la eficiencia institucional"/>
    <x v="2"/>
    <x v="34"/>
    <x v="58"/>
    <x v="39"/>
    <n v="1"/>
    <s v="Gobierno"/>
    <n v="8"/>
    <s v="Administración Pública"/>
    <n v="3"/>
    <x v="6"/>
    <x v="3"/>
    <x v="12"/>
    <n v="1"/>
    <s v="Gasto corriente"/>
    <x v="0"/>
    <x v="0"/>
    <x v="0"/>
    <x v="0"/>
    <x v="0"/>
    <x v="0"/>
    <x v="0"/>
    <m/>
    <x v="0"/>
    <x v="0"/>
    <m/>
    <n v="11010105"/>
    <n v="0"/>
    <n v="-921938"/>
    <n v="10088167"/>
    <n v="12074081"/>
    <m/>
    <x v="1"/>
    <n v="12074081"/>
  </r>
  <r>
    <x v="1"/>
    <x v="23"/>
    <x v="23"/>
    <x v="2"/>
    <s v="Apoyo al proceso presupuestario y para mejorar la eficiencia institucional"/>
    <x v="2"/>
    <x v="34"/>
    <x v="59"/>
    <x v="69"/>
    <n v="1"/>
    <s v="Gobierno"/>
    <n v="8"/>
    <s v="Administración Pública"/>
    <n v="3"/>
    <x v="6"/>
    <x v="3"/>
    <x v="12"/>
    <n v="1"/>
    <s v="Gasto corriente"/>
    <x v="0"/>
    <x v="1"/>
    <x v="0"/>
    <x v="0"/>
    <x v="0"/>
    <x v="0"/>
    <x v="0"/>
    <m/>
    <x v="0"/>
    <x v="0"/>
    <m/>
    <n v="1559999"/>
    <n v="0"/>
    <n v="709064"/>
    <n v="2269063"/>
    <n v="3173009"/>
    <m/>
    <x v="1"/>
    <n v="3173009"/>
  </r>
  <r>
    <x v="1"/>
    <x v="23"/>
    <x v="23"/>
    <x v="2"/>
    <s v="Apoyo al proceso presupuestario y para mejorar la eficiencia institucional"/>
    <x v="2"/>
    <x v="34"/>
    <x v="59"/>
    <x v="69"/>
    <n v="1"/>
    <s v="Gobierno"/>
    <n v="8"/>
    <s v="Administración Pública"/>
    <n v="3"/>
    <x v="6"/>
    <x v="3"/>
    <x v="12"/>
    <n v="1"/>
    <s v="Gasto corriente"/>
    <x v="0"/>
    <x v="0"/>
    <x v="0"/>
    <x v="0"/>
    <x v="0"/>
    <x v="0"/>
    <x v="0"/>
    <m/>
    <x v="0"/>
    <x v="0"/>
    <m/>
    <n v="31376427"/>
    <n v="0"/>
    <n v="-2460265"/>
    <n v="28916162"/>
    <n v="66132368"/>
    <m/>
    <x v="1"/>
    <n v="66132368"/>
  </r>
  <r>
    <x v="1"/>
    <x v="23"/>
    <x v="23"/>
    <x v="2"/>
    <s v="Apoyo al proceso presupuestario y para mejorar la eficiencia institucional"/>
    <x v="2"/>
    <x v="34"/>
    <x v="81"/>
    <x v="70"/>
    <n v="1"/>
    <s v="Gobierno"/>
    <n v="8"/>
    <s v="Administración Pública"/>
    <n v="3"/>
    <x v="6"/>
    <x v="3"/>
    <x v="12"/>
    <n v="1"/>
    <s v="Gasto corriente"/>
    <x v="0"/>
    <x v="1"/>
    <x v="0"/>
    <x v="0"/>
    <x v="0"/>
    <x v="0"/>
    <x v="0"/>
    <m/>
    <x v="0"/>
    <x v="0"/>
    <m/>
    <n v="605886"/>
    <n v="0"/>
    <n v="0"/>
    <n v="605886"/>
    <n v="713050"/>
    <m/>
    <x v="1"/>
    <n v="713050"/>
  </r>
  <r>
    <x v="1"/>
    <x v="23"/>
    <x v="23"/>
    <x v="2"/>
    <s v="Apoyo al proceso presupuestario y para mejorar la eficiencia institucional"/>
    <x v="2"/>
    <x v="34"/>
    <x v="81"/>
    <x v="70"/>
    <n v="1"/>
    <s v="Gobierno"/>
    <n v="8"/>
    <s v="Administración Pública"/>
    <n v="3"/>
    <x v="6"/>
    <x v="3"/>
    <x v="12"/>
    <n v="1"/>
    <s v="Gasto corriente"/>
    <x v="0"/>
    <x v="0"/>
    <x v="0"/>
    <x v="0"/>
    <x v="0"/>
    <x v="0"/>
    <x v="0"/>
    <m/>
    <x v="0"/>
    <x v="0"/>
    <m/>
    <n v="18111514"/>
    <n v="0"/>
    <n v="922100"/>
    <n v="19033614"/>
    <n v="17775150"/>
    <m/>
    <x v="1"/>
    <n v="17775150"/>
  </r>
  <r>
    <x v="1"/>
    <x v="23"/>
    <x v="23"/>
    <x v="2"/>
    <s v="Apoyo al proceso presupuestario y para mejorar la eficiencia institucional"/>
    <x v="2"/>
    <x v="34"/>
    <x v="82"/>
    <x v="71"/>
    <n v="1"/>
    <s v="Gobierno"/>
    <n v="8"/>
    <s v="Administración Pública"/>
    <n v="3"/>
    <x v="6"/>
    <x v="3"/>
    <x v="12"/>
    <n v="1"/>
    <s v="Gasto corriente"/>
    <x v="0"/>
    <x v="1"/>
    <x v="0"/>
    <x v="0"/>
    <x v="0"/>
    <x v="0"/>
    <x v="0"/>
    <m/>
    <x v="0"/>
    <x v="0"/>
    <m/>
    <n v="1423314"/>
    <n v="0"/>
    <n v="-3008"/>
    <n v="1420306"/>
    <n v="1754381"/>
    <m/>
    <x v="1"/>
    <n v="1754381"/>
  </r>
  <r>
    <x v="1"/>
    <x v="23"/>
    <x v="23"/>
    <x v="2"/>
    <s v="Apoyo al proceso presupuestario y para mejorar la eficiencia institucional"/>
    <x v="2"/>
    <x v="34"/>
    <x v="82"/>
    <x v="71"/>
    <n v="1"/>
    <s v="Gobierno"/>
    <n v="8"/>
    <s v="Administración Pública"/>
    <n v="3"/>
    <x v="6"/>
    <x v="3"/>
    <x v="12"/>
    <n v="1"/>
    <s v="Gasto corriente"/>
    <x v="0"/>
    <x v="0"/>
    <x v="0"/>
    <x v="0"/>
    <x v="0"/>
    <x v="0"/>
    <x v="0"/>
    <m/>
    <x v="0"/>
    <x v="0"/>
    <m/>
    <n v="29502286"/>
    <n v="0"/>
    <n v="-362592"/>
    <n v="29139694"/>
    <n v="30550919"/>
    <m/>
    <x v="1"/>
    <n v="30550919"/>
  </r>
  <r>
    <x v="1"/>
    <x v="23"/>
    <x v="23"/>
    <x v="2"/>
    <s v="Apoyo al proceso presupuestario y para mejorar la eficiencia institucional"/>
    <x v="2"/>
    <x v="34"/>
    <x v="82"/>
    <x v="71"/>
    <n v="1"/>
    <s v="Gobierno"/>
    <n v="8"/>
    <s v="Administración Pública"/>
    <n v="3"/>
    <x v="6"/>
    <x v="3"/>
    <x v="12"/>
    <n v="2"/>
    <s v="Gasto de capital"/>
    <x v="0"/>
    <x v="0"/>
    <x v="0"/>
    <x v="0"/>
    <x v="0"/>
    <x v="0"/>
    <x v="0"/>
    <m/>
    <x v="0"/>
    <x v="0"/>
    <m/>
    <n v="358400"/>
    <n v="0"/>
    <n v="0"/>
    <n v="358400"/>
    <n v="500000"/>
    <m/>
    <x v="1"/>
    <n v="500000"/>
  </r>
  <r>
    <x v="1"/>
    <x v="23"/>
    <x v="23"/>
    <x v="3"/>
    <s v="Apoyo a la función pública y al mejoramiento de la gestión"/>
    <x v="2"/>
    <x v="42"/>
    <x v="23"/>
    <x v="92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287909"/>
    <n v="0"/>
    <n v="0"/>
    <n v="1287909"/>
    <n v="1643674"/>
    <m/>
    <x v="1"/>
    <n v="1643674"/>
  </r>
  <r>
    <x v="1"/>
    <x v="23"/>
    <x v="23"/>
    <x v="3"/>
    <s v="Apoyo a la función pública y al mejoramiento de la gestión"/>
    <x v="2"/>
    <x v="42"/>
    <x v="23"/>
    <x v="92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37093291"/>
    <n v="0"/>
    <n v="22000"/>
    <n v="37115291"/>
    <n v="38457726"/>
    <m/>
    <x v="1"/>
    <n v="38457726"/>
  </r>
  <r>
    <x v="1"/>
    <x v="23"/>
    <x v="23"/>
    <x v="3"/>
    <s v="Apoyo a la función pública y al mejoramiento de la gestión"/>
    <x v="3"/>
    <x v="637"/>
    <x v="19"/>
    <x v="930"/>
    <n v="1"/>
    <s v="Gobierno"/>
    <n v="8"/>
    <s v="Administración Pública"/>
    <n v="3"/>
    <x v="6"/>
    <x v="0"/>
    <x v="167"/>
    <n v="1"/>
    <s v="Gasto corriente"/>
    <x v="0"/>
    <x v="1"/>
    <x v="0"/>
    <x v="0"/>
    <x v="0"/>
    <x v="0"/>
    <x v="0"/>
    <m/>
    <x v="0"/>
    <x v="0"/>
    <m/>
    <n v="3095422"/>
    <n v="0"/>
    <n v="-127764"/>
    <n v="2967658"/>
    <n v="3480539"/>
    <m/>
    <x v="1"/>
    <n v="3480539"/>
  </r>
  <r>
    <x v="1"/>
    <x v="23"/>
    <x v="23"/>
    <x v="3"/>
    <s v="Apoyo a la función pública y al mejoramiento de la gestión"/>
    <x v="3"/>
    <x v="637"/>
    <x v="19"/>
    <x v="930"/>
    <n v="1"/>
    <s v="Gobierno"/>
    <n v="8"/>
    <s v="Administración Pública"/>
    <n v="3"/>
    <x v="6"/>
    <x v="0"/>
    <x v="167"/>
    <n v="1"/>
    <s v="Gasto corriente"/>
    <x v="0"/>
    <x v="0"/>
    <x v="0"/>
    <x v="0"/>
    <x v="0"/>
    <x v="0"/>
    <x v="0"/>
    <m/>
    <x v="0"/>
    <x v="0"/>
    <m/>
    <n v="138637178"/>
    <n v="0"/>
    <n v="-5280636"/>
    <n v="133356542"/>
    <n v="119906861"/>
    <m/>
    <x v="1"/>
    <n v="119906861"/>
  </r>
  <r>
    <x v="1"/>
    <x v="23"/>
    <x v="23"/>
    <x v="3"/>
    <s v="Apoyo a la función pública y al mejoramiento de la gestión"/>
    <x v="3"/>
    <x v="637"/>
    <x v="0"/>
    <x v="931"/>
    <n v="1"/>
    <s v="Gobierno"/>
    <n v="8"/>
    <s v="Administración Pública"/>
    <n v="3"/>
    <x v="6"/>
    <x v="0"/>
    <x v="167"/>
    <n v="1"/>
    <s v="Gasto corriente"/>
    <x v="0"/>
    <x v="1"/>
    <x v="0"/>
    <x v="0"/>
    <x v="0"/>
    <x v="0"/>
    <x v="0"/>
    <m/>
    <x v="0"/>
    <x v="0"/>
    <m/>
    <n v="336369"/>
    <n v="0"/>
    <n v="71514"/>
    <n v="407883"/>
    <n v="418594"/>
    <m/>
    <x v="1"/>
    <n v="418594"/>
  </r>
  <r>
    <x v="1"/>
    <x v="23"/>
    <x v="23"/>
    <x v="3"/>
    <s v="Apoyo a la función pública y al mejoramiento de la gestión"/>
    <x v="3"/>
    <x v="637"/>
    <x v="0"/>
    <x v="931"/>
    <n v="1"/>
    <s v="Gobierno"/>
    <n v="8"/>
    <s v="Administración Pública"/>
    <n v="3"/>
    <x v="6"/>
    <x v="0"/>
    <x v="167"/>
    <n v="1"/>
    <s v="Gasto corriente"/>
    <x v="0"/>
    <x v="0"/>
    <x v="0"/>
    <x v="0"/>
    <x v="0"/>
    <x v="0"/>
    <x v="0"/>
    <m/>
    <x v="0"/>
    <x v="0"/>
    <m/>
    <n v="12923731"/>
    <n v="0"/>
    <n v="1196386"/>
    <n v="14120117"/>
    <n v="13031206"/>
    <m/>
    <x v="1"/>
    <n v="13031206"/>
  </r>
  <r>
    <x v="1"/>
    <x v="23"/>
    <x v="23"/>
    <x v="3"/>
    <s v="Apoyo a la función pública y al mejoramiento de la gestión"/>
    <x v="3"/>
    <x v="637"/>
    <x v="417"/>
    <x v="932"/>
    <n v="1"/>
    <s v="Gobierno"/>
    <n v="8"/>
    <s v="Administración Pública"/>
    <n v="3"/>
    <x v="6"/>
    <x v="0"/>
    <x v="167"/>
    <n v="1"/>
    <s v="Gasto corriente"/>
    <x v="0"/>
    <x v="1"/>
    <x v="0"/>
    <x v="0"/>
    <x v="0"/>
    <x v="0"/>
    <x v="0"/>
    <m/>
    <x v="0"/>
    <x v="0"/>
    <m/>
    <n v="557267"/>
    <n v="0"/>
    <n v="-16690"/>
    <n v="540577"/>
    <n v="683779"/>
    <m/>
    <x v="1"/>
    <n v="683779"/>
  </r>
  <r>
    <x v="1"/>
    <x v="23"/>
    <x v="23"/>
    <x v="3"/>
    <s v="Apoyo a la función pública y al mejoramiento de la gestión"/>
    <x v="3"/>
    <x v="637"/>
    <x v="417"/>
    <x v="932"/>
    <n v="1"/>
    <s v="Gobierno"/>
    <n v="8"/>
    <s v="Administración Pública"/>
    <n v="3"/>
    <x v="6"/>
    <x v="0"/>
    <x v="167"/>
    <n v="1"/>
    <s v="Gasto corriente"/>
    <x v="0"/>
    <x v="0"/>
    <x v="0"/>
    <x v="0"/>
    <x v="0"/>
    <x v="0"/>
    <x v="0"/>
    <m/>
    <x v="0"/>
    <x v="0"/>
    <m/>
    <n v="23346533"/>
    <n v="0"/>
    <n v="-468710"/>
    <n v="22877823"/>
    <n v="22822921"/>
    <m/>
    <x v="1"/>
    <n v="22822921"/>
  </r>
  <r>
    <x v="1"/>
    <x v="23"/>
    <x v="23"/>
    <x v="3"/>
    <s v="Apoyo a la función pública y al mejoramiento de la gestión"/>
    <x v="3"/>
    <x v="637"/>
    <x v="418"/>
    <x v="933"/>
    <n v="1"/>
    <s v="Gobierno"/>
    <n v="8"/>
    <s v="Administración Pública"/>
    <n v="3"/>
    <x v="6"/>
    <x v="0"/>
    <x v="167"/>
    <n v="1"/>
    <s v="Gasto corriente"/>
    <x v="0"/>
    <x v="1"/>
    <x v="0"/>
    <x v="0"/>
    <x v="0"/>
    <x v="0"/>
    <x v="0"/>
    <m/>
    <x v="0"/>
    <x v="0"/>
    <m/>
    <n v="728512"/>
    <n v="0"/>
    <n v="0"/>
    <n v="728512"/>
    <n v="700322"/>
    <m/>
    <x v="1"/>
    <n v="700322"/>
  </r>
  <r>
    <x v="1"/>
    <x v="23"/>
    <x v="23"/>
    <x v="3"/>
    <s v="Apoyo a la función pública y al mejoramiento de la gestión"/>
    <x v="3"/>
    <x v="637"/>
    <x v="418"/>
    <x v="933"/>
    <n v="1"/>
    <s v="Gobierno"/>
    <n v="8"/>
    <s v="Administración Pública"/>
    <n v="3"/>
    <x v="6"/>
    <x v="0"/>
    <x v="167"/>
    <n v="1"/>
    <s v="Gasto corriente"/>
    <x v="0"/>
    <x v="0"/>
    <x v="0"/>
    <x v="0"/>
    <x v="0"/>
    <x v="0"/>
    <x v="0"/>
    <m/>
    <x v="0"/>
    <x v="0"/>
    <m/>
    <n v="23985988"/>
    <n v="0"/>
    <n v="15000"/>
    <n v="24000988"/>
    <n v="19810978"/>
    <m/>
    <x v="1"/>
    <n v="19810978"/>
  </r>
  <r>
    <x v="1"/>
    <x v="23"/>
    <x v="23"/>
    <x v="3"/>
    <s v="Apoyo a la función pública y al mejoramiento de la gestión"/>
    <x v="3"/>
    <x v="637"/>
    <x v="4"/>
    <x v="934"/>
    <n v="1"/>
    <s v="Gobierno"/>
    <n v="8"/>
    <s v="Administración Pública"/>
    <n v="3"/>
    <x v="6"/>
    <x v="0"/>
    <x v="167"/>
    <n v="1"/>
    <s v="Gasto corriente"/>
    <x v="0"/>
    <x v="1"/>
    <x v="0"/>
    <x v="0"/>
    <x v="0"/>
    <x v="0"/>
    <x v="0"/>
    <m/>
    <x v="0"/>
    <x v="0"/>
    <m/>
    <n v="1917631"/>
    <n v="0"/>
    <n v="-188529"/>
    <n v="1729102"/>
    <n v="1946553"/>
    <m/>
    <x v="1"/>
    <n v="1946553"/>
  </r>
  <r>
    <x v="1"/>
    <x v="23"/>
    <x v="23"/>
    <x v="3"/>
    <s v="Apoyo a la función pública y al mejoramiento de la gestión"/>
    <x v="3"/>
    <x v="637"/>
    <x v="4"/>
    <x v="934"/>
    <n v="1"/>
    <s v="Gobierno"/>
    <n v="8"/>
    <s v="Administración Pública"/>
    <n v="3"/>
    <x v="6"/>
    <x v="0"/>
    <x v="167"/>
    <n v="1"/>
    <s v="Gasto corriente"/>
    <x v="0"/>
    <x v="0"/>
    <x v="0"/>
    <x v="0"/>
    <x v="0"/>
    <x v="0"/>
    <x v="0"/>
    <m/>
    <x v="0"/>
    <x v="0"/>
    <m/>
    <n v="63897469"/>
    <n v="0"/>
    <n v="-9055171"/>
    <n v="54842298"/>
    <n v="52282847"/>
    <m/>
    <x v="1"/>
    <n v="52282847"/>
  </r>
  <r>
    <x v="1"/>
    <x v="23"/>
    <x v="23"/>
    <x v="3"/>
    <s v="Apoyo a la función pública y al mejoramiento de la gestión"/>
    <x v="3"/>
    <x v="637"/>
    <x v="5"/>
    <x v="935"/>
    <n v="1"/>
    <s v="Gobierno"/>
    <n v="8"/>
    <s v="Administración Pública"/>
    <n v="3"/>
    <x v="6"/>
    <x v="0"/>
    <x v="167"/>
    <n v="1"/>
    <s v="Gasto corriente"/>
    <x v="0"/>
    <x v="1"/>
    <x v="0"/>
    <x v="0"/>
    <x v="0"/>
    <x v="0"/>
    <x v="1"/>
    <m/>
    <x v="0"/>
    <x v="0"/>
    <m/>
    <n v="1073110"/>
    <n v="0"/>
    <n v="0"/>
    <n v="1073110"/>
    <n v="1167244"/>
    <m/>
    <x v="1"/>
    <n v="1167244"/>
  </r>
  <r>
    <x v="1"/>
    <x v="23"/>
    <x v="23"/>
    <x v="3"/>
    <s v="Apoyo a la función pública y al mejoramiento de la gestión"/>
    <x v="3"/>
    <x v="637"/>
    <x v="5"/>
    <x v="935"/>
    <n v="1"/>
    <s v="Gobierno"/>
    <n v="8"/>
    <s v="Administración Pública"/>
    <n v="3"/>
    <x v="6"/>
    <x v="0"/>
    <x v="167"/>
    <n v="1"/>
    <s v="Gasto corriente"/>
    <x v="0"/>
    <x v="0"/>
    <x v="0"/>
    <x v="0"/>
    <x v="0"/>
    <x v="0"/>
    <x v="1"/>
    <m/>
    <x v="0"/>
    <x v="0"/>
    <m/>
    <n v="37587390"/>
    <n v="0"/>
    <n v="23000"/>
    <n v="37610390"/>
    <n v="34163356"/>
    <m/>
    <x v="6"/>
    <n v="54163356"/>
  </r>
  <r>
    <x v="1"/>
    <x v="23"/>
    <x v="23"/>
    <x v="3"/>
    <s v="Apoyo a la función pública y al mejoramiento de la gestión"/>
    <x v="3"/>
    <x v="637"/>
    <x v="50"/>
    <x v="936"/>
    <n v="1"/>
    <s v="Gobierno"/>
    <n v="8"/>
    <s v="Administración Pública"/>
    <n v="3"/>
    <x v="6"/>
    <x v="0"/>
    <x v="167"/>
    <n v="1"/>
    <s v="Gasto corriente"/>
    <x v="0"/>
    <x v="1"/>
    <x v="0"/>
    <x v="0"/>
    <x v="0"/>
    <x v="0"/>
    <x v="0"/>
    <m/>
    <x v="0"/>
    <x v="0"/>
    <m/>
    <n v="371311"/>
    <n v="0"/>
    <n v="-19697"/>
    <n v="351614"/>
    <n v="458007"/>
    <m/>
    <x v="1"/>
    <n v="458007"/>
  </r>
  <r>
    <x v="1"/>
    <x v="23"/>
    <x v="23"/>
    <x v="3"/>
    <s v="Apoyo a la función pública y al mejoramiento de la gestión"/>
    <x v="3"/>
    <x v="637"/>
    <x v="50"/>
    <x v="936"/>
    <n v="1"/>
    <s v="Gobierno"/>
    <n v="8"/>
    <s v="Administración Pública"/>
    <n v="3"/>
    <x v="6"/>
    <x v="0"/>
    <x v="167"/>
    <n v="1"/>
    <s v="Gasto corriente"/>
    <x v="0"/>
    <x v="0"/>
    <x v="0"/>
    <x v="0"/>
    <x v="0"/>
    <x v="0"/>
    <x v="0"/>
    <m/>
    <x v="0"/>
    <x v="0"/>
    <m/>
    <n v="13594489"/>
    <n v="0"/>
    <n v="-915503"/>
    <n v="12678986"/>
    <n v="13169993"/>
    <m/>
    <x v="1"/>
    <n v="13169993"/>
  </r>
  <r>
    <x v="1"/>
    <x v="23"/>
    <x v="23"/>
    <x v="3"/>
    <s v="Apoyo a la función pública y al mejoramiento de la gestión"/>
    <x v="4"/>
    <x v="638"/>
    <x v="419"/>
    <x v="937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2756509"/>
    <n v="0"/>
    <n v="-270084"/>
    <n v="2486425"/>
    <n v="1889718"/>
    <m/>
    <x v="1"/>
    <n v="1889718"/>
  </r>
  <r>
    <x v="1"/>
    <x v="23"/>
    <x v="23"/>
    <x v="3"/>
    <s v="Apoyo a la función pública y al mejoramiento de la gestión"/>
    <x v="4"/>
    <x v="638"/>
    <x v="419"/>
    <x v="937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112529391"/>
    <n v="0"/>
    <n v="-13328116"/>
    <n v="99201275"/>
    <n v="58322882"/>
    <m/>
    <x v="1"/>
    <n v="58322882"/>
  </r>
  <r>
    <x v="1"/>
    <x v="23"/>
    <x v="23"/>
    <x v="3"/>
    <s v="Apoyo a la función pública y al mejoramiento de la gestión"/>
    <x v="6"/>
    <x v="639"/>
    <x v="420"/>
    <x v="938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329880"/>
    <n v="0"/>
    <n v="0"/>
    <n v="329880"/>
    <n v="745500"/>
    <m/>
    <x v="1"/>
    <n v="745500"/>
  </r>
  <r>
    <x v="1"/>
    <x v="23"/>
    <x v="23"/>
    <x v="3"/>
    <s v="Apoyo a la función pública y al mejoramiento de la gestión"/>
    <x v="6"/>
    <x v="639"/>
    <x v="420"/>
    <x v="938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11019720"/>
    <n v="0"/>
    <n v="6000"/>
    <n v="11025720"/>
    <n v="20448800"/>
    <m/>
    <x v="1"/>
    <n v="20448800"/>
  </r>
  <r>
    <x v="1"/>
    <x v="23"/>
    <x v="23"/>
    <x v="3"/>
    <s v="Apoyo a la función pública y al mejoramiento de la gestión"/>
    <x v="6"/>
    <x v="639"/>
    <x v="421"/>
    <x v="939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821627"/>
    <n v="0"/>
    <n v="0"/>
    <n v="821627"/>
    <n v="1050349"/>
    <m/>
    <x v="1"/>
    <n v="1050349"/>
  </r>
  <r>
    <x v="1"/>
    <x v="23"/>
    <x v="23"/>
    <x v="3"/>
    <s v="Apoyo a la función pública y al mejoramiento de la gestión"/>
    <x v="6"/>
    <x v="639"/>
    <x v="421"/>
    <x v="939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25981673"/>
    <n v="0"/>
    <n v="15000"/>
    <n v="25996673"/>
    <n v="26506051"/>
    <m/>
    <x v="1"/>
    <n v="26506051"/>
  </r>
  <r>
    <x v="1"/>
    <x v="23"/>
    <x v="23"/>
    <x v="3"/>
    <s v="Apoyo a la función pública y al mejoramiento de la gestión"/>
    <x v="6"/>
    <x v="639"/>
    <x v="53"/>
    <x v="940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2789368"/>
    <n v="0"/>
    <n v="496636"/>
    <n v="3286004"/>
    <n v="1667499"/>
    <m/>
    <x v="1"/>
    <n v="1667499"/>
  </r>
  <r>
    <x v="1"/>
    <x v="23"/>
    <x v="23"/>
    <x v="3"/>
    <s v="Apoyo a la función pública y al mejoramiento de la gestión"/>
    <x v="6"/>
    <x v="639"/>
    <x v="53"/>
    <x v="940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50220532"/>
    <n v="0"/>
    <n v="8959564"/>
    <n v="59180096"/>
    <n v="30357701"/>
    <m/>
    <x v="1"/>
    <n v="30357701"/>
  </r>
  <r>
    <x v="1"/>
    <x v="23"/>
    <x v="23"/>
    <x v="3"/>
    <s v="Apoyo a la función pública y al mejoramiento de la gestión"/>
    <x v="6"/>
    <x v="639"/>
    <x v="38"/>
    <x v="941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327502"/>
    <n v="0"/>
    <n v="18721"/>
    <n v="346223"/>
    <n v="402788"/>
    <m/>
    <x v="1"/>
    <n v="402788"/>
  </r>
  <r>
    <x v="1"/>
    <x v="23"/>
    <x v="23"/>
    <x v="3"/>
    <s v="Apoyo a la función pública y al mejoramiento de la gestión"/>
    <x v="6"/>
    <x v="639"/>
    <x v="38"/>
    <x v="941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13270798"/>
    <n v="0"/>
    <n v="-1704721"/>
    <n v="11566077"/>
    <n v="17944712"/>
    <m/>
    <x v="1"/>
    <n v="17944712"/>
  </r>
  <r>
    <x v="1"/>
    <x v="23"/>
    <x v="23"/>
    <x v="3"/>
    <s v="Apoyo a la función pública y al mejoramiento de la gestión"/>
    <x v="6"/>
    <x v="639"/>
    <x v="422"/>
    <x v="942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981399"/>
    <n v="0"/>
    <n v="-53076"/>
    <n v="928323"/>
    <n v="1191917"/>
    <m/>
    <x v="1"/>
    <n v="1191917"/>
  </r>
  <r>
    <x v="1"/>
    <x v="23"/>
    <x v="23"/>
    <x v="3"/>
    <s v="Apoyo a la función pública y al mejoramiento de la gestión"/>
    <x v="6"/>
    <x v="639"/>
    <x v="422"/>
    <x v="942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74703501"/>
    <n v="0"/>
    <n v="-1871924"/>
    <n v="72831577"/>
    <n v="65856983"/>
    <m/>
    <x v="1"/>
    <n v="65856983"/>
  </r>
  <r>
    <x v="1"/>
    <x v="23"/>
    <x v="23"/>
    <x v="3"/>
    <s v="Apoyo a la función pública y al mejoramiento de la gestión"/>
    <x v="6"/>
    <x v="639"/>
    <x v="56"/>
    <x v="943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987316"/>
    <n v="0"/>
    <n v="-210533"/>
    <n v="776783"/>
    <n v="1497618"/>
    <m/>
    <x v="1"/>
    <n v="1497618"/>
  </r>
  <r>
    <x v="1"/>
    <x v="23"/>
    <x v="23"/>
    <x v="3"/>
    <s v="Apoyo a la función pública y al mejoramiento de la gestión"/>
    <x v="6"/>
    <x v="639"/>
    <x v="56"/>
    <x v="943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48398484"/>
    <n v="0"/>
    <n v="-7547367"/>
    <n v="40851117"/>
    <n v="49980782"/>
    <m/>
    <x v="1"/>
    <n v="49980782"/>
  </r>
  <r>
    <x v="1"/>
    <x v="23"/>
    <x v="23"/>
    <x v="3"/>
    <s v="Apoyo a la función pública y al mejoramiento de la gestión"/>
    <x v="6"/>
    <x v="639"/>
    <x v="102"/>
    <x v="944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910557"/>
    <n v="0"/>
    <n v="-370741"/>
    <n v="539816"/>
    <n v="1106800"/>
    <m/>
    <x v="1"/>
    <n v="1106800"/>
  </r>
  <r>
    <x v="1"/>
    <x v="23"/>
    <x v="23"/>
    <x v="3"/>
    <s v="Apoyo a la función pública y al mejoramiento de la gestión"/>
    <x v="6"/>
    <x v="639"/>
    <x v="102"/>
    <x v="944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37539943"/>
    <n v="0"/>
    <n v="-14012059"/>
    <n v="23527884"/>
    <n v="79683100"/>
    <m/>
    <x v="1"/>
    <n v="79683100"/>
  </r>
  <r>
    <x v="1"/>
    <x v="23"/>
    <x v="23"/>
    <x v="3"/>
    <s v="Apoyo a la función pública y al mejoramiento de la gestión"/>
    <x v="6"/>
    <x v="639"/>
    <x v="85"/>
    <x v="945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1173449"/>
    <n v="0"/>
    <n v="-120333"/>
    <n v="1053116"/>
    <n v="1666837"/>
    <m/>
    <x v="1"/>
    <n v="1666837"/>
  </r>
  <r>
    <x v="1"/>
    <x v="23"/>
    <x v="23"/>
    <x v="3"/>
    <s v="Apoyo a la función pública y al mejoramiento de la gestión"/>
    <x v="6"/>
    <x v="639"/>
    <x v="85"/>
    <x v="945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37421651"/>
    <n v="0"/>
    <n v="-4699067"/>
    <n v="32722584"/>
    <n v="42284063"/>
    <m/>
    <x v="1"/>
    <n v="42284063"/>
  </r>
  <r>
    <x v="1"/>
    <x v="23"/>
    <x v="23"/>
    <x v="3"/>
    <s v="Apoyo a la función pública y al mejoramiento de la gestión"/>
    <x v="6"/>
    <x v="639"/>
    <x v="105"/>
    <x v="946"/>
    <n v="1"/>
    <s v="Gobierno"/>
    <n v="8"/>
    <s v="Administración Pública"/>
    <n v="3"/>
    <x v="6"/>
    <x v="4"/>
    <x v="168"/>
    <n v="1"/>
    <s v="Gasto corriente"/>
    <x v="0"/>
    <x v="1"/>
    <x v="0"/>
    <x v="0"/>
    <x v="0"/>
    <x v="0"/>
    <x v="0"/>
    <m/>
    <x v="0"/>
    <x v="0"/>
    <m/>
    <n v="1156834"/>
    <n v="0"/>
    <n v="44434"/>
    <n v="1201268"/>
    <n v="216537"/>
    <m/>
    <x v="1"/>
    <n v="216537"/>
  </r>
  <r>
    <x v="1"/>
    <x v="23"/>
    <x v="23"/>
    <x v="3"/>
    <s v="Apoyo a la función pública y al mejoramiento de la gestión"/>
    <x v="6"/>
    <x v="639"/>
    <x v="105"/>
    <x v="946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29960666"/>
    <n v="0"/>
    <n v="1648066"/>
    <n v="31608732"/>
    <n v="5932863"/>
    <m/>
    <x v="1"/>
    <n v="5932863"/>
  </r>
  <r>
    <x v="1"/>
    <x v="23"/>
    <x v="23"/>
    <x v="3"/>
    <s v="Apoyo a la función pública y al mejoramiento de la gestión"/>
    <x v="6"/>
    <x v="639"/>
    <x v="423"/>
    <x v="947"/>
    <n v="1"/>
    <s v="Gobierno"/>
    <n v="8"/>
    <s v="Administración Pública"/>
    <n v="3"/>
    <x v="6"/>
    <x v="4"/>
    <x v="168"/>
    <n v="1"/>
    <s v="Gasto corriente"/>
    <x v="0"/>
    <x v="0"/>
    <x v="0"/>
    <x v="0"/>
    <x v="0"/>
    <x v="0"/>
    <x v="0"/>
    <m/>
    <x v="0"/>
    <x v="0"/>
    <m/>
    <n v="17000000"/>
    <n v="0"/>
    <n v="-1700000"/>
    <n v="15300000"/>
    <n v="14716500"/>
    <m/>
    <x v="1"/>
    <n v="14716500"/>
  </r>
  <r>
    <x v="1"/>
    <x v="23"/>
    <x v="23"/>
    <x v="3"/>
    <s v="Apoyo a la función pública y al mejoramiento de la gestión"/>
    <x v="7"/>
    <x v="640"/>
    <x v="3"/>
    <x v="101"/>
    <n v="1"/>
    <s v="Gobierno"/>
    <n v="8"/>
    <s v="Administración Pública"/>
    <n v="3"/>
    <x v="6"/>
    <x v="1"/>
    <x v="169"/>
    <n v="1"/>
    <s v="Gasto corriente"/>
    <x v="0"/>
    <x v="1"/>
    <x v="0"/>
    <x v="0"/>
    <x v="0"/>
    <x v="0"/>
    <x v="0"/>
    <m/>
    <x v="0"/>
    <x v="0"/>
    <m/>
    <n v="2250191"/>
    <n v="0"/>
    <n v="-53392"/>
    <n v="2196799"/>
    <n v="3146836"/>
    <m/>
    <x v="1"/>
    <n v="3146836"/>
  </r>
  <r>
    <x v="1"/>
    <x v="23"/>
    <x v="23"/>
    <x v="3"/>
    <s v="Apoyo a la función pública y al mejoramiento de la gestión"/>
    <x v="7"/>
    <x v="640"/>
    <x v="3"/>
    <x v="101"/>
    <n v="1"/>
    <s v="Gobierno"/>
    <n v="8"/>
    <s v="Administración Pública"/>
    <n v="3"/>
    <x v="6"/>
    <x v="1"/>
    <x v="169"/>
    <n v="1"/>
    <s v="Gasto corriente"/>
    <x v="0"/>
    <x v="0"/>
    <x v="0"/>
    <x v="0"/>
    <x v="0"/>
    <x v="0"/>
    <x v="0"/>
    <m/>
    <x v="0"/>
    <x v="0"/>
    <m/>
    <n v="76618109"/>
    <n v="0"/>
    <n v="-2151008"/>
    <n v="74467101"/>
    <n v="83237764"/>
    <m/>
    <x v="1"/>
    <n v="83237764"/>
  </r>
  <r>
    <x v="1"/>
    <x v="23"/>
    <x v="23"/>
    <x v="3"/>
    <s v="Apoyo a la función pública y al mejoramiento de la gestión"/>
    <x v="7"/>
    <x v="640"/>
    <x v="16"/>
    <x v="948"/>
    <n v="1"/>
    <s v="Gobierno"/>
    <n v="8"/>
    <s v="Administración Pública"/>
    <n v="3"/>
    <x v="6"/>
    <x v="1"/>
    <x v="169"/>
    <n v="1"/>
    <s v="Gasto corriente"/>
    <x v="0"/>
    <x v="1"/>
    <x v="0"/>
    <x v="0"/>
    <x v="0"/>
    <x v="0"/>
    <x v="0"/>
    <m/>
    <x v="0"/>
    <x v="0"/>
    <m/>
    <n v="540564"/>
    <n v="0"/>
    <n v="-22362"/>
    <n v="518202"/>
    <n v="1387293"/>
    <m/>
    <x v="1"/>
    <n v="1387293"/>
  </r>
  <r>
    <x v="1"/>
    <x v="23"/>
    <x v="23"/>
    <x v="3"/>
    <s v="Apoyo a la función pública y al mejoramiento de la gestión"/>
    <x v="7"/>
    <x v="640"/>
    <x v="16"/>
    <x v="948"/>
    <n v="1"/>
    <s v="Gobierno"/>
    <n v="8"/>
    <s v="Administración Pública"/>
    <n v="3"/>
    <x v="6"/>
    <x v="1"/>
    <x v="169"/>
    <n v="1"/>
    <s v="Gasto corriente"/>
    <x v="0"/>
    <x v="0"/>
    <x v="0"/>
    <x v="0"/>
    <x v="0"/>
    <x v="0"/>
    <x v="0"/>
    <m/>
    <x v="0"/>
    <x v="0"/>
    <m/>
    <n v="20800436"/>
    <n v="0"/>
    <n v="-1093038"/>
    <n v="19707398"/>
    <n v="38140807"/>
    <m/>
    <x v="1"/>
    <n v="38140807"/>
  </r>
  <r>
    <x v="1"/>
    <x v="23"/>
    <x v="23"/>
    <x v="3"/>
    <s v="Apoyo a la función pública y al mejoramiento de la gestión"/>
    <x v="7"/>
    <x v="640"/>
    <x v="7"/>
    <x v="949"/>
    <n v="1"/>
    <s v="Gobierno"/>
    <n v="8"/>
    <s v="Administración Pública"/>
    <n v="3"/>
    <x v="6"/>
    <x v="1"/>
    <x v="169"/>
    <n v="1"/>
    <s v="Gasto corriente"/>
    <x v="0"/>
    <x v="1"/>
    <x v="0"/>
    <x v="0"/>
    <x v="0"/>
    <x v="0"/>
    <x v="0"/>
    <m/>
    <x v="0"/>
    <x v="0"/>
    <m/>
    <n v="299243"/>
    <n v="0"/>
    <n v="59543"/>
    <n v="358786"/>
    <n v="369111"/>
    <m/>
    <x v="1"/>
    <n v="369111"/>
  </r>
  <r>
    <x v="1"/>
    <x v="23"/>
    <x v="23"/>
    <x v="3"/>
    <s v="Apoyo a la función pública y al mejoramiento de la gestión"/>
    <x v="7"/>
    <x v="640"/>
    <x v="7"/>
    <x v="949"/>
    <n v="1"/>
    <s v="Gobierno"/>
    <n v="8"/>
    <s v="Administración Pública"/>
    <n v="3"/>
    <x v="6"/>
    <x v="1"/>
    <x v="169"/>
    <n v="1"/>
    <s v="Gasto corriente"/>
    <x v="0"/>
    <x v="0"/>
    <x v="0"/>
    <x v="0"/>
    <x v="0"/>
    <x v="0"/>
    <x v="0"/>
    <m/>
    <x v="0"/>
    <x v="0"/>
    <m/>
    <n v="12655457"/>
    <n v="0"/>
    <n v="1269957"/>
    <n v="13925414"/>
    <n v="12604589"/>
    <m/>
    <x v="1"/>
    <n v="12604589"/>
  </r>
  <r>
    <x v="1"/>
    <x v="23"/>
    <x v="23"/>
    <x v="3"/>
    <s v="Apoyo a la función pública y al mejoramiento de la gestión"/>
    <x v="7"/>
    <x v="640"/>
    <x v="54"/>
    <x v="950"/>
    <n v="1"/>
    <s v="Gobierno"/>
    <n v="8"/>
    <s v="Administración Pública"/>
    <n v="3"/>
    <x v="6"/>
    <x v="1"/>
    <x v="169"/>
    <n v="1"/>
    <s v="Gasto corriente"/>
    <x v="0"/>
    <x v="1"/>
    <x v="0"/>
    <x v="0"/>
    <x v="0"/>
    <x v="0"/>
    <x v="0"/>
    <m/>
    <x v="0"/>
    <x v="0"/>
    <m/>
    <n v="1223853"/>
    <n v="0"/>
    <n v="-46604"/>
    <n v="1177249"/>
    <n v="1604963"/>
    <m/>
    <x v="1"/>
    <n v="1604963"/>
  </r>
  <r>
    <x v="1"/>
    <x v="23"/>
    <x v="23"/>
    <x v="3"/>
    <s v="Apoyo a la función pública y al mejoramiento de la gestión"/>
    <x v="7"/>
    <x v="640"/>
    <x v="54"/>
    <x v="950"/>
    <n v="1"/>
    <s v="Gobierno"/>
    <n v="8"/>
    <s v="Administración Pública"/>
    <n v="3"/>
    <x v="6"/>
    <x v="1"/>
    <x v="169"/>
    <n v="1"/>
    <s v="Gasto corriente"/>
    <x v="0"/>
    <x v="0"/>
    <x v="0"/>
    <x v="0"/>
    <x v="0"/>
    <x v="0"/>
    <x v="0"/>
    <m/>
    <x v="0"/>
    <x v="0"/>
    <m/>
    <n v="36161347"/>
    <n v="0"/>
    <n v="-2248196"/>
    <n v="33913151"/>
    <n v="37934942"/>
    <m/>
    <x v="1"/>
    <n v="37934942"/>
  </r>
  <r>
    <x v="1"/>
    <x v="23"/>
    <x v="23"/>
    <x v="3"/>
    <s v="Apoyo a la función pública y al mejoramiento de la gestión"/>
    <x v="7"/>
    <x v="640"/>
    <x v="55"/>
    <x v="951"/>
    <n v="1"/>
    <s v="Gobierno"/>
    <n v="8"/>
    <s v="Administración Pública"/>
    <n v="3"/>
    <x v="6"/>
    <x v="1"/>
    <x v="169"/>
    <n v="1"/>
    <s v="Gasto corriente"/>
    <x v="0"/>
    <x v="1"/>
    <x v="0"/>
    <x v="0"/>
    <x v="0"/>
    <x v="0"/>
    <x v="0"/>
    <m/>
    <x v="0"/>
    <x v="0"/>
    <m/>
    <n v="758629"/>
    <n v="0"/>
    <n v="0"/>
    <n v="758629"/>
    <n v="1292068"/>
    <m/>
    <x v="1"/>
    <n v="1292068"/>
  </r>
  <r>
    <x v="1"/>
    <x v="23"/>
    <x v="23"/>
    <x v="3"/>
    <s v="Apoyo a la función pública y al mejoramiento de la gestión"/>
    <x v="7"/>
    <x v="640"/>
    <x v="55"/>
    <x v="951"/>
    <n v="1"/>
    <s v="Gobierno"/>
    <n v="8"/>
    <s v="Administración Pública"/>
    <n v="3"/>
    <x v="6"/>
    <x v="1"/>
    <x v="169"/>
    <n v="1"/>
    <s v="Gasto corriente"/>
    <x v="0"/>
    <x v="0"/>
    <x v="0"/>
    <x v="0"/>
    <x v="0"/>
    <x v="0"/>
    <x v="0"/>
    <m/>
    <x v="0"/>
    <x v="0"/>
    <m/>
    <n v="23150371"/>
    <n v="0"/>
    <n v="14000"/>
    <n v="23164371"/>
    <n v="30773032"/>
    <m/>
    <x v="1"/>
    <n v="30773032"/>
  </r>
  <r>
    <x v="1"/>
    <x v="23"/>
    <x v="23"/>
    <x v="3"/>
    <s v="Apoyo a la función pública y al mejoramiento de la gestión"/>
    <x v="8"/>
    <x v="641"/>
    <x v="57"/>
    <x v="952"/>
    <n v="1"/>
    <s v="Gobierno"/>
    <n v="8"/>
    <s v="Administración Pública"/>
    <n v="2"/>
    <x v="72"/>
    <x v="4"/>
    <x v="168"/>
    <n v="1"/>
    <s v="Gasto corriente"/>
    <x v="0"/>
    <x v="1"/>
    <x v="0"/>
    <x v="0"/>
    <x v="0"/>
    <x v="0"/>
    <x v="0"/>
    <m/>
    <x v="0"/>
    <x v="0"/>
    <m/>
    <n v="6192397"/>
    <n v="0"/>
    <n v="0"/>
    <n v="6192397"/>
    <n v="7121257"/>
    <m/>
    <x v="1"/>
    <n v="7121257"/>
  </r>
  <r>
    <x v="1"/>
    <x v="23"/>
    <x v="23"/>
    <x v="3"/>
    <s v="Apoyo a la función pública y al mejoramiento de la gestión"/>
    <x v="8"/>
    <x v="641"/>
    <x v="57"/>
    <x v="952"/>
    <n v="1"/>
    <s v="Gobierno"/>
    <n v="8"/>
    <s v="Administración Pública"/>
    <n v="2"/>
    <x v="72"/>
    <x v="4"/>
    <x v="168"/>
    <n v="1"/>
    <s v="Gasto corriente"/>
    <x v="0"/>
    <x v="0"/>
    <x v="0"/>
    <x v="0"/>
    <x v="0"/>
    <x v="0"/>
    <x v="0"/>
    <m/>
    <x v="0"/>
    <x v="0"/>
    <m/>
    <n v="119133603"/>
    <n v="0"/>
    <n v="-9899871"/>
    <n v="109233732"/>
    <n v="105915990"/>
    <m/>
    <x v="1"/>
    <n v="105915990"/>
  </r>
  <r>
    <x v="1"/>
    <x v="23"/>
    <x v="23"/>
    <x v="3"/>
    <s v="Apoyo a la función pública y al mejoramiento de la gestión"/>
    <x v="9"/>
    <x v="642"/>
    <x v="1"/>
    <x v="78"/>
    <n v="1"/>
    <s v="Gobierno"/>
    <n v="8"/>
    <s v="Administración Pública"/>
    <n v="3"/>
    <x v="6"/>
    <x v="1"/>
    <x v="169"/>
    <n v="1"/>
    <s v="Gasto corriente"/>
    <x v="0"/>
    <x v="1"/>
    <x v="0"/>
    <x v="0"/>
    <x v="0"/>
    <x v="0"/>
    <x v="0"/>
    <m/>
    <x v="0"/>
    <x v="0"/>
    <m/>
    <n v="536543"/>
    <n v="0"/>
    <n v="83700"/>
    <n v="620243"/>
    <n v="743052"/>
    <m/>
    <x v="1"/>
    <n v="743052"/>
  </r>
  <r>
    <x v="1"/>
    <x v="23"/>
    <x v="23"/>
    <x v="3"/>
    <s v="Apoyo a la función pública y al mejoramiento de la gestión"/>
    <x v="9"/>
    <x v="642"/>
    <x v="1"/>
    <x v="78"/>
    <n v="1"/>
    <s v="Gobierno"/>
    <n v="8"/>
    <s v="Administración Pública"/>
    <n v="3"/>
    <x v="6"/>
    <x v="1"/>
    <x v="169"/>
    <n v="1"/>
    <s v="Gasto corriente"/>
    <x v="0"/>
    <x v="0"/>
    <x v="0"/>
    <x v="0"/>
    <x v="0"/>
    <x v="0"/>
    <x v="0"/>
    <m/>
    <x v="0"/>
    <x v="0"/>
    <m/>
    <n v="23791357"/>
    <n v="0"/>
    <n v="1308000"/>
    <n v="25099357"/>
    <n v="24592648"/>
    <m/>
    <x v="1"/>
    <n v="24592648"/>
  </r>
  <r>
    <x v="1"/>
    <x v="23"/>
    <x v="23"/>
    <x v="3"/>
    <s v="Apoyo a la función pública y al mejoramiento de la gestión"/>
    <x v="9"/>
    <x v="642"/>
    <x v="6"/>
    <x v="93"/>
    <n v="1"/>
    <s v="Gobierno"/>
    <n v="8"/>
    <s v="Administración Pública"/>
    <n v="3"/>
    <x v="6"/>
    <x v="1"/>
    <x v="169"/>
    <n v="1"/>
    <s v="Gasto corriente"/>
    <x v="0"/>
    <x v="1"/>
    <x v="0"/>
    <x v="0"/>
    <x v="0"/>
    <x v="0"/>
    <x v="0"/>
    <m/>
    <x v="0"/>
    <x v="0"/>
    <m/>
    <n v="580337"/>
    <n v="0"/>
    <n v="0"/>
    <n v="580337"/>
    <n v="674841"/>
    <m/>
    <x v="1"/>
    <n v="674841"/>
  </r>
  <r>
    <x v="1"/>
    <x v="23"/>
    <x v="23"/>
    <x v="3"/>
    <s v="Apoyo a la función pública y al mejoramiento de la gestión"/>
    <x v="9"/>
    <x v="642"/>
    <x v="6"/>
    <x v="93"/>
    <n v="1"/>
    <s v="Gobierno"/>
    <n v="8"/>
    <s v="Administración Pública"/>
    <n v="3"/>
    <x v="6"/>
    <x v="1"/>
    <x v="169"/>
    <n v="1"/>
    <s v="Gasto corriente"/>
    <x v="0"/>
    <x v="0"/>
    <x v="0"/>
    <x v="0"/>
    <x v="0"/>
    <x v="0"/>
    <x v="0"/>
    <m/>
    <x v="0"/>
    <x v="0"/>
    <m/>
    <n v="36310663"/>
    <n v="0"/>
    <n v="8000"/>
    <n v="36318663"/>
    <n v="35738759"/>
    <m/>
    <x v="1"/>
    <n v="35738759"/>
  </r>
  <r>
    <x v="1"/>
    <x v="23"/>
    <x v="23"/>
    <x v="3"/>
    <s v="Apoyo a la función pública y al mejoramiento de la gestión"/>
    <x v="9"/>
    <x v="642"/>
    <x v="115"/>
    <x v="953"/>
    <n v="1"/>
    <s v="Gobierno"/>
    <n v="8"/>
    <s v="Administración Pública"/>
    <n v="3"/>
    <x v="6"/>
    <x v="1"/>
    <x v="169"/>
    <n v="1"/>
    <s v="Gasto corriente"/>
    <x v="0"/>
    <x v="1"/>
    <x v="0"/>
    <x v="0"/>
    <x v="0"/>
    <x v="0"/>
    <x v="0"/>
    <m/>
    <x v="0"/>
    <x v="0"/>
    <m/>
    <n v="527334"/>
    <n v="0"/>
    <n v="41563"/>
    <n v="568897"/>
    <n v="663326"/>
    <m/>
    <x v="1"/>
    <n v="663326"/>
  </r>
  <r>
    <x v="1"/>
    <x v="23"/>
    <x v="23"/>
    <x v="3"/>
    <s v="Apoyo a la función pública y al mejoramiento de la gestión"/>
    <x v="9"/>
    <x v="642"/>
    <x v="115"/>
    <x v="953"/>
    <n v="1"/>
    <s v="Gobierno"/>
    <n v="8"/>
    <s v="Administración Pública"/>
    <n v="3"/>
    <x v="6"/>
    <x v="1"/>
    <x v="169"/>
    <n v="1"/>
    <s v="Gasto corriente"/>
    <x v="0"/>
    <x v="0"/>
    <x v="0"/>
    <x v="0"/>
    <x v="0"/>
    <x v="0"/>
    <x v="0"/>
    <m/>
    <x v="0"/>
    <x v="0"/>
    <m/>
    <n v="21402966"/>
    <n v="0"/>
    <n v="2702937"/>
    <n v="24105903"/>
    <n v="21879974"/>
    <m/>
    <x v="1"/>
    <n v="21879974"/>
  </r>
  <r>
    <x v="1"/>
    <x v="23"/>
    <x v="23"/>
    <x v="3"/>
    <s v="Apoyo a la función pública y al mejoramiento de la gestión"/>
    <x v="32"/>
    <x v="121"/>
    <x v="59"/>
    <x v="69"/>
    <n v="1"/>
    <s v="Gobierno"/>
    <n v="8"/>
    <s v="Administración Pública"/>
    <n v="3"/>
    <x v="6"/>
    <x v="3"/>
    <x v="12"/>
    <n v="1"/>
    <s v="Gasto corriente"/>
    <x v="0"/>
    <x v="0"/>
    <x v="0"/>
    <x v="0"/>
    <x v="0"/>
    <x v="0"/>
    <x v="0"/>
    <m/>
    <x v="0"/>
    <x v="0"/>
    <m/>
    <n v="2511500"/>
    <n v="0"/>
    <n v="0"/>
    <n v="2511500"/>
    <n v="2671900"/>
    <m/>
    <x v="1"/>
    <n v="2671900"/>
  </r>
  <r>
    <x v="1"/>
    <x v="24"/>
    <x v="24"/>
    <x v="4"/>
    <s v="Prestación de Servicios Públicos"/>
    <x v="2"/>
    <x v="643"/>
    <x v="0"/>
    <x v="954"/>
    <n v="1"/>
    <s v="Gobierno"/>
    <n v="6"/>
    <s v="Orden, Seguridad y Justicia"/>
    <n v="4"/>
    <x v="1"/>
    <x v="1"/>
    <x v="170"/>
    <n v="1"/>
    <s v="Gasto corriente"/>
    <x v="0"/>
    <x v="1"/>
    <x v="0"/>
    <x v="0"/>
    <x v="1"/>
    <x v="0"/>
    <x v="0"/>
    <m/>
    <x v="0"/>
    <x v="0"/>
    <m/>
    <n v="15435607"/>
    <n v="0"/>
    <n v="0"/>
    <n v="15435607"/>
    <n v="19147077"/>
    <m/>
    <x v="1"/>
    <n v="19147077"/>
  </r>
  <r>
    <x v="1"/>
    <x v="24"/>
    <x v="24"/>
    <x v="4"/>
    <s v="Prestación de Servicios Públicos"/>
    <x v="2"/>
    <x v="643"/>
    <x v="0"/>
    <x v="954"/>
    <n v="1"/>
    <s v="Gobierno"/>
    <n v="6"/>
    <s v="Orden, Seguridad y Justicia"/>
    <n v="4"/>
    <x v="1"/>
    <x v="1"/>
    <x v="170"/>
    <n v="1"/>
    <s v="Gasto corriente"/>
    <x v="0"/>
    <x v="0"/>
    <x v="0"/>
    <x v="0"/>
    <x v="1"/>
    <x v="0"/>
    <x v="0"/>
    <m/>
    <x v="0"/>
    <x v="0"/>
    <m/>
    <n v="467148136"/>
    <n v="0"/>
    <n v="-22156808"/>
    <n v="444991328"/>
    <n v="495869727"/>
    <m/>
    <x v="78"/>
    <n v="540869727"/>
  </r>
  <r>
    <x v="1"/>
    <x v="24"/>
    <x v="24"/>
    <x v="4"/>
    <s v="Prestación de Servicios Públicos"/>
    <x v="2"/>
    <x v="643"/>
    <x v="0"/>
    <x v="954"/>
    <n v="1"/>
    <s v="Gobierno"/>
    <n v="6"/>
    <s v="Orden, Seguridad y Justicia"/>
    <n v="4"/>
    <x v="1"/>
    <x v="1"/>
    <x v="170"/>
    <n v="2"/>
    <s v="Gasto de capital"/>
    <x v="0"/>
    <x v="0"/>
    <x v="0"/>
    <x v="0"/>
    <x v="1"/>
    <x v="0"/>
    <x v="0"/>
    <m/>
    <x v="0"/>
    <x v="0"/>
    <m/>
    <n v="491392"/>
    <n v="0"/>
    <n v="0"/>
    <n v="491392"/>
    <n v="16429652"/>
    <m/>
    <x v="1"/>
    <n v="16429652"/>
  </r>
  <r>
    <x v="1"/>
    <x v="24"/>
    <x v="24"/>
    <x v="4"/>
    <s v="Prestación de Servicios Públicos"/>
    <x v="3"/>
    <x v="644"/>
    <x v="1"/>
    <x v="955"/>
    <n v="1"/>
    <s v="Gobierno"/>
    <n v="6"/>
    <s v="Orden, Seguridad y Justicia"/>
    <n v="4"/>
    <x v="1"/>
    <x v="1"/>
    <x v="170"/>
    <n v="1"/>
    <s v="Gasto corriente"/>
    <x v="0"/>
    <x v="1"/>
    <x v="0"/>
    <x v="0"/>
    <x v="1"/>
    <x v="0"/>
    <x v="0"/>
    <m/>
    <x v="0"/>
    <x v="0"/>
    <m/>
    <n v="4858939"/>
    <n v="0"/>
    <n v="0"/>
    <n v="4858939"/>
    <n v="4858939"/>
    <m/>
    <x v="1"/>
    <n v="4858939"/>
  </r>
  <r>
    <x v="1"/>
    <x v="24"/>
    <x v="24"/>
    <x v="4"/>
    <s v="Prestación de Servicios Públicos"/>
    <x v="3"/>
    <x v="644"/>
    <x v="1"/>
    <x v="955"/>
    <n v="1"/>
    <s v="Gobierno"/>
    <n v="6"/>
    <s v="Orden, Seguridad y Justicia"/>
    <n v="4"/>
    <x v="1"/>
    <x v="1"/>
    <x v="170"/>
    <n v="1"/>
    <s v="Gasto corriente"/>
    <x v="0"/>
    <x v="0"/>
    <x v="0"/>
    <x v="0"/>
    <x v="1"/>
    <x v="0"/>
    <x v="0"/>
    <m/>
    <x v="0"/>
    <x v="0"/>
    <m/>
    <n v="207506262"/>
    <n v="0"/>
    <n v="-1051950"/>
    <n v="206454312"/>
    <n v="206961550"/>
    <m/>
    <x v="1"/>
    <n v="206961550"/>
  </r>
  <r>
    <x v="1"/>
    <x v="24"/>
    <x v="24"/>
    <x v="4"/>
    <s v="Prestación de Servicios Públicos"/>
    <x v="3"/>
    <x v="644"/>
    <x v="1"/>
    <x v="955"/>
    <n v="1"/>
    <s v="Gobierno"/>
    <n v="6"/>
    <s v="Orden, Seguridad y Justicia"/>
    <n v="4"/>
    <x v="1"/>
    <x v="1"/>
    <x v="170"/>
    <n v="2"/>
    <s v="Gasto de capital"/>
    <x v="0"/>
    <x v="0"/>
    <x v="0"/>
    <x v="0"/>
    <x v="1"/>
    <x v="0"/>
    <x v="0"/>
    <m/>
    <x v="0"/>
    <x v="0"/>
    <m/>
    <n v="4742045"/>
    <n v="0"/>
    <n v="-354200"/>
    <n v="4387845"/>
    <n v="8570348"/>
    <m/>
    <x v="1"/>
    <n v="8570348"/>
  </r>
  <r>
    <x v="1"/>
    <x v="24"/>
    <x v="24"/>
    <x v="2"/>
    <s v="Apoyo al proceso presupuestario y para mejorar la eficiencia institucional"/>
    <x v="2"/>
    <x v="34"/>
    <x v="0"/>
    <x v="954"/>
    <n v="1"/>
    <s v="Gobierno"/>
    <n v="6"/>
    <s v="Orden, Seguridad y Justicia"/>
    <n v="4"/>
    <x v="1"/>
    <x v="3"/>
    <x v="12"/>
    <n v="1"/>
    <s v="Gasto corriente"/>
    <x v="0"/>
    <x v="1"/>
    <x v="0"/>
    <x v="0"/>
    <x v="1"/>
    <x v="0"/>
    <x v="0"/>
    <m/>
    <x v="0"/>
    <x v="0"/>
    <m/>
    <n v="792466"/>
    <n v="0"/>
    <n v="0"/>
    <n v="792466"/>
    <n v="792466"/>
    <m/>
    <x v="1"/>
    <n v="792466"/>
  </r>
  <r>
    <x v="1"/>
    <x v="24"/>
    <x v="24"/>
    <x v="2"/>
    <s v="Apoyo al proceso presupuestario y para mejorar la eficiencia institucional"/>
    <x v="2"/>
    <x v="34"/>
    <x v="0"/>
    <x v="954"/>
    <n v="1"/>
    <s v="Gobierno"/>
    <n v="6"/>
    <s v="Orden, Seguridad y Justicia"/>
    <n v="4"/>
    <x v="1"/>
    <x v="3"/>
    <x v="12"/>
    <n v="1"/>
    <s v="Gasto corriente"/>
    <x v="0"/>
    <x v="0"/>
    <x v="0"/>
    <x v="0"/>
    <x v="1"/>
    <x v="0"/>
    <x v="0"/>
    <m/>
    <x v="0"/>
    <x v="0"/>
    <m/>
    <n v="15089677"/>
    <n v="0"/>
    <n v="0"/>
    <n v="15089677"/>
    <n v="15096914"/>
    <m/>
    <x v="1"/>
    <n v="15096914"/>
  </r>
  <r>
    <x v="1"/>
    <x v="24"/>
    <x v="24"/>
    <x v="2"/>
    <s v="Apoyo al proceso presupuestario y para mejorar la eficiencia institucional"/>
    <x v="2"/>
    <x v="34"/>
    <x v="7"/>
    <x v="39"/>
    <n v="1"/>
    <s v="Gobierno"/>
    <n v="6"/>
    <s v="Orden, Seguridad y Justicia"/>
    <n v="4"/>
    <x v="1"/>
    <x v="3"/>
    <x v="12"/>
    <n v="1"/>
    <s v="Gasto corriente"/>
    <x v="0"/>
    <x v="1"/>
    <x v="0"/>
    <x v="0"/>
    <x v="1"/>
    <x v="0"/>
    <x v="0"/>
    <m/>
    <x v="0"/>
    <x v="0"/>
    <m/>
    <n v="3592983"/>
    <n v="0"/>
    <n v="0"/>
    <n v="3592983"/>
    <n v="4028883"/>
    <m/>
    <x v="1"/>
    <n v="4028883"/>
  </r>
  <r>
    <x v="1"/>
    <x v="24"/>
    <x v="24"/>
    <x v="2"/>
    <s v="Apoyo al proceso presupuestario y para mejorar la eficiencia institucional"/>
    <x v="2"/>
    <x v="34"/>
    <x v="7"/>
    <x v="39"/>
    <n v="1"/>
    <s v="Gobierno"/>
    <n v="6"/>
    <s v="Orden, Seguridad y Justicia"/>
    <n v="4"/>
    <x v="1"/>
    <x v="3"/>
    <x v="12"/>
    <n v="1"/>
    <s v="Gasto corriente"/>
    <x v="0"/>
    <x v="0"/>
    <x v="0"/>
    <x v="0"/>
    <x v="1"/>
    <x v="0"/>
    <x v="0"/>
    <m/>
    <x v="0"/>
    <x v="0"/>
    <m/>
    <n v="53572065"/>
    <n v="0"/>
    <n v="-842800"/>
    <n v="52729265"/>
    <n v="53254159"/>
    <m/>
    <x v="1"/>
    <n v="53254159"/>
  </r>
  <r>
    <x v="1"/>
    <x v="24"/>
    <x v="24"/>
    <x v="3"/>
    <s v="Apoyo a la función pública y al mejoramiento de la gestión"/>
    <x v="2"/>
    <x v="42"/>
    <x v="7"/>
    <x v="39"/>
    <n v="1"/>
    <s v="Gobierno"/>
    <n v="8"/>
    <s v="Administración Pública"/>
    <n v="3"/>
    <x v="6"/>
    <x v="2"/>
    <x v="13"/>
    <n v="1"/>
    <s v="Gasto corriente"/>
    <x v="0"/>
    <x v="1"/>
    <x v="0"/>
    <x v="0"/>
    <x v="1"/>
    <x v="0"/>
    <x v="0"/>
    <m/>
    <x v="0"/>
    <x v="0"/>
    <m/>
    <n v="63140"/>
    <n v="0"/>
    <n v="0"/>
    <n v="63140"/>
    <n v="63140"/>
    <m/>
    <x v="1"/>
    <n v="63140"/>
  </r>
  <r>
    <x v="1"/>
    <x v="24"/>
    <x v="24"/>
    <x v="3"/>
    <s v="Apoyo a la función pública y al mejoramiento de la gestión"/>
    <x v="2"/>
    <x v="42"/>
    <x v="7"/>
    <x v="39"/>
    <n v="1"/>
    <s v="Gobierno"/>
    <n v="8"/>
    <s v="Administración Pública"/>
    <n v="3"/>
    <x v="6"/>
    <x v="2"/>
    <x v="13"/>
    <n v="1"/>
    <s v="Gasto corriente"/>
    <x v="0"/>
    <x v="0"/>
    <x v="0"/>
    <x v="0"/>
    <x v="1"/>
    <x v="0"/>
    <x v="0"/>
    <m/>
    <x v="0"/>
    <x v="0"/>
    <m/>
    <n v="1793919"/>
    <n v="0"/>
    <n v="-13877"/>
    <n v="1780042"/>
    <n v="1787279"/>
    <m/>
    <x v="1"/>
    <n v="1787279"/>
  </r>
  <r>
    <x v="1"/>
    <x v="25"/>
    <x v="25"/>
    <x v="4"/>
    <s v="Prestación de Servicios Públicos"/>
    <x v="2"/>
    <x v="645"/>
    <x v="3"/>
    <x v="956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12638602"/>
    <n v="0"/>
    <n v="0"/>
    <n v="12638602"/>
    <n v="16873692"/>
    <m/>
    <x v="1"/>
    <n v="16873692"/>
  </r>
  <r>
    <x v="1"/>
    <x v="25"/>
    <x v="25"/>
    <x v="4"/>
    <s v="Prestación de Servicios Públicos"/>
    <x v="2"/>
    <x v="645"/>
    <x v="3"/>
    <x v="956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682567667"/>
    <n v="79875647"/>
    <n v="-28409538"/>
    <n v="734033776"/>
    <n v="876820362"/>
    <m/>
    <x v="1"/>
    <n v="876820362"/>
  </r>
  <r>
    <x v="1"/>
    <x v="25"/>
    <x v="25"/>
    <x v="4"/>
    <s v="Prestación de Servicios Públicos"/>
    <x v="2"/>
    <x v="645"/>
    <x v="22"/>
    <x v="957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77557"/>
    <n v="0"/>
    <n v="0"/>
    <n v="577557"/>
    <n v="594301"/>
    <m/>
    <x v="1"/>
    <n v="594301"/>
  </r>
  <r>
    <x v="1"/>
    <x v="25"/>
    <x v="25"/>
    <x v="4"/>
    <s v="Prestación de Servicios Públicos"/>
    <x v="2"/>
    <x v="645"/>
    <x v="22"/>
    <x v="957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1102778"/>
    <n v="0"/>
    <n v="0"/>
    <n v="21102778"/>
    <n v="21118981"/>
    <m/>
    <x v="1"/>
    <n v="21118981"/>
  </r>
  <r>
    <x v="1"/>
    <x v="25"/>
    <x v="25"/>
    <x v="4"/>
    <s v="Prestación de Servicios Públicos"/>
    <x v="2"/>
    <x v="645"/>
    <x v="23"/>
    <x v="958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617647"/>
    <n v="0"/>
    <n v="0"/>
    <n v="617647"/>
    <n v="635319"/>
    <m/>
    <x v="1"/>
    <n v="635319"/>
  </r>
  <r>
    <x v="1"/>
    <x v="25"/>
    <x v="25"/>
    <x v="4"/>
    <s v="Prestación de Servicios Públicos"/>
    <x v="2"/>
    <x v="645"/>
    <x v="23"/>
    <x v="958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396368"/>
    <n v="0"/>
    <n v="0"/>
    <n v="20396368"/>
    <n v="20272795"/>
    <m/>
    <x v="1"/>
    <n v="20272795"/>
  </r>
  <r>
    <x v="1"/>
    <x v="25"/>
    <x v="25"/>
    <x v="4"/>
    <s v="Prestación de Servicios Públicos"/>
    <x v="2"/>
    <x v="645"/>
    <x v="19"/>
    <x v="959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77557"/>
    <n v="0"/>
    <n v="0"/>
    <n v="577557"/>
    <n v="594301"/>
    <m/>
    <x v="1"/>
    <n v="594301"/>
  </r>
  <r>
    <x v="1"/>
    <x v="25"/>
    <x v="25"/>
    <x v="4"/>
    <s v="Prestación de Servicios Públicos"/>
    <x v="2"/>
    <x v="645"/>
    <x v="19"/>
    <x v="959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1428403"/>
    <n v="0"/>
    <n v="0"/>
    <n v="21428403"/>
    <n v="21420204"/>
    <m/>
    <x v="1"/>
    <n v="21420204"/>
  </r>
  <r>
    <x v="1"/>
    <x v="25"/>
    <x v="25"/>
    <x v="4"/>
    <s v="Prestación de Servicios Públicos"/>
    <x v="2"/>
    <x v="645"/>
    <x v="21"/>
    <x v="960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48844"/>
    <n v="0"/>
    <n v="0"/>
    <n v="548844"/>
    <n v="564933"/>
    <m/>
    <x v="1"/>
    <n v="564933"/>
  </r>
  <r>
    <x v="1"/>
    <x v="25"/>
    <x v="25"/>
    <x v="4"/>
    <s v="Prestación de Servicios Públicos"/>
    <x v="2"/>
    <x v="645"/>
    <x v="21"/>
    <x v="960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19257759"/>
    <n v="0"/>
    <n v="0"/>
    <n v="19257759"/>
    <n v="19215916"/>
    <m/>
    <x v="1"/>
    <n v="19215916"/>
  </r>
  <r>
    <x v="1"/>
    <x v="25"/>
    <x v="25"/>
    <x v="4"/>
    <s v="Prestación de Servicios Públicos"/>
    <x v="2"/>
    <x v="645"/>
    <x v="20"/>
    <x v="961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91318"/>
    <n v="0"/>
    <n v="0"/>
    <n v="591318"/>
    <n v="608378"/>
    <m/>
    <x v="1"/>
    <n v="608378"/>
  </r>
  <r>
    <x v="1"/>
    <x v="25"/>
    <x v="25"/>
    <x v="4"/>
    <s v="Prestación de Servicios Públicos"/>
    <x v="2"/>
    <x v="645"/>
    <x v="20"/>
    <x v="961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690616"/>
    <n v="0"/>
    <n v="0"/>
    <n v="20690616"/>
    <n v="20664257"/>
    <m/>
    <x v="1"/>
    <n v="20664257"/>
  </r>
  <r>
    <x v="1"/>
    <x v="25"/>
    <x v="25"/>
    <x v="4"/>
    <s v="Prestación de Servicios Públicos"/>
    <x v="2"/>
    <x v="645"/>
    <x v="6"/>
    <x v="962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62605"/>
    <n v="0"/>
    <n v="0"/>
    <n v="562605"/>
    <n v="579010"/>
    <m/>
    <x v="1"/>
    <n v="579010"/>
  </r>
  <r>
    <x v="1"/>
    <x v="25"/>
    <x v="25"/>
    <x v="4"/>
    <s v="Prestación de Servicios Públicos"/>
    <x v="2"/>
    <x v="645"/>
    <x v="6"/>
    <x v="962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175365"/>
    <n v="0"/>
    <n v="0"/>
    <n v="20175365"/>
    <n v="20109216"/>
    <m/>
    <x v="1"/>
    <n v="20109216"/>
  </r>
  <r>
    <x v="1"/>
    <x v="25"/>
    <x v="25"/>
    <x v="4"/>
    <s v="Prestación de Servicios Públicos"/>
    <x v="2"/>
    <x v="645"/>
    <x v="16"/>
    <x v="963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63797"/>
    <n v="0"/>
    <n v="0"/>
    <n v="563797"/>
    <n v="580224"/>
    <m/>
    <x v="1"/>
    <n v="580224"/>
  </r>
  <r>
    <x v="1"/>
    <x v="25"/>
    <x v="25"/>
    <x v="4"/>
    <s v="Prestación de Servicios Públicos"/>
    <x v="2"/>
    <x v="645"/>
    <x v="16"/>
    <x v="963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207952"/>
    <n v="0"/>
    <n v="0"/>
    <n v="20207952"/>
    <n v="20159491"/>
    <m/>
    <x v="1"/>
    <n v="20159491"/>
  </r>
  <r>
    <x v="1"/>
    <x v="25"/>
    <x v="25"/>
    <x v="4"/>
    <s v="Prestación de Servicios Públicos"/>
    <x v="2"/>
    <x v="645"/>
    <x v="17"/>
    <x v="964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70217"/>
    <n v="0"/>
    <n v="0"/>
    <n v="570217"/>
    <n v="586761"/>
    <m/>
    <x v="1"/>
    <n v="586761"/>
  </r>
  <r>
    <x v="1"/>
    <x v="25"/>
    <x v="25"/>
    <x v="4"/>
    <s v="Prestación de Servicios Públicos"/>
    <x v="2"/>
    <x v="645"/>
    <x v="17"/>
    <x v="964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2248820"/>
    <n v="0"/>
    <n v="0"/>
    <n v="22248820"/>
    <n v="22398682"/>
    <m/>
    <x v="1"/>
    <n v="22398682"/>
  </r>
  <r>
    <x v="1"/>
    <x v="25"/>
    <x v="25"/>
    <x v="4"/>
    <s v="Prestación de Servicios Públicos"/>
    <x v="2"/>
    <x v="645"/>
    <x v="24"/>
    <x v="965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98748"/>
    <n v="0"/>
    <n v="0"/>
    <n v="598748"/>
    <n v="615943"/>
    <m/>
    <x v="1"/>
    <n v="615943"/>
  </r>
  <r>
    <x v="1"/>
    <x v="25"/>
    <x v="25"/>
    <x v="4"/>
    <s v="Prestación de Servicios Públicos"/>
    <x v="2"/>
    <x v="645"/>
    <x v="24"/>
    <x v="965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3438773"/>
    <n v="0"/>
    <n v="0"/>
    <n v="23438773"/>
    <n v="24218845"/>
    <m/>
    <x v="1"/>
    <n v="24218845"/>
  </r>
  <r>
    <x v="1"/>
    <x v="25"/>
    <x v="25"/>
    <x v="4"/>
    <s v="Prestación de Servicios Públicos"/>
    <x v="2"/>
    <x v="645"/>
    <x v="18"/>
    <x v="966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632678"/>
    <n v="0"/>
    <n v="0"/>
    <n v="632678"/>
    <n v="650689"/>
    <m/>
    <x v="1"/>
    <n v="650689"/>
  </r>
  <r>
    <x v="1"/>
    <x v="25"/>
    <x v="25"/>
    <x v="4"/>
    <s v="Prestación de Servicios Públicos"/>
    <x v="2"/>
    <x v="645"/>
    <x v="18"/>
    <x v="966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4022004"/>
    <n v="0"/>
    <n v="0"/>
    <n v="24022004"/>
    <n v="24307800"/>
    <m/>
    <x v="1"/>
    <n v="24307800"/>
  </r>
  <r>
    <x v="1"/>
    <x v="25"/>
    <x v="25"/>
    <x v="4"/>
    <s v="Prestación de Servicios Públicos"/>
    <x v="2"/>
    <x v="645"/>
    <x v="107"/>
    <x v="967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606348"/>
    <n v="0"/>
    <n v="0"/>
    <n v="606348"/>
    <n v="623749"/>
    <m/>
    <x v="1"/>
    <n v="623749"/>
  </r>
  <r>
    <x v="1"/>
    <x v="25"/>
    <x v="25"/>
    <x v="4"/>
    <s v="Prestación de Servicios Públicos"/>
    <x v="2"/>
    <x v="645"/>
    <x v="107"/>
    <x v="967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4133044"/>
    <n v="0"/>
    <n v="0"/>
    <n v="24133044"/>
    <n v="23821943"/>
    <m/>
    <x v="1"/>
    <n v="23821943"/>
  </r>
  <r>
    <x v="1"/>
    <x v="25"/>
    <x v="25"/>
    <x v="4"/>
    <s v="Prestación de Servicios Públicos"/>
    <x v="2"/>
    <x v="645"/>
    <x v="424"/>
    <x v="968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89052"/>
    <n v="0"/>
    <n v="0"/>
    <n v="589052"/>
    <n v="606072"/>
    <m/>
    <x v="1"/>
    <n v="606072"/>
  </r>
  <r>
    <x v="1"/>
    <x v="25"/>
    <x v="25"/>
    <x v="4"/>
    <s v="Prestación de Servicios Públicos"/>
    <x v="2"/>
    <x v="645"/>
    <x v="424"/>
    <x v="968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3236242"/>
    <n v="0"/>
    <n v="0"/>
    <n v="23236242"/>
    <n v="23518779"/>
    <m/>
    <x v="1"/>
    <n v="23518779"/>
  </r>
  <r>
    <x v="1"/>
    <x v="25"/>
    <x v="25"/>
    <x v="4"/>
    <s v="Prestación de Servicios Públicos"/>
    <x v="2"/>
    <x v="645"/>
    <x v="425"/>
    <x v="969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63797"/>
    <n v="0"/>
    <n v="0"/>
    <n v="563797"/>
    <n v="580224"/>
    <m/>
    <x v="1"/>
    <n v="580224"/>
  </r>
  <r>
    <x v="1"/>
    <x v="25"/>
    <x v="25"/>
    <x v="4"/>
    <s v="Prestación de Servicios Públicos"/>
    <x v="2"/>
    <x v="645"/>
    <x v="425"/>
    <x v="969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432437"/>
    <n v="0"/>
    <n v="0"/>
    <n v="20432437"/>
    <n v="20309364"/>
    <m/>
    <x v="1"/>
    <n v="20309364"/>
  </r>
  <r>
    <x v="1"/>
    <x v="25"/>
    <x v="25"/>
    <x v="4"/>
    <s v="Prestación de Servicios Públicos"/>
    <x v="2"/>
    <x v="645"/>
    <x v="426"/>
    <x v="970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33892"/>
    <n v="0"/>
    <n v="0"/>
    <n v="533892"/>
    <n v="549643"/>
    <m/>
    <x v="1"/>
    <n v="549643"/>
  </r>
  <r>
    <x v="1"/>
    <x v="25"/>
    <x v="25"/>
    <x v="4"/>
    <s v="Prestación de Servicios Públicos"/>
    <x v="2"/>
    <x v="645"/>
    <x v="426"/>
    <x v="970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703540"/>
    <n v="0"/>
    <n v="0"/>
    <n v="20703540"/>
    <n v="20696710"/>
    <m/>
    <x v="1"/>
    <n v="20696710"/>
  </r>
  <r>
    <x v="1"/>
    <x v="25"/>
    <x v="25"/>
    <x v="4"/>
    <s v="Prestación de Servicios Públicos"/>
    <x v="2"/>
    <x v="645"/>
    <x v="427"/>
    <x v="971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70217"/>
    <n v="0"/>
    <n v="0"/>
    <n v="570217"/>
    <n v="586761"/>
    <m/>
    <x v="1"/>
    <n v="586761"/>
  </r>
  <r>
    <x v="1"/>
    <x v="25"/>
    <x v="25"/>
    <x v="4"/>
    <s v="Prestación de Servicios Públicos"/>
    <x v="2"/>
    <x v="645"/>
    <x v="427"/>
    <x v="971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31054922"/>
    <n v="0"/>
    <n v="0"/>
    <n v="31054922"/>
    <n v="31346773"/>
    <m/>
    <x v="1"/>
    <n v="31346773"/>
  </r>
  <r>
    <x v="1"/>
    <x v="25"/>
    <x v="25"/>
    <x v="4"/>
    <s v="Prestación de Servicios Públicos"/>
    <x v="2"/>
    <x v="645"/>
    <x v="428"/>
    <x v="972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48844"/>
    <n v="0"/>
    <n v="0"/>
    <n v="548844"/>
    <n v="564933"/>
    <m/>
    <x v="1"/>
    <n v="564933"/>
  </r>
  <r>
    <x v="1"/>
    <x v="25"/>
    <x v="25"/>
    <x v="4"/>
    <s v="Prestación de Servicios Públicos"/>
    <x v="2"/>
    <x v="645"/>
    <x v="428"/>
    <x v="972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19304388"/>
    <n v="0"/>
    <n v="0"/>
    <n v="19304388"/>
    <n v="19224434"/>
    <m/>
    <x v="1"/>
    <n v="19224434"/>
  </r>
  <r>
    <x v="1"/>
    <x v="25"/>
    <x v="25"/>
    <x v="4"/>
    <s v="Prestación de Servicios Públicos"/>
    <x v="2"/>
    <x v="645"/>
    <x v="429"/>
    <x v="973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64230"/>
    <n v="0"/>
    <n v="0"/>
    <n v="564230"/>
    <n v="580666"/>
    <m/>
    <x v="1"/>
    <n v="580666"/>
  </r>
  <r>
    <x v="1"/>
    <x v="25"/>
    <x v="25"/>
    <x v="4"/>
    <s v="Prestación de Servicios Públicos"/>
    <x v="2"/>
    <x v="645"/>
    <x v="429"/>
    <x v="973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202890"/>
    <n v="0"/>
    <n v="0"/>
    <n v="20202890"/>
    <n v="20281578"/>
    <m/>
    <x v="1"/>
    <n v="20281578"/>
  </r>
  <r>
    <x v="1"/>
    <x v="25"/>
    <x v="25"/>
    <x v="4"/>
    <s v="Prestación de Servicios Públicos"/>
    <x v="2"/>
    <x v="645"/>
    <x v="430"/>
    <x v="974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48844"/>
    <n v="0"/>
    <n v="0"/>
    <n v="548844"/>
    <n v="564933"/>
    <m/>
    <x v="1"/>
    <n v="564933"/>
  </r>
  <r>
    <x v="1"/>
    <x v="25"/>
    <x v="25"/>
    <x v="4"/>
    <s v="Prestación de Servicios Públicos"/>
    <x v="2"/>
    <x v="645"/>
    <x v="430"/>
    <x v="974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010004"/>
    <n v="0"/>
    <n v="0"/>
    <n v="20010004"/>
    <n v="19928438"/>
    <m/>
    <x v="1"/>
    <n v="19928438"/>
  </r>
  <r>
    <x v="1"/>
    <x v="25"/>
    <x v="25"/>
    <x v="4"/>
    <s v="Prestación de Servicios Públicos"/>
    <x v="2"/>
    <x v="645"/>
    <x v="417"/>
    <x v="975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606131"/>
    <n v="0"/>
    <n v="0"/>
    <n v="606131"/>
    <n v="623525"/>
    <m/>
    <x v="1"/>
    <n v="623525"/>
  </r>
  <r>
    <x v="1"/>
    <x v="25"/>
    <x v="25"/>
    <x v="4"/>
    <s v="Prestación de Servicios Públicos"/>
    <x v="2"/>
    <x v="645"/>
    <x v="417"/>
    <x v="975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1210223"/>
    <n v="0"/>
    <n v="0"/>
    <n v="21210223"/>
    <n v="21086969"/>
    <m/>
    <x v="1"/>
    <n v="21086969"/>
  </r>
  <r>
    <x v="1"/>
    <x v="25"/>
    <x v="25"/>
    <x v="4"/>
    <s v="Prestación de Servicios Públicos"/>
    <x v="2"/>
    <x v="645"/>
    <x v="418"/>
    <x v="976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m/>
    <m/>
    <m/>
    <m/>
    <n v="1422049"/>
    <m/>
    <x v="1"/>
    <n v="1422049"/>
  </r>
  <r>
    <x v="1"/>
    <x v="25"/>
    <x v="25"/>
    <x v="4"/>
    <s v="Prestación de Servicios Públicos"/>
    <x v="2"/>
    <x v="645"/>
    <x v="431"/>
    <x v="977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63797"/>
    <n v="0"/>
    <n v="0"/>
    <n v="563797"/>
    <n v="580224"/>
    <m/>
    <x v="1"/>
    <n v="580224"/>
  </r>
  <r>
    <x v="1"/>
    <x v="25"/>
    <x v="25"/>
    <x v="4"/>
    <s v="Prestación de Servicios Públicos"/>
    <x v="2"/>
    <x v="645"/>
    <x v="431"/>
    <x v="977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1743939"/>
    <n v="0"/>
    <n v="0"/>
    <n v="21743939"/>
    <n v="40528299"/>
    <m/>
    <x v="1"/>
    <n v="40528299"/>
  </r>
  <r>
    <x v="1"/>
    <x v="25"/>
    <x v="25"/>
    <x v="4"/>
    <s v="Prestación de Servicios Públicos"/>
    <x v="2"/>
    <x v="645"/>
    <x v="432"/>
    <x v="978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63797"/>
    <n v="0"/>
    <n v="0"/>
    <n v="563797"/>
    <n v="580224"/>
    <m/>
    <x v="1"/>
    <n v="580224"/>
  </r>
  <r>
    <x v="1"/>
    <x v="25"/>
    <x v="25"/>
    <x v="4"/>
    <s v="Prestación de Servicios Públicos"/>
    <x v="2"/>
    <x v="645"/>
    <x v="432"/>
    <x v="978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848432"/>
    <n v="0"/>
    <n v="0"/>
    <n v="20848432"/>
    <n v="20732171"/>
    <m/>
    <x v="1"/>
    <n v="20732171"/>
  </r>
  <r>
    <x v="1"/>
    <x v="25"/>
    <x v="25"/>
    <x v="4"/>
    <s v="Prestación de Servicios Públicos"/>
    <x v="2"/>
    <x v="645"/>
    <x v="433"/>
    <x v="979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77557"/>
    <n v="0"/>
    <n v="0"/>
    <n v="577557"/>
    <n v="594301"/>
    <m/>
    <x v="1"/>
    <n v="594301"/>
  </r>
  <r>
    <x v="1"/>
    <x v="25"/>
    <x v="25"/>
    <x v="4"/>
    <s v="Prestación de Servicios Públicos"/>
    <x v="2"/>
    <x v="645"/>
    <x v="433"/>
    <x v="979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1562803"/>
    <n v="0"/>
    <n v="0"/>
    <n v="21562803"/>
    <n v="21539860"/>
    <m/>
    <x v="1"/>
    <n v="21539860"/>
  </r>
  <r>
    <x v="1"/>
    <x v="25"/>
    <x v="25"/>
    <x v="4"/>
    <s v="Prestación de Servicios Públicos"/>
    <x v="2"/>
    <x v="645"/>
    <x v="434"/>
    <x v="980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49278"/>
    <n v="0"/>
    <n v="0"/>
    <n v="549278"/>
    <n v="565375"/>
    <m/>
    <x v="1"/>
    <n v="565375"/>
  </r>
  <r>
    <x v="1"/>
    <x v="25"/>
    <x v="25"/>
    <x v="4"/>
    <s v="Prestación de Servicios Públicos"/>
    <x v="2"/>
    <x v="645"/>
    <x v="434"/>
    <x v="980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19668013"/>
    <n v="0"/>
    <n v="0"/>
    <n v="19668013"/>
    <n v="19547943"/>
    <m/>
    <x v="1"/>
    <n v="19547943"/>
  </r>
  <r>
    <x v="1"/>
    <x v="25"/>
    <x v="25"/>
    <x v="4"/>
    <s v="Prestación de Servicios Públicos"/>
    <x v="2"/>
    <x v="645"/>
    <x v="435"/>
    <x v="981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604004"/>
    <n v="0"/>
    <n v="0"/>
    <n v="604004"/>
    <n v="621363"/>
    <m/>
    <x v="1"/>
    <n v="621363"/>
  </r>
  <r>
    <x v="1"/>
    <x v="25"/>
    <x v="25"/>
    <x v="4"/>
    <s v="Prestación de Servicios Públicos"/>
    <x v="2"/>
    <x v="645"/>
    <x v="435"/>
    <x v="981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3593704"/>
    <n v="0"/>
    <n v="0"/>
    <n v="23593704"/>
    <n v="23074542"/>
    <m/>
    <x v="1"/>
    <n v="23074542"/>
  </r>
  <r>
    <x v="1"/>
    <x v="25"/>
    <x v="25"/>
    <x v="4"/>
    <s v="Prestación de Servicios Públicos"/>
    <x v="2"/>
    <x v="645"/>
    <x v="436"/>
    <x v="982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64230"/>
    <n v="0"/>
    <n v="0"/>
    <n v="564230"/>
    <n v="580666"/>
    <m/>
    <x v="1"/>
    <n v="580666"/>
  </r>
  <r>
    <x v="1"/>
    <x v="25"/>
    <x v="25"/>
    <x v="4"/>
    <s v="Prestación de Servicios Públicos"/>
    <x v="2"/>
    <x v="645"/>
    <x v="436"/>
    <x v="982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1990284"/>
    <n v="0"/>
    <n v="0"/>
    <n v="21990284"/>
    <n v="22854451"/>
    <m/>
    <x v="1"/>
    <n v="22854451"/>
  </r>
  <r>
    <x v="1"/>
    <x v="25"/>
    <x v="25"/>
    <x v="4"/>
    <s v="Prestación de Servicios Públicos"/>
    <x v="2"/>
    <x v="645"/>
    <x v="437"/>
    <x v="983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70217"/>
    <n v="0"/>
    <n v="0"/>
    <n v="570217"/>
    <n v="586761"/>
    <m/>
    <x v="1"/>
    <n v="586761"/>
  </r>
  <r>
    <x v="1"/>
    <x v="25"/>
    <x v="25"/>
    <x v="4"/>
    <s v="Prestación de Servicios Públicos"/>
    <x v="2"/>
    <x v="645"/>
    <x v="437"/>
    <x v="983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235533"/>
    <n v="0"/>
    <n v="0"/>
    <n v="20235533"/>
    <n v="20222809"/>
    <m/>
    <x v="1"/>
    <n v="20222809"/>
  </r>
  <r>
    <x v="1"/>
    <x v="25"/>
    <x v="25"/>
    <x v="4"/>
    <s v="Prestación de Servicios Públicos"/>
    <x v="2"/>
    <x v="645"/>
    <x v="420"/>
    <x v="984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570217"/>
    <n v="0"/>
    <n v="0"/>
    <n v="570217"/>
    <n v="586761"/>
    <m/>
    <x v="1"/>
    <n v="586761"/>
  </r>
  <r>
    <x v="1"/>
    <x v="25"/>
    <x v="25"/>
    <x v="4"/>
    <s v="Prestación de Servicios Públicos"/>
    <x v="2"/>
    <x v="645"/>
    <x v="420"/>
    <x v="984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1519266"/>
    <n v="0"/>
    <n v="0"/>
    <n v="21519266"/>
    <n v="21834081"/>
    <m/>
    <x v="1"/>
    <n v="21834081"/>
  </r>
  <r>
    <x v="1"/>
    <x v="25"/>
    <x v="25"/>
    <x v="4"/>
    <s v="Prestación de Servicios Públicos"/>
    <x v="2"/>
    <x v="645"/>
    <x v="421"/>
    <x v="985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606484"/>
    <n v="0"/>
    <n v="0"/>
    <n v="606484"/>
    <n v="623888"/>
    <m/>
    <x v="1"/>
    <n v="623888"/>
  </r>
  <r>
    <x v="1"/>
    <x v="25"/>
    <x v="25"/>
    <x v="4"/>
    <s v="Prestación de Servicios Públicos"/>
    <x v="2"/>
    <x v="645"/>
    <x v="421"/>
    <x v="985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605090"/>
    <n v="0"/>
    <n v="0"/>
    <n v="20605090"/>
    <n v="20463004"/>
    <m/>
    <x v="1"/>
    <n v="20463004"/>
  </r>
  <r>
    <x v="1"/>
    <x v="25"/>
    <x v="25"/>
    <x v="4"/>
    <s v="Prestación de Servicios Públicos"/>
    <x v="2"/>
    <x v="645"/>
    <x v="53"/>
    <x v="986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606484"/>
    <n v="0"/>
    <n v="0"/>
    <n v="606484"/>
    <n v="623888"/>
    <m/>
    <x v="1"/>
    <n v="623888"/>
  </r>
  <r>
    <x v="1"/>
    <x v="25"/>
    <x v="25"/>
    <x v="4"/>
    <s v="Prestación de Servicios Públicos"/>
    <x v="2"/>
    <x v="645"/>
    <x v="53"/>
    <x v="986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180681"/>
    <n v="0"/>
    <n v="0"/>
    <n v="20180681"/>
    <n v="20120594"/>
    <m/>
    <x v="1"/>
    <n v="20120594"/>
  </r>
  <r>
    <x v="1"/>
    <x v="25"/>
    <x v="25"/>
    <x v="4"/>
    <s v="Prestación de Servicios Públicos"/>
    <x v="2"/>
    <x v="645"/>
    <x v="54"/>
    <x v="987"/>
    <n v="1"/>
    <s v="Gobierno"/>
    <n v="6"/>
    <s v="Orden, Seguridad y Justicia"/>
    <n v="4"/>
    <x v="1"/>
    <x v="1"/>
    <x v="171"/>
    <n v="1"/>
    <s v="Gasto corriente"/>
    <x v="0"/>
    <x v="1"/>
    <x v="0"/>
    <x v="0"/>
    <x v="0"/>
    <x v="0"/>
    <x v="0"/>
    <m/>
    <x v="0"/>
    <x v="0"/>
    <m/>
    <n v="606484"/>
    <n v="0"/>
    <n v="0"/>
    <n v="606484"/>
    <n v="623888"/>
    <m/>
    <x v="1"/>
    <n v="623888"/>
  </r>
  <r>
    <x v="1"/>
    <x v="25"/>
    <x v="25"/>
    <x v="4"/>
    <s v="Prestación de Servicios Públicos"/>
    <x v="2"/>
    <x v="645"/>
    <x v="54"/>
    <x v="987"/>
    <n v="1"/>
    <s v="Gobierno"/>
    <n v="6"/>
    <s v="Orden, Seguridad y Justicia"/>
    <n v="4"/>
    <x v="1"/>
    <x v="1"/>
    <x v="171"/>
    <n v="1"/>
    <s v="Gasto corriente"/>
    <x v="0"/>
    <x v="0"/>
    <x v="0"/>
    <x v="0"/>
    <x v="0"/>
    <x v="0"/>
    <x v="0"/>
    <m/>
    <x v="0"/>
    <x v="0"/>
    <m/>
    <n v="20881195"/>
    <n v="0"/>
    <n v="0"/>
    <n v="20881195"/>
    <n v="20818859"/>
    <m/>
    <x v="1"/>
    <n v="20818859"/>
  </r>
  <r>
    <x v="1"/>
    <x v="25"/>
    <x v="25"/>
    <x v="0"/>
    <s v="Proyectos de Inversión"/>
    <x v="0"/>
    <x v="0"/>
    <x v="3"/>
    <x v="956"/>
    <n v="1"/>
    <s v="Gobierno"/>
    <n v="6"/>
    <s v="Orden, Seguridad y Justicia"/>
    <n v="4"/>
    <x v="1"/>
    <x v="1"/>
    <x v="171"/>
    <n v="2"/>
    <s v="Gasto de capital"/>
    <x v="0"/>
    <x v="0"/>
    <x v="0"/>
    <x v="0"/>
    <x v="0"/>
    <x v="0"/>
    <x v="0"/>
    <m/>
    <x v="0"/>
    <x v="0"/>
    <m/>
    <n v="198147000"/>
    <n v="70124353"/>
    <n v="-10703432"/>
    <n v="257567921"/>
    <n v="210000000"/>
    <m/>
    <x v="1"/>
    <n v="210000000"/>
  </r>
  <r>
    <x v="1"/>
    <x v="25"/>
    <x v="25"/>
    <x v="2"/>
    <s v="Apoyo al proceso presupuestario y para mejorar la eficiencia institucional"/>
    <x v="2"/>
    <x v="34"/>
    <x v="38"/>
    <x v="39"/>
    <n v="1"/>
    <s v="Gobierno"/>
    <n v="6"/>
    <s v="Orden, Seguridad y Justicia"/>
    <n v="4"/>
    <x v="1"/>
    <x v="3"/>
    <x v="12"/>
    <n v="1"/>
    <s v="Gasto corriente"/>
    <x v="0"/>
    <x v="1"/>
    <x v="0"/>
    <x v="0"/>
    <x v="0"/>
    <x v="0"/>
    <x v="0"/>
    <m/>
    <x v="0"/>
    <x v="0"/>
    <m/>
    <n v="104685"/>
    <n v="0"/>
    <n v="0"/>
    <n v="104685"/>
    <n v="108271"/>
    <m/>
    <x v="1"/>
    <n v="108271"/>
  </r>
  <r>
    <x v="1"/>
    <x v="25"/>
    <x v="25"/>
    <x v="2"/>
    <s v="Apoyo al proceso presupuestario y para mejorar la eficiencia institucional"/>
    <x v="2"/>
    <x v="34"/>
    <x v="38"/>
    <x v="39"/>
    <n v="1"/>
    <s v="Gobierno"/>
    <n v="6"/>
    <s v="Orden, Seguridad y Justicia"/>
    <n v="4"/>
    <x v="1"/>
    <x v="3"/>
    <x v="12"/>
    <n v="1"/>
    <s v="Gasto corriente"/>
    <x v="0"/>
    <x v="0"/>
    <x v="0"/>
    <x v="0"/>
    <x v="0"/>
    <x v="0"/>
    <x v="0"/>
    <m/>
    <x v="0"/>
    <x v="0"/>
    <m/>
    <n v="3589463"/>
    <n v="0"/>
    <n v="0"/>
    <n v="3589463"/>
    <n v="3565576"/>
    <m/>
    <x v="1"/>
    <n v="3565576"/>
  </r>
  <r>
    <x v="1"/>
    <x v="25"/>
    <x v="25"/>
    <x v="2"/>
    <s v="Apoyo al proceso presupuestario y para mejorar la eficiencia institucional"/>
    <x v="2"/>
    <x v="34"/>
    <x v="39"/>
    <x v="69"/>
    <n v="1"/>
    <s v="Gobierno"/>
    <n v="6"/>
    <s v="Orden, Seguridad y Justicia"/>
    <n v="4"/>
    <x v="1"/>
    <x v="3"/>
    <x v="12"/>
    <n v="1"/>
    <s v="Gasto corriente"/>
    <x v="0"/>
    <x v="1"/>
    <x v="0"/>
    <x v="0"/>
    <x v="0"/>
    <x v="0"/>
    <x v="0"/>
    <m/>
    <x v="0"/>
    <x v="0"/>
    <m/>
    <n v="593757"/>
    <n v="0"/>
    <n v="0"/>
    <n v="593757"/>
    <n v="1090148"/>
    <m/>
    <x v="1"/>
    <n v="1090148"/>
  </r>
  <r>
    <x v="1"/>
    <x v="25"/>
    <x v="25"/>
    <x v="2"/>
    <s v="Apoyo al proceso presupuestario y para mejorar la eficiencia institucional"/>
    <x v="2"/>
    <x v="34"/>
    <x v="39"/>
    <x v="69"/>
    <n v="1"/>
    <s v="Gobierno"/>
    <n v="6"/>
    <s v="Orden, Seguridad y Justicia"/>
    <n v="4"/>
    <x v="1"/>
    <x v="3"/>
    <x v="12"/>
    <n v="1"/>
    <s v="Gasto corriente"/>
    <x v="0"/>
    <x v="0"/>
    <x v="0"/>
    <x v="0"/>
    <x v="0"/>
    <x v="0"/>
    <x v="0"/>
    <m/>
    <x v="0"/>
    <x v="0"/>
    <m/>
    <n v="12806027"/>
    <n v="0"/>
    <n v="0"/>
    <n v="12806027"/>
    <n v="29346643"/>
    <m/>
    <x v="1"/>
    <n v="29346643"/>
  </r>
  <r>
    <x v="1"/>
    <x v="25"/>
    <x v="25"/>
    <x v="2"/>
    <s v="Apoyo al proceso presupuestario y para mejorar la eficiencia institucional"/>
    <x v="2"/>
    <x v="34"/>
    <x v="56"/>
    <x v="119"/>
    <n v="1"/>
    <s v="Gobierno"/>
    <n v="6"/>
    <s v="Orden, Seguridad y Justicia"/>
    <n v="4"/>
    <x v="1"/>
    <x v="3"/>
    <x v="12"/>
    <n v="1"/>
    <s v="Gasto corriente"/>
    <x v="0"/>
    <x v="1"/>
    <x v="0"/>
    <x v="0"/>
    <x v="0"/>
    <x v="0"/>
    <x v="0"/>
    <m/>
    <x v="0"/>
    <x v="0"/>
    <m/>
    <n v="346556"/>
    <n v="0"/>
    <n v="0"/>
    <n v="346556"/>
    <n v="354322"/>
    <m/>
    <x v="1"/>
    <n v="354322"/>
  </r>
  <r>
    <x v="1"/>
    <x v="25"/>
    <x v="25"/>
    <x v="2"/>
    <s v="Apoyo al proceso presupuestario y para mejorar la eficiencia institucional"/>
    <x v="2"/>
    <x v="34"/>
    <x v="56"/>
    <x v="119"/>
    <n v="1"/>
    <s v="Gobierno"/>
    <n v="6"/>
    <s v="Orden, Seguridad y Justicia"/>
    <n v="4"/>
    <x v="1"/>
    <x v="3"/>
    <x v="12"/>
    <n v="1"/>
    <s v="Gasto corriente"/>
    <x v="0"/>
    <x v="0"/>
    <x v="0"/>
    <x v="0"/>
    <x v="0"/>
    <x v="0"/>
    <x v="0"/>
    <m/>
    <x v="0"/>
    <x v="0"/>
    <m/>
    <n v="17967911"/>
    <n v="0"/>
    <n v="0"/>
    <n v="17967911"/>
    <n v="9826063"/>
    <m/>
    <x v="1"/>
    <n v="9826063"/>
  </r>
  <r>
    <x v="1"/>
    <x v="25"/>
    <x v="25"/>
    <x v="2"/>
    <s v="Apoyo al proceso presupuestario y para mejorar la eficiencia institucional"/>
    <x v="2"/>
    <x v="34"/>
    <x v="73"/>
    <x v="71"/>
    <n v="1"/>
    <s v="Gobierno"/>
    <n v="6"/>
    <s v="Orden, Seguridad y Justicia"/>
    <n v="4"/>
    <x v="1"/>
    <x v="3"/>
    <x v="12"/>
    <n v="1"/>
    <s v="Gasto corriente"/>
    <x v="0"/>
    <x v="1"/>
    <x v="0"/>
    <x v="0"/>
    <x v="0"/>
    <x v="0"/>
    <x v="0"/>
    <m/>
    <x v="0"/>
    <x v="0"/>
    <m/>
    <n v="839678"/>
    <n v="0"/>
    <n v="0"/>
    <n v="839678"/>
    <n v="858736"/>
    <m/>
    <x v="1"/>
    <n v="858736"/>
  </r>
  <r>
    <x v="1"/>
    <x v="25"/>
    <x v="25"/>
    <x v="2"/>
    <s v="Apoyo al proceso presupuestario y para mejorar la eficiencia institucional"/>
    <x v="2"/>
    <x v="34"/>
    <x v="73"/>
    <x v="71"/>
    <n v="1"/>
    <s v="Gobierno"/>
    <n v="6"/>
    <s v="Orden, Seguridad y Justicia"/>
    <n v="4"/>
    <x v="1"/>
    <x v="3"/>
    <x v="12"/>
    <n v="1"/>
    <s v="Gasto corriente"/>
    <x v="0"/>
    <x v="0"/>
    <x v="0"/>
    <x v="0"/>
    <x v="0"/>
    <x v="0"/>
    <x v="0"/>
    <m/>
    <x v="0"/>
    <x v="0"/>
    <m/>
    <n v="15494459"/>
    <n v="0"/>
    <n v="0"/>
    <n v="15494459"/>
    <n v="15599746"/>
    <m/>
    <x v="1"/>
    <n v="15599746"/>
  </r>
  <r>
    <x v="1"/>
    <x v="26"/>
    <x v="26"/>
    <x v="4"/>
    <s v="Prestación de Servicios Públicos"/>
    <x v="2"/>
    <x v="646"/>
    <x v="1"/>
    <x v="78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2022635"/>
    <n v="0"/>
    <n v="0"/>
    <n v="2022635"/>
    <n v="2094222"/>
    <m/>
    <x v="1"/>
    <n v="2094222"/>
  </r>
  <r>
    <x v="1"/>
    <x v="26"/>
    <x v="26"/>
    <x v="4"/>
    <s v="Prestación de Servicios Públicos"/>
    <x v="2"/>
    <x v="646"/>
    <x v="1"/>
    <x v="78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74762236"/>
    <n v="0"/>
    <n v="-2000000"/>
    <n v="72762236"/>
    <n v="74089564"/>
    <m/>
    <x v="1"/>
    <n v="74089564"/>
  </r>
  <r>
    <x v="1"/>
    <x v="26"/>
    <x v="26"/>
    <x v="4"/>
    <s v="Prestación de Servicios Públicos"/>
    <x v="2"/>
    <x v="646"/>
    <x v="22"/>
    <x v="93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843794"/>
    <n v="0"/>
    <n v="0"/>
    <n v="843794"/>
    <m/>
    <m/>
    <x v="1"/>
    <n v="0"/>
  </r>
  <r>
    <x v="1"/>
    <x v="26"/>
    <x v="26"/>
    <x v="4"/>
    <s v="Prestación de Servicios Públicos"/>
    <x v="2"/>
    <x v="646"/>
    <x v="22"/>
    <x v="93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85049669"/>
    <n v="0"/>
    <n v="-2051343"/>
    <n v="82998326"/>
    <m/>
    <m/>
    <x v="1"/>
    <n v="0"/>
  </r>
  <r>
    <x v="1"/>
    <x v="26"/>
    <x v="26"/>
    <x v="4"/>
    <s v="Prestación de Servicios Públicos"/>
    <x v="2"/>
    <x v="646"/>
    <x v="19"/>
    <x v="988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1428453"/>
    <n v="0"/>
    <n v="0"/>
    <n v="1428453"/>
    <m/>
    <m/>
    <x v="1"/>
    <n v="0"/>
  </r>
  <r>
    <x v="1"/>
    <x v="26"/>
    <x v="26"/>
    <x v="4"/>
    <s v="Prestación de Servicios Públicos"/>
    <x v="2"/>
    <x v="646"/>
    <x v="19"/>
    <x v="988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37359840"/>
    <n v="0"/>
    <n v="0"/>
    <n v="37359840"/>
    <m/>
    <m/>
    <x v="1"/>
    <n v="0"/>
  </r>
  <r>
    <x v="1"/>
    <x v="26"/>
    <x v="26"/>
    <x v="4"/>
    <s v="Prestación de Servicios Públicos"/>
    <x v="2"/>
    <x v="646"/>
    <x v="20"/>
    <x v="841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879992"/>
    <n v="0"/>
    <n v="0"/>
    <n v="879992"/>
    <m/>
    <m/>
    <x v="1"/>
    <n v="0"/>
  </r>
  <r>
    <x v="1"/>
    <x v="26"/>
    <x v="26"/>
    <x v="4"/>
    <s v="Prestación de Servicios Públicos"/>
    <x v="2"/>
    <x v="646"/>
    <x v="20"/>
    <x v="841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64550347"/>
    <n v="0"/>
    <n v="-10000000"/>
    <n v="54550347"/>
    <m/>
    <m/>
    <x v="1"/>
    <n v="0"/>
  </r>
  <r>
    <x v="1"/>
    <x v="26"/>
    <x v="26"/>
    <x v="4"/>
    <s v="Prestación de Servicios Públicos"/>
    <x v="2"/>
    <x v="646"/>
    <x v="24"/>
    <x v="989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33531"/>
    <m/>
    <x v="1"/>
    <n v="33531"/>
  </r>
  <r>
    <x v="1"/>
    <x v="26"/>
    <x v="26"/>
    <x v="4"/>
    <s v="Prestación de Servicios Públicos"/>
    <x v="2"/>
    <x v="646"/>
    <x v="24"/>
    <x v="989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4223513"/>
    <m/>
    <x v="1"/>
    <n v="4223513"/>
  </r>
  <r>
    <x v="1"/>
    <x v="26"/>
    <x v="26"/>
    <x v="4"/>
    <s v="Prestación de Servicios Públicos"/>
    <x v="2"/>
    <x v="646"/>
    <x v="18"/>
    <x v="93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908679"/>
    <m/>
    <x v="1"/>
    <n v="908679"/>
  </r>
  <r>
    <x v="1"/>
    <x v="26"/>
    <x v="26"/>
    <x v="4"/>
    <s v="Prestación de Servicios Públicos"/>
    <x v="2"/>
    <x v="646"/>
    <x v="18"/>
    <x v="93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188342753"/>
    <m/>
    <x v="1"/>
    <n v="188342753"/>
  </r>
  <r>
    <x v="1"/>
    <x v="26"/>
    <x v="26"/>
    <x v="4"/>
    <s v="Prestación de Servicios Públicos"/>
    <x v="2"/>
    <x v="646"/>
    <x v="107"/>
    <x v="990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33531"/>
    <m/>
    <x v="1"/>
    <n v="33531"/>
  </r>
  <r>
    <x v="1"/>
    <x v="26"/>
    <x v="26"/>
    <x v="4"/>
    <s v="Prestación de Servicios Públicos"/>
    <x v="2"/>
    <x v="646"/>
    <x v="107"/>
    <x v="990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3906095"/>
    <m/>
    <x v="1"/>
    <n v="3906095"/>
  </r>
  <r>
    <x v="1"/>
    <x v="26"/>
    <x v="26"/>
    <x v="4"/>
    <s v="Prestación de Servicios Públicos"/>
    <x v="2"/>
    <x v="646"/>
    <x v="83"/>
    <x v="991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582803"/>
    <m/>
    <x v="1"/>
    <n v="582803"/>
  </r>
  <r>
    <x v="1"/>
    <x v="26"/>
    <x v="26"/>
    <x v="4"/>
    <s v="Prestación de Servicios Públicos"/>
    <x v="2"/>
    <x v="646"/>
    <x v="83"/>
    <x v="991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18304173"/>
    <m/>
    <x v="1"/>
    <n v="18304173"/>
  </r>
  <r>
    <x v="1"/>
    <x v="26"/>
    <x v="26"/>
    <x v="4"/>
    <s v="Prestación de Servicios Públicos"/>
    <x v="2"/>
    <x v="646"/>
    <x v="28"/>
    <x v="101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658903"/>
    <m/>
    <x v="1"/>
    <n v="658903"/>
  </r>
  <r>
    <x v="1"/>
    <x v="26"/>
    <x v="26"/>
    <x v="4"/>
    <s v="Prestación de Servicios Públicos"/>
    <x v="2"/>
    <x v="646"/>
    <x v="28"/>
    <x v="101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15301284"/>
    <m/>
    <x v="1"/>
    <n v="15301284"/>
  </r>
  <r>
    <x v="1"/>
    <x v="26"/>
    <x v="26"/>
    <x v="4"/>
    <s v="Prestación de Servicios Públicos"/>
    <x v="2"/>
    <x v="646"/>
    <x v="29"/>
    <x v="992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339656"/>
    <m/>
    <x v="1"/>
    <n v="339656"/>
  </r>
  <r>
    <x v="1"/>
    <x v="26"/>
    <x v="26"/>
    <x v="4"/>
    <s v="Prestación de Servicios Públicos"/>
    <x v="2"/>
    <x v="646"/>
    <x v="29"/>
    <x v="992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11918834"/>
    <m/>
    <x v="1"/>
    <n v="11918834"/>
  </r>
  <r>
    <x v="1"/>
    <x v="26"/>
    <x v="26"/>
    <x v="4"/>
    <s v="Prestación de Servicios Públicos"/>
    <x v="2"/>
    <x v="646"/>
    <x v="111"/>
    <x v="993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203220"/>
    <m/>
    <x v="1"/>
    <n v="203220"/>
  </r>
  <r>
    <x v="1"/>
    <x v="26"/>
    <x v="26"/>
    <x v="4"/>
    <s v="Prestación de Servicios Públicos"/>
    <x v="2"/>
    <x v="646"/>
    <x v="111"/>
    <x v="993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8226961"/>
    <m/>
    <x v="1"/>
    <n v="8226961"/>
  </r>
  <r>
    <x v="1"/>
    <x v="26"/>
    <x v="26"/>
    <x v="4"/>
    <s v="Prestación de Servicios Públicos"/>
    <x v="2"/>
    <x v="646"/>
    <x v="121"/>
    <x v="994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432519"/>
    <m/>
    <x v="1"/>
    <n v="432519"/>
  </r>
  <r>
    <x v="1"/>
    <x v="26"/>
    <x v="26"/>
    <x v="4"/>
    <s v="Prestación de Servicios Públicos"/>
    <x v="2"/>
    <x v="646"/>
    <x v="121"/>
    <x v="994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14378157"/>
    <m/>
    <x v="1"/>
    <n v="14378157"/>
  </r>
  <r>
    <x v="1"/>
    <x v="26"/>
    <x v="26"/>
    <x v="4"/>
    <s v="Prestación de Servicios Públicos"/>
    <x v="2"/>
    <x v="646"/>
    <x v="7"/>
    <x v="995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1020240"/>
    <n v="0"/>
    <n v="0"/>
    <n v="1020240"/>
    <n v="447221"/>
    <m/>
    <x v="1"/>
    <n v="447221"/>
  </r>
  <r>
    <x v="1"/>
    <x v="26"/>
    <x v="26"/>
    <x v="4"/>
    <s v="Prestación de Servicios Públicos"/>
    <x v="2"/>
    <x v="646"/>
    <x v="7"/>
    <x v="995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34633965"/>
    <n v="0"/>
    <n v="-1000000"/>
    <n v="33633965"/>
    <n v="22328390"/>
    <m/>
    <x v="1"/>
    <n v="22328390"/>
  </r>
  <r>
    <x v="1"/>
    <x v="26"/>
    <x v="26"/>
    <x v="4"/>
    <s v="Prestación de Servicios Públicos"/>
    <x v="2"/>
    <x v="646"/>
    <x v="278"/>
    <x v="996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1487556"/>
    <n v="0"/>
    <n v="0"/>
    <n v="1487556"/>
    <m/>
    <m/>
    <x v="1"/>
    <n v="0"/>
  </r>
  <r>
    <x v="1"/>
    <x v="26"/>
    <x v="26"/>
    <x v="4"/>
    <s v="Prestación de Servicios Públicos"/>
    <x v="2"/>
    <x v="646"/>
    <x v="278"/>
    <x v="996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39854049"/>
    <n v="0"/>
    <n v="-1000000"/>
    <n v="38854049"/>
    <m/>
    <m/>
    <x v="1"/>
    <n v="0"/>
  </r>
  <r>
    <x v="1"/>
    <x v="26"/>
    <x v="26"/>
    <x v="4"/>
    <s v="Prestación de Servicios Públicos"/>
    <x v="2"/>
    <x v="646"/>
    <x v="247"/>
    <x v="997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4682899"/>
    <n v="0"/>
    <n v="0"/>
    <n v="4682899"/>
    <n v="5048704"/>
    <m/>
    <x v="1"/>
    <n v="5048704"/>
  </r>
  <r>
    <x v="1"/>
    <x v="26"/>
    <x v="26"/>
    <x v="4"/>
    <s v="Prestación de Servicios Públicos"/>
    <x v="2"/>
    <x v="646"/>
    <x v="247"/>
    <x v="997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89656804"/>
    <n v="0"/>
    <n v="-12417977"/>
    <n v="77238827"/>
    <n v="88890767"/>
    <m/>
    <x v="1"/>
    <n v="88890767"/>
  </r>
  <r>
    <x v="1"/>
    <x v="26"/>
    <x v="26"/>
    <x v="4"/>
    <s v="Prestación de Servicios Públicos"/>
    <x v="2"/>
    <x v="646"/>
    <x v="248"/>
    <x v="773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764210"/>
    <m/>
    <x v="1"/>
    <n v="764210"/>
  </r>
  <r>
    <x v="1"/>
    <x v="26"/>
    <x v="26"/>
    <x v="4"/>
    <s v="Prestación de Servicios Públicos"/>
    <x v="2"/>
    <x v="646"/>
    <x v="248"/>
    <x v="773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23098909"/>
    <m/>
    <x v="1"/>
    <n v="23098909"/>
  </r>
  <r>
    <x v="1"/>
    <x v="26"/>
    <x v="26"/>
    <x v="4"/>
    <s v="Prestación de Servicios Públicos"/>
    <x v="2"/>
    <x v="646"/>
    <x v="84"/>
    <x v="998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57779704"/>
    <n v="0"/>
    <n v="-5000000"/>
    <n v="52779704"/>
    <m/>
    <m/>
    <x v="1"/>
    <n v="0"/>
  </r>
  <r>
    <x v="1"/>
    <x v="26"/>
    <x v="26"/>
    <x v="4"/>
    <s v="Prestación de Servicios Públicos"/>
    <x v="2"/>
    <x v="646"/>
    <x v="58"/>
    <x v="999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517408"/>
    <n v="0"/>
    <n v="0"/>
    <n v="517408"/>
    <n v="534736"/>
    <m/>
    <x v="1"/>
    <n v="534736"/>
  </r>
  <r>
    <x v="1"/>
    <x v="26"/>
    <x v="26"/>
    <x v="4"/>
    <s v="Prestación de Servicios Públicos"/>
    <x v="2"/>
    <x v="646"/>
    <x v="58"/>
    <x v="999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18000788"/>
    <n v="0"/>
    <n v="0"/>
    <n v="18000788"/>
    <n v="380079877"/>
    <m/>
    <x v="1"/>
    <n v="380079877"/>
  </r>
  <r>
    <x v="1"/>
    <x v="26"/>
    <x v="26"/>
    <x v="4"/>
    <s v="Prestación de Servicios Públicos"/>
    <x v="2"/>
    <x v="646"/>
    <x v="59"/>
    <x v="991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543285"/>
    <n v="0"/>
    <n v="0"/>
    <n v="543285"/>
    <m/>
    <m/>
    <x v="1"/>
    <n v="0"/>
  </r>
  <r>
    <x v="1"/>
    <x v="26"/>
    <x v="26"/>
    <x v="4"/>
    <s v="Prestación de Servicios Públicos"/>
    <x v="2"/>
    <x v="646"/>
    <x v="59"/>
    <x v="991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16794460"/>
    <n v="0"/>
    <n v="0"/>
    <n v="16794460"/>
    <m/>
    <m/>
    <x v="1"/>
    <n v="0"/>
  </r>
  <r>
    <x v="1"/>
    <x v="26"/>
    <x v="26"/>
    <x v="4"/>
    <s v="Prestación de Servicios Públicos"/>
    <x v="2"/>
    <x v="646"/>
    <x v="85"/>
    <x v="773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712783"/>
    <n v="0"/>
    <n v="0"/>
    <n v="712783"/>
    <m/>
    <m/>
    <x v="1"/>
    <n v="0"/>
  </r>
  <r>
    <x v="1"/>
    <x v="26"/>
    <x v="26"/>
    <x v="4"/>
    <s v="Prestación de Servicios Públicos"/>
    <x v="2"/>
    <x v="646"/>
    <x v="85"/>
    <x v="773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22004724"/>
    <n v="0"/>
    <n v="0"/>
    <n v="22004724"/>
    <m/>
    <m/>
    <x v="1"/>
    <n v="0"/>
  </r>
  <r>
    <x v="1"/>
    <x v="26"/>
    <x v="26"/>
    <x v="4"/>
    <s v="Prestación de Servicios Públicos"/>
    <x v="2"/>
    <x v="646"/>
    <x v="81"/>
    <x v="1000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653938"/>
    <n v="0"/>
    <n v="0"/>
    <n v="653938"/>
    <m/>
    <m/>
    <x v="1"/>
    <n v="0"/>
  </r>
  <r>
    <x v="1"/>
    <x v="26"/>
    <x v="26"/>
    <x v="4"/>
    <s v="Prestación de Servicios Públicos"/>
    <x v="2"/>
    <x v="646"/>
    <x v="81"/>
    <x v="1000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23584720"/>
    <n v="0"/>
    <n v="-637269"/>
    <n v="22947451"/>
    <m/>
    <m/>
    <x v="1"/>
    <n v="0"/>
  </r>
  <r>
    <x v="1"/>
    <x v="26"/>
    <x v="26"/>
    <x v="4"/>
    <s v="Prestación de Servicios Públicos"/>
    <x v="2"/>
    <x v="646"/>
    <x v="82"/>
    <x v="1001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33531"/>
    <m/>
    <x v="1"/>
    <n v="33531"/>
  </r>
  <r>
    <x v="1"/>
    <x v="26"/>
    <x v="26"/>
    <x v="4"/>
    <s v="Prestación de Servicios Públicos"/>
    <x v="2"/>
    <x v="646"/>
    <x v="82"/>
    <x v="1001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18365095"/>
    <m/>
    <x v="1"/>
    <n v="18365095"/>
  </r>
  <r>
    <x v="1"/>
    <x v="26"/>
    <x v="26"/>
    <x v="4"/>
    <s v="Prestación de Servicios Públicos"/>
    <x v="2"/>
    <x v="646"/>
    <x v="86"/>
    <x v="1002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m/>
    <m/>
    <m/>
    <m/>
    <n v="33531"/>
    <m/>
    <x v="1"/>
    <n v="33531"/>
  </r>
  <r>
    <x v="1"/>
    <x v="26"/>
    <x v="26"/>
    <x v="4"/>
    <s v="Prestación de Servicios Públicos"/>
    <x v="2"/>
    <x v="646"/>
    <x v="86"/>
    <x v="1002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3590895"/>
    <m/>
    <x v="1"/>
    <n v="3590895"/>
  </r>
  <r>
    <x v="1"/>
    <x v="26"/>
    <x v="26"/>
    <x v="4"/>
    <s v="Prestación de Servicios Públicos"/>
    <x v="2"/>
    <x v="646"/>
    <x v="36"/>
    <x v="1003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104287619"/>
    <n v="0"/>
    <n v="0"/>
    <n v="104287619"/>
    <n v="119930762"/>
    <m/>
    <x v="1"/>
    <n v="119930762"/>
  </r>
  <r>
    <x v="1"/>
    <x v="26"/>
    <x v="26"/>
    <x v="4"/>
    <s v="Prestación de Servicios Públicos"/>
    <x v="2"/>
    <x v="646"/>
    <x v="36"/>
    <x v="1003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1018240784"/>
    <n v="0"/>
    <n v="-18127161"/>
    <n v="1000113623"/>
    <n v="963374521"/>
    <m/>
    <x v="1"/>
    <n v="963374521"/>
  </r>
  <r>
    <x v="1"/>
    <x v="26"/>
    <x v="26"/>
    <x v="4"/>
    <s v="Prestación de Servicios Públicos"/>
    <x v="3"/>
    <x v="647"/>
    <x v="0"/>
    <x v="1004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487715"/>
    <n v="0"/>
    <n v="0"/>
    <n v="487715"/>
    <n v="554370"/>
    <m/>
    <x v="1"/>
    <n v="554370"/>
  </r>
  <r>
    <x v="1"/>
    <x v="26"/>
    <x v="26"/>
    <x v="4"/>
    <s v="Prestación de Servicios Públicos"/>
    <x v="3"/>
    <x v="647"/>
    <x v="0"/>
    <x v="1004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17914201"/>
    <n v="0"/>
    <n v="-1000000"/>
    <n v="16914201"/>
    <n v="21260819"/>
    <m/>
    <x v="1"/>
    <n v="21260819"/>
  </r>
  <r>
    <x v="1"/>
    <x v="26"/>
    <x v="26"/>
    <x v="4"/>
    <s v="Prestación de Servicios Públicos"/>
    <x v="3"/>
    <x v="647"/>
    <x v="52"/>
    <x v="1005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1106332"/>
    <n v="0"/>
    <n v="0"/>
    <n v="1106332"/>
    <m/>
    <m/>
    <x v="1"/>
    <n v="0"/>
  </r>
  <r>
    <x v="1"/>
    <x v="26"/>
    <x v="26"/>
    <x v="4"/>
    <s v="Prestación de Servicios Públicos"/>
    <x v="3"/>
    <x v="647"/>
    <x v="52"/>
    <x v="1005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49095371"/>
    <n v="0"/>
    <n v="-2772566"/>
    <n v="46322805"/>
    <m/>
    <m/>
    <x v="1"/>
    <n v="0"/>
  </r>
  <r>
    <x v="1"/>
    <x v="26"/>
    <x v="26"/>
    <x v="4"/>
    <s v="Prestación de Servicios Públicos"/>
    <x v="3"/>
    <x v="647"/>
    <x v="263"/>
    <x v="1006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659704"/>
    <n v="0"/>
    <n v="0"/>
    <n v="659704"/>
    <n v="1849840"/>
    <m/>
    <x v="1"/>
    <n v="1849840"/>
  </r>
  <r>
    <x v="1"/>
    <x v="26"/>
    <x v="26"/>
    <x v="4"/>
    <s v="Prestación de Servicios Públicos"/>
    <x v="3"/>
    <x v="647"/>
    <x v="263"/>
    <x v="1006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21977651"/>
    <n v="0"/>
    <n v="-2572496"/>
    <n v="19405155"/>
    <n v="67585144"/>
    <m/>
    <x v="1"/>
    <n v="67585144"/>
  </r>
  <r>
    <x v="1"/>
    <x v="26"/>
    <x v="26"/>
    <x v="4"/>
    <s v="Prestación de Servicios Públicos"/>
    <x v="3"/>
    <x v="647"/>
    <x v="399"/>
    <x v="211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1570051"/>
    <n v="0"/>
    <n v="0"/>
    <n v="1570051"/>
    <n v="1687555"/>
    <m/>
    <x v="1"/>
    <n v="1687555"/>
  </r>
  <r>
    <x v="1"/>
    <x v="26"/>
    <x v="26"/>
    <x v="4"/>
    <s v="Prestación de Servicios Públicos"/>
    <x v="3"/>
    <x v="647"/>
    <x v="399"/>
    <x v="211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45502757"/>
    <n v="0"/>
    <n v="-1640291"/>
    <n v="43862466"/>
    <n v="42988382"/>
    <m/>
    <x v="1"/>
    <n v="42988382"/>
  </r>
  <r>
    <x v="1"/>
    <x v="26"/>
    <x v="26"/>
    <x v="4"/>
    <s v="Prestación de Servicios Públicos"/>
    <x v="3"/>
    <x v="647"/>
    <x v="66"/>
    <x v="1007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m/>
    <m/>
    <m/>
    <m/>
    <n v="2760001"/>
    <m/>
    <x v="1"/>
    <n v="2760001"/>
  </r>
  <r>
    <x v="1"/>
    <x v="26"/>
    <x v="26"/>
    <x v="4"/>
    <s v="Prestación de Servicios Públicos"/>
    <x v="4"/>
    <x v="648"/>
    <x v="32"/>
    <x v="1008"/>
    <n v="1"/>
    <s v="Gobierno"/>
    <n v="6"/>
    <s v="Orden, Seguridad y Justicia"/>
    <n v="1"/>
    <x v="73"/>
    <x v="1"/>
    <x v="172"/>
    <n v="1"/>
    <s v="Gasto corriente"/>
    <x v="0"/>
    <x v="1"/>
    <x v="0"/>
    <x v="0"/>
    <x v="0"/>
    <x v="0"/>
    <x v="0"/>
    <m/>
    <x v="0"/>
    <x v="0"/>
    <m/>
    <n v="969462454"/>
    <n v="0"/>
    <n v="0"/>
    <n v="969462454"/>
    <n v="1239713518"/>
    <m/>
    <x v="1"/>
    <n v="1239713518"/>
  </r>
  <r>
    <x v="1"/>
    <x v="26"/>
    <x v="26"/>
    <x v="4"/>
    <s v="Prestación de Servicios Públicos"/>
    <x v="4"/>
    <x v="648"/>
    <x v="32"/>
    <x v="1008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12956293587"/>
    <n v="0"/>
    <n v="-293530434"/>
    <n v="12662763153"/>
    <n v="14101315672"/>
    <n v="213447336"/>
    <x v="1"/>
    <n v="13887868336"/>
  </r>
  <r>
    <x v="1"/>
    <x v="26"/>
    <x v="26"/>
    <x v="4"/>
    <s v="Prestación de Servicios Públicos"/>
    <x v="4"/>
    <x v="648"/>
    <x v="32"/>
    <x v="1008"/>
    <n v="1"/>
    <s v="Gobierno"/>
    <n v="6"/>
    <s v="Orden, Seguridad y Justicia"/>
    <n v="1"/>
    <x v="73"/>
    <x v="1"/>
    <x v="172"/>
    <n v="2"/>
    <s v="Gasto de capital"/>
    <x v="0"/>
    <x v="0"/>
    <x v="0"/>
    <x v="0"/>
    <x v="0"/>
    <x v="0"/>
    <x v="0"/>
    <m/>
    <x v="0"/>
    <x v="0"/>
    <m/>
    <n v="148476800"/>
    <n v="0"/>
    <n v="-10428637"/>
    <n v="138048163"/>
    <n v="1039758162"/>
    <m/>
    <x v="1"/>
    <n v="1039758162"/>
  </r>
  <r>
    <x v="1"/>
    <x v="26"/>
    <x v="26"/>
    <x v="4"/>
    <s v="Prestación de Servicios Públicos"/>
    <x v="5"/>
    <x v="649"/>
    <x v="74"/>
    <x v="1009"/>
    <n v="1"/>
    <s v="Gobierno"/>
    <n v="6"/>
    <s v="Orden, Seguridad y Justicia"/>
    <n v="2"/>
    <x v="74"/>
    <x v="0"/>
    <x v="173"/>
    <n v="1"/>
    <s v="Gasto corriente"/>
    <x v="0"/>
    <x v="1"/>
    <x v="0"/>
    <x v="0"/>
    <x v="0"/>
    <x v="0"/>
    <x v="0"/>
    <m/>
    <x v="0"/>
    <x v="0"/>
    <m/>
    <n v="694186"/>
    <n v="0"/>
    <n v="0"/>
    <n v="694186"/>
    <n v="827649"/>
    <m/>
    <x v="1"/>
    <n v="827649"/>
  </r>
  <r>
    <x v="1"/>
    <x v="26"/>
    <x v="26"/>
    <x v="4"/>
    <s v="Prestación de Servicios Públicos"/>
    <x v="5"/>
    <x v="649"/>
    <x v="74"/>
    <x v="1009"/>
    <n v="1"/>
    <s v="Gobierno"/>
    <n v="6"/>
    <s v="Orden, Seguridad y Justicia"/>
    <n v="2"/>
    <x v="74"/>
    <x v="0"/>
    <x v="173"/>
    <n v="1"/>
    <s v="Gasto corriente"/>
    <x v="0"/>
    <x v="0"/>
    <x v="0"/>
    <x v="0"/>
    <x v="0"/>
    <x v="0"/>
    <x v="0"/>
    <m/>
    <x v="0"/>
    <x v="0"/>
    <m/>
    <n v="27737451"/>
    <n v="0"/>
    <n v="-567909"/>
    <n v="27169542"/>
    <n v="30521740"/>
    <m/>
    <x v="1"/>
    <n v="30521740"/>
  </r>
  <r>
    <x v="1"/>
    <x v="26"/>
    <x v="26"/>
    <x v="4"/>
    <s v="Prestación de Servicios Públicos"/>
    <x v="5"/>
    <x v="649"/>
    <x v="75"/>
    <x v="1010"/>
    <n v="1"/>
    <s v="Gobierno"/>
    <n v="6"/>
    <s v="Orden, Seguridad y Justicia"/>
    <n v="2"/>
    <x v="74"/>
    <x v="0"/>
    <x v="173"/>
    <n v="1"/>
    <s v="Gasto corriente"/>
    <x v="0"/>
    <x v="1"/>
    <x v="0"/>
    <x v="0"/>
    <x v="0"/>
    <x v="0"/>
    <x v="0"/>
    <m/>
    <x v="0"/>
    <x v="0"/>
    <m/>
    <n v="296034"/>
    <n v="0"/>
    <n v="0"/>
    <n v="296034"/>
    <n v="318179"/>
    <m/>
    <x v="1"/>
    <n v="318179"/>
  </r>
  <r>
    <x v="1"/>
    <x v="26"/>
    <x v="26"/>
    <x v="4"/>
    <s v="Prestación de Servicios Públicos"/>
    <x v="5"/>
    <x v="649"/>
    <x v="75"/>
    <x v="1010"/>
    <n v="1"/>
    <s v="Gobierno"/>
    <n v="6"/>
    <s v="Orden, Seguridad y Justicia"/>
    <n v="2"/>
    <x v="74"/>
    <x v="0"/>
    <x v="173"/>
    <n v="1"/>
    <s v="Gasto corriente"/>
    <x v="0"/>
    <x v="0"/>
    <x v="0"/>
    <x v="0"/>
    <x v="0"/>
    <x v="0"/>
    <x v="0"/>
    <m/>
    <x v="0"/>
    <x v="0"/>
    <m/>
    <n v="19858263"/>
    <n v="0"/>
    <n v="-2072239"/>
    <n v="17786024"/>
    <n v="15107093"/>
    <m/>
    <x v="1"/>
    <n v="15107093"/>
  </r>
  <r>
    <x v="1"/>
    <x v="26"/>
    <x v="26"/>
    <x v="4"/>
    <s v="Prestación de Servicios Públicos"/>
    <x v="5"/>
    <x v="649"/>
    <x v="72"/>
    <x v="1011"/>
    <n v="1"/>
    <s v="Gobierno"/>
    <n v="6"/>
    <s v="Orden, Seguridad y Justicia"/>
    <n v="2"/>
    <x v="74"/>
    <x v="0"/>
    <x v="173"/>
    <n v="1"/>
    <s v="Gasto corriente"/>
    <x v="0"/>
    <x v="1"/>
    <x v="0"/>
    <x v="0"/>
    <x v="0"/>
    <x v="0"/>
    <x v="0"/>
    <m/>
    <x v="0"/>
    <x v="0"/>
    <m/>
    <n v="280435"/>
    <n v="0"/>
    <n v="0"/>
    <n v="280435"/>
    <n v="302195"/>
    <m/>
    <x v="1"/>
    <n v="302195"/>
  </r>
  <r>
    <x v="1"/>
    <x v="26"/>
    <x v="26"/>
    <x v="4"/>
    <s v="Prestación de Servicios Públicos"/>
    <x v="5"/>
    <x v="649"/>
    <x v="72"/>
    <x v="1011"/>
    <n v="1"/>
    <s v="Gobierno"/>
    <n v="6"/>
    <s v="Orden, Seguridad y Justicia"/>
    <n v="2"/>
    <x v="74"/>
    <x v="0"/>
    <x v="173"/>
    <n v="1"/>
    <s v="Gasto corriente"/>
    <x v="0"/>
    <x v="0"/>
    <x v="0"/>
    <x v="0"/>
    <x v="0"/>
    <x v="0"/>
    <x v="0"/>
    <m/>
    <x v="0"/>
    <x v="0"/>
    <m/>
    <n v="9547799"/>
    <n v="0"/>
    <n v="0"/>
    <n v="9547799"/>
    <n v="14624480"/>
    <m/>
    <x v="1"/>
    <n v="14624480"/>
  </r>
  <r>
    <x v="1"/>
    <x v="26"/>
    <x v="26"/>
    <x v="4"/>
    <s v="Prestación de Servicios Públicos"/>
    <x v="5"/>
    <x v="649"/>
    <x v="92"/>
    <x v="1012"/>
    <n v="1"/>
    <s v="Gobierno"/>
    <n v="6"/>
    <s v="Orden, Seguridad y Justicia"/>
    <n v="2"/>
    <x v="74"/>
    <x v="0"/>
    <x v="173"/>
    <n v="1"/>
    <s v="Gasto corriente"/>
    <x v="0"/>
    <x v="1"/>
    <x v="0"/>
    <x v="0"/>
    <x v="0"/>
    <x v="0"/>
    <x v="0"/>
    <m/>
    <x v="0"/>
    <x v="0"/>
    <m/>
    <n v="140339072"/>
    <n v="0"/>
    <n v="0"/>
    <n v="140339072"/>
    <n v="162683327"/>
    <m/>
    <x v="1"/>
    <n v="162683327"/>
  </r>
  <r>
    <x v="1"/>
    <x v="26"/>
    <x v="26"/>
    <x v="4"/>
    <s v="Prestación de Servicios Públicos"/>
    <x v="5"/>
    <x v="649"/>
    <x v="92"/>
    <x v="1012"/>
    <n v="1"/>
    <s v="Gobierno"/>
    <n v="6"/>
    <s v="Orden, Seguridad y Justicia"/>
    <n v="2"/>
    <x v="74"/>
    <x v="0"/>
    <x v="173"/>
    <n v="1"/>
    <s v="Gasto corriente"/>
    <x v="0"/>
    <x v="0"/>
    <x v="0"/>
    <x v="0"/>
    <x v="0"/>
    <x v="0"/>
    <x v="0"/>
    <m/>
    <x v="0"/>
    <x v="0"/>
    <m/>
    <n v="1940721783"/>
    <n v="0"/>
    <n v="-78833773"/>
    <n v="1861888010"/>
    <n v="2326955438"/>
    <m/>
    <x v="1"/>
    <n v="2326955438"/>
  </r>
  <r>
    <x v="1"/>
    <x v="26"/>
    <x v="26"/>
    <x v="4"/>
    <s v="Prestación de Servicios Públicos"/>
    <x v="5"/>
    <x v="649"/>
    <x v="92"/>
    <x v="1012"/>
    <n v="1"/>
    <s v="Gobierno"/>
    <n v="6"/>
    <s v="Orden, Seguridad y Justicia"/>
    <n v="2"/>
    <x v="74"/>
    <x v="0"/>
    <x v="173"/>
    <n v="2"/>
    <s v="Gasto de capital"/>
    <x v="0"/>
    <x v="0"/>
    <x v="0"/>
    <x v="0"/>
    <x v="0"/>
    <x v="0"/>
    <x v="0"/>
    <m/>
    <x v="0"/>
    <x v="0"/>
    <m/>
    <n v="300811762"/>
    <n v="0"/>
    <n v="-20359022"/>
    <n v="280452740"/>
    <n v="1780452740"/>
    <m/>
    <x v="1"/>
    <n v="1780452740"/>
  </r>
  <r>
    <x v="1"/>
    <x v="26"/>
    <x v="26"/>
    <x v="4"/>
    <s v="Prestación de Servicios Públicos"/>
    <x v="6"/>
    <x v="650"/>
    <x v="31"/>
    <x v="1013"/>
    <n v="1"/>
    <s v="Gobierno"/>
    <n v="6"/>
    <s v="Orden, Seguridad y Justicia"/>
    <n v="4"/>
    <x v="1"/>
    <x v="4"/>
    <x v="174"/>
    <n v="1"/>
    <s v="Gasto corriente"/>
    <x v="0"/>
    <x v="1"/>
    <x v="0"/>
    <x v="0"/>
    <x v="0"/>
    <x v="0"/>
    <x v="0"/>
    <m/>
    <x v="0"/>
    <x v="0"/>
    <m/>
    <n v="2604655"/>
    <n v="0"/>
    <n v="0"/>
    <n v="2604655"/>
    <n v="3000340"/>
    <m/>
    <x v="1"/>
    <n v="3000340"/>
  </r>
  <r>
    <x v="1"/>
    <x v="26"/>
    <x v="26"/>
    <x v="4"/>
    <s v="Prestación de Servicios Públicos"/>
    <x v="6"/>
    <x v="650"/>
    <x v="31"/>
    <x v="1013"/>
    <n v="1"/>
    <s v="Gobierno"/>
    <n v="6"/>
    <s v="Orden, Seguridad y Justicia"/>
    <n v="4"/>
    <x v="1"/>
    <x v="4"/>
    <x v="174"/>
    <n v="1"/>
    <s v="Gasto corriente"/>
    <x v="0"/>
    <x v="0"/>
    <x v="0"/>
    <x v="0"/>
    <x v="0"/>
    <x v="0"/>
    <x v="0"/>
    <m/>
    <x v="0"/>
    <x v="0"/>
    <m/>
    <n v="49281791"/>
    <n v="0"/>
    <n v="-1001967"/>
    <n v="48279824"/>
    <n v="45832262"/>
    <m/>
    <x v="1"/>
    <n v="45832262"/>
  </r>
  <r>
    <x v="1"/>
    <x v="26"/>
    <x v="26"/>
    <x v="4"/>
    <s v="Prestación de Servicios Públicos"/>
    <x v="8"/>
    <x v="651"/>
    <x v="263"/>
    <x v="1006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1"/>
    <m/>
    <x v="0"/>
    <x v="0"/>
    <m/>
    <n v="9282772"/>
    <n v="16000000"/>
    <n v="0"/>
    <n v="25282772"/>
    <n v="26500000"/>
    <m/>
    <x v="1"/>
    <n v="26500000"/>
  </r>
  <r>
    <x v="1"/>
    <x v="26"/>
    <x v="26"/>
    <x v="0"/>
    <s v="Proyectos de Inversión"/>
    <x v="21"/>
    <x v="652"/>
    <x v="32"/>
    <x v="1008"/>
    <n v="1"/>
    <s v="Gobierno"/>
    <n v="6"/>
    <s v="Orden, Seguridad y Justicia"/>
    <n v="1"/>
    <x v="73"/>
    <x v="1"/>
    <x v="172"/>
    <n v="2"/>
    <s v="Gasto de capital"/>
    <x v="0"/>
    <x v="0"/>
    <x v="0"/>
    <x v="0"/>
    <x v="0"/>
    <x v="0"/>
    <x v="0"/>
    <m/>
    <x v="0"/>
    <x v="0"/>
    <m/>
    <n v="1444390000"/>
    <n v="0"/>
    <n v="0"/>
    <n v="1444390000"/>
    <n v="1794390000"/>
    <m/>
    <x v="1"/>
    <n v="1794390000"/>
  </r>
  <r>
    <x v="1"/>
    <x v="26"/>
    <x v="26"/>
    <x v="0"/>
    <s v="Proyectos de Inversión"/>
    <x v="21"/>
    <x v="652"/>
    <x v="92"/>
    <x v="1012"/>
    <n v="1"/>
    <s v="Gobierno"/>
    <n v="6"/>
    <s v="Orden, Seguridad y Justicia"/>
    <n v="2"/>
    <x v="74"/>
    <x v="0"/>
    <x v="173"/>
    <n v="2"/>
    <s v="Gasto de capital"/>
    <x v="0"/>
    <x v="0"/>
    <x v="0"/>
    <x v="0"/>
    <x v="0"/>
    <x v="0"/>
    <x v="0"/>
    <m/>
    <x v="0"/>
    <x v="0"/>
    <m/>
    <n v="2804188239"/>
    <n v="1200000000"/>
    <n v="-26609686"/>
    <n v="3977578553"/>
    <n v="5486900000"/>
    <m/>
    <x v="1"/>
    <n v="5486900000"/>
  </r>
  <r>
    <x v="1"/>
    <x v="26"/>
    <x v="26"/>
    <x v="0"/>
    <s v="Proyectos de Inversión"/>
    <x v="21"/>
    <x v="652"/>
    <x v="36"/>
    <x v="1003"/>
    <n v="1"/>
    <s v="Gobierno"/>
    <n v="6"/>
    <s v="Orden, Seguridad y Justicia"/>
    <n v="1"/>
    <x v="73"/>
    <x v="1"/>
    <x v="172"/>
    <n v="2"/>
    <s v="Gasto de capital"/>
    <x v="0"/>
    <x v="0"/>
    <x v="0"/>
    <x v="0"/>
    <x v="0"/>
    <x v="0"/>
    <x v="0"/>
    <m/>
    <x v="0"/>
    <x v="0"/>
    <m/>
    <n v="350816628"/>
    <n v="0"/>
    <n v="0"/>
    <n v="350816628"/>
    <m/>
    <m/>
    <x v="1"/>
    <n v="0"/>
  </r>
  <r>
    <x v="1"/>
    <x v="26"/>
    <x v="26"/>
    <x v="0"/>
    <s v="Proyectos de Inversión"/>
    <x v="1"/>
    <x v="1"/>
    <x v="32"/>
    <x v="1008"/>
    <n v="1"/>
    <s v="Gobierno"/>
    <n v="6"/>
    <s v="Orden, Seguridad y Justicia"/>
    <n v="1"/>
    <x v="73"/>
    <x v="1"/>
    <x v="172"/>
    <n v="2"/>
    <s v="Gasto de capital"/>
    <x v="0"/>
    <x v="0"/>
    <x v="0"/>
    <x v="0"/>
    <x v="0"/>
    <x v="0"/>
    <x v="0"/>
    <m/>
    <x v="0"/>
    <x v="0"/>
    <m/>
    <n v="100000000"/>
    <n v="0"/>
    <n v="0"/>
    <n v="100000000"/>
    <m/>
    <m/>
    <x v="1"/>
    <n v="0"/>
  </r>
  <r>
    <x v="1"/>
    <x v="26"/>
    <x v="26"/>
    <x v="2"/>
    <s v="Apoyo al proceso presupuestario y para mejorar la eficiencia institucional"/>
    <x v="2"/>
    <x v="34"/>
    <x v="38"/>
    <x v="39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n v="1472352"/>
    <n v="0"/>
    <n v="0"/>
    <n v="1472352"/>
    <n v="1410899"/>
    <m/>
    <x v="1"/>
    <n v="1410899"/>
  </r>
  <r>
    <x v="1"/>
    <x v="26"/>
    <x v="26"/>
    <x v="2"/>
    <s v="Apoyo al proceso presupuestario y para mejorar la eficiencia institucional"/>
    <x v="2"/>
    <x v="34"/>
    <x v="38"/>
    <x v="39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n v="53902466"/>
    <n v="0"/>
    <n v="-2000000"/>
    <n v="51902466"/>
    <n v="51131763"/>
    <m/>
    <x v="1"/>
    <n v="51131763"/>
  </r>
  <r>
    <x v="1"/>
    <x v="26"/>
    <x v="26"/>
    <x v="2"/>
    <s v="Apoyo al proceso presupuestario y para mejorar la eficiencia institucional"/>
    <x v="2"/>
    <x v="34"/>
    <x v="39"/>
    <x v="119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n v="1510535"/>
    <n v="0"/>
    <n v="0"/>
    <n v="1510535"/>
    <n v="1600332"/>
    <m/>
    <x v="1"/>
    <n v="1600332"/>
  </r>
  <r>
    <x v="1"/>
    <x v="26"/>
    <x v="26"/>
    <x v="2"/>
    <s v="Apoyo al proceso presupuestario y para mejorar la eficiencia institucional"/>
    <x v="2"/>
    <x v="34"/>
    <x v="39"/>
    <x v="119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n v="38863646"/>
    <n v="0"/>
    <n v="0"/>
    <n v="38863646"/>
    <n v="39625430"/>
    <m/>
    <x v="1"/>
    <n v="39625430"/>
  </r>
  <r>
    <x v="1"/>
    <x v="26"/>
    <x v="26"/>
    <x v="2"/>
    <s v="Apoyo al proceso presupuestario y para mejorar la eficiencia institucional"/>
    <x v="2"/>
    <x v="34"/>
    <x v="56"/>
    <x v="69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n v="7806101"/>
    <n v="0"/>
    <n v="0"/>
    <n v="7806101"/>
    <n v="46074474"/>
    <m/>
    <x v="1"/>
    <n v="46074474"/>
  </r>
  <r>
    <x v="1"/>
    <x v="26"/>
    <x v="26"/>
    <x v="2"/>
    <s v="Apoyo al proceso presupuestario y para mejorar la eficiencia institucional"/>
    <x v="2"/>
    <x v="34"/>
    <x v="56"/>
    <x v="69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n v="1214473716"/>
    <n v="0"/>
    <n v="-38659631"/>
    <n v="1175814085"/>
    <n v="1928870146"/>
    <m/>
    <x v="1"/>
    <n v="1928870146"/>
  </r>
  <r>
    <x v="1"/>
    <x v="26"/>
    <x v="26"/>
    <x v="2"/>
    <s v="Apoyo al proceso presupuestario y para mejorar la eficiencia institucional"/>
    <x v="2"/>
    <x v="34"/>
    <x v="73"/>
    <x v="71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n v="2337242"/>
    <n v="0"/>
    <n v="0"/>
    <n v="2337242"/>
    <m/>
    <m/>
    <x v="1"/>
    <n v="0"/>
  </r>
  <r>
    <x v="1"/>
    <x v="26"/>
    <x v="26"/>
    <x v="2"/>
    <s v="Apoyo al proceso presupuestario y para mejorar la eficiencia institucional"/>
    <x v="2"/>
    <x v="34"/>
    <x v="73"/>
    <x v="71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n v="109065949"/>
    <n v="0"/>
    <n v="-1149132"/>
    <n v="107916817"/>
    <m/>
    <m/>
    <x v="1"/>
    <n v="0"/>
  </r>
  <r>
    <x v="1"/>
    <x v="26"/>
    <x v="26"/>
    <x v="2"/>
    <s v="Apoyo al proceso presupuestario y para mejorar la eficiencia institucional"/>
    <x v="2"/>
    <x v="34"/>
    <x v="84"/>
    <x v="998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n v="606013"/>
    <n v="0"/>
    <n v="0"/>
    <n v="606013"/>
    <m/>
    <m/>
    <x v="1"/>
    <n v="0"/>
  </r>
  <r>
    <x v="1"/>
    <x v="26"/>
    <x v="26"/>
    <x v="2"/>
    <s v="Apoyo al proceso presupuestario y para mejorar la eficiencia institucional"/>
    <x v="2"/>
    <x v="34"/>
    <x v="84"/>
    <x v="998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n v="21781458"/>
    <n v="0"/>
    <n v="0"/>
    <n v="21781458"/>
    <m/>
    <m/>
    <x v="1"/>
    <n v="0"/>
  </r>
  <r>
    <x v="1"/>
    <x v="26"/>
    <x v="26"/>
    <x v="2"/>
    <s v="Apoyo al proceso presupuestario y para mejorar la eficiencia institucional"/>
    <x v="2"/>
    <x v="34"/>
    <x v="187"/>
    <x v="1014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n v="819681"/>
    <n v="0"/>
    <n v="0"/>
    <n v="819681"/>
    <m/>
    <m/>
    <x v="1"/>
    <n v="0"/>
  </r>
  <r>
    <x v="1"/>
    <x v="26"/>
    <x v="26"/>
    <x v="2"/>
    <s v="Apoyo al proceso presupuestario y para mejorar la eficiencia institucional"/>
    <x v="2"/>
    <x v="34"/>
    <x v="187"/>
    <x v="1014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n v="61180146"/>
    <n v="0"/>
    <n v="-3153050"/>
    <n v="58027096"/>
    <m/>
    <m/>
    <x v="1"/>
    <n v="0"/>
  </r>
  <r>
    <x v="1"/>
    <x v="26"/>
    <x v="26"/>
    <x v="2"/>
    <s v="Apoyo al proceso presupuestario y para mejorar la eficiencia institucional"/>
    <x v="2"/>
    <x v="34"/>
    <x v="243"/>
    <x v="1015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m/>
    <m/>
    <m/>
    <m/>
    <n v="33531"/>
    <m/>
    <x v="1"/>
    <n v="33531"/>
  </r>
  <r>
    <x v="1"/>
    <x v="26"/>
    <x v="26"/>
    <x v="2"/>
    <s v="Apoyo al proceso presupuestario y para mejorar la eficiencia institucional"/>
    <x v="2"/>
    <x v="34"/>
    <x v="243"/>
    <x v="1015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m/>
    <m/>
    <m/>
    <m/>
    <n v="4098513"/>
    <m/>
    <x v="1"/>
    <n v="4098513"/>
  </r>
  <r>
    <x v="1"/>
    <x v="26"/>
    <x v="26"/>
    <x v="2"/>
    <s v="Apoyo al proceso presupuestario y para mejorar la eficiencia institucional"/>
    <x v="2"/>
    <x v="34"/>
    <x v="244"/>
    <x v="71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m/>
    <m/>
    <m/>
    <m/>
    <n v="2488673"/>
    <m/>
    <x v="1"/>
    <n v="2488673"/>
  </r>
  <r>
    <x v="1"/>
    <x v="26"/>
    <x v="26"/>
    <x v="2"/>
    <s v="Apoyo al proceso presupuestario y para mejorar la eficiencia institucional"/>
    <x v="2"/>
    <x v="34"/>
    <x v="244"/>
    <x v="71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m/>
    <m/>
    <m/>
    <m/>
    <n v="144781739"/>
    <m/>
    <x v="1"/>
    <n v="144781739"/>
  </r>
  <r>
    <x v="1"/>
    <x v="26"/>
    <x v="26"/>
    <x v="2"/>
    <s v="Apoyo al proceso presupuestario y para mejorar la eficiencia institucional"/>
    <x v="2"/>
    <x v="34"/>
    <x v="245"/>
    <x v="998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m/>
    <m/>
    <m/>
    <m/>
    <n v="652065"/>
    <m/>
    <x v="1"/>
    <n v="652065"/>
  </r>
  <r>
    <x v="1"/>
    <x v="26"/>
    <x v="26"/>
    <x v="2"/>
    <s v="Apoyo al proceso presupuestario y para mejorar la eficiencia institucional"/>
    <x v="2"/>
    <x v="34"/>
    <x v="245"/>
    <x v="998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m/>
    <m/>
    <m/>
    <m/>
    <n v="272185639"/>
    <m/>
    <x v="1"/>
    <n v="272185639"/>
  </r>
  <r>
    <x v="1"/>
    <x v="26"/>
    <x v="26"/>
    <x v="2"/>
    <s v="Apoyo al proceso presupuestario y para mejorar la eficiencia institucional"/>
    <x v="2"/>
    <x v="34"/>
    <x v="438"/>
    <x v="1014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m/>
    <m/>
    <m/>
    <m/>
    <n v="1266797"/>
    <m/>
    <x v="1"/>
    <n v="1266797"/>
  </r>
  <r>
    <x v="1"/>
    <x v="26"/>
    <x v="26"/>
    <x v="2"/>
    <s v="Apoyo al proceso presupuestario y para mejorar la eficiencia institucional"/>
    <x v="2"/>
    <x v="34"/>
    <x v="438"/>
    <x v="1014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m/>
    <m/>
    <m/>
    <m/>
    <n v="57793982"/>
    <m/>
    <x v="1"/>
    <n v="57793982"/>
  </r>
  <r>
    <x v="1"/>
    <x v="26"/>
    <x v="26"/>
    <x v="2"/>
    <s v="Apoyo al proceso presupuestario y para mejorar la eficiencia institucional"/>
    <x v="2"/>
    <x v="34"/>
    <x v="31"/>
    <x v="1013"/>
    <n v="1"/>
    <s v="Gobierno"/>
    <n v="6"/>
    <s v="Orden, Seguridad y Justicia"/>
    <n v="4"/>
    <x v="1"/>
    <x v="3"/>
    <x v="12"/>
    <n v="1"/>
    <s v="Gasto corriente"/>
    <x v="0"/>
    <x v="1"/>
    <x v="0"/>
    <x v="0"/>
    <x v="0"/>
    <x v="0"/>
    <x v="0"/>
    <m/>
    <x v="0"/>
    <x v="0"/>
    <m/>
    <n v="244510"/>
    <n v="0"/>
    <n v="0"/>
    <n v="244510"/>
    <n v="276200"/>
    <m/>
    <x v="1"/>
    <n v="276200"/>
  </r>
  <r>
    <x v="1"/>
    <x v="26"/>
    <x v="26"/>
    <x v="2"/>
    <s v="Apoyo al proceso presupuestario y para mejorar la eficiencia institucional"/>
    <x v="2"/>
    <x v="34"/>
    <x v="31"/>
    <x v="1013"/>
    <n v="1"/>
    <s v="Gobierno"/>
    <n v="6"/>
    <s v="Orden, Seguridad y Justicia"/>
    <n v="4"/>
    <x v="1"/>
    <x v="3"/>
    <x v="12"/>
    <n v="1"/>
    <s v="Gasto corriente"/>
    <x v="0"/>
    <x v="0"/>
    <x v="0"/>
    <x v="0"/>
    <x v="0"/>
    <x v="0"/>
    <x v="0"/>
    <m/>
    <x v="0"/>
    <x v="0"/>
    <m/>
    <n v="3258761"/>
    <n v="0"/>
    <n v="0"/>
    <n v="3258761"/>
    <n v="2397281"/>
    <m/>
    <x v="1"/>
    <n v="2397281"/>
  </r>
  <r>
    <x v="1"/>
    <x v="26"/>
    <x v="26"/>
    <x v="2"/>
    <s v="Apoyo al proceso presupuestario y para mejorar la eficiencia institucional"/>
    <x v="2"/>
    <x v="34"/>
    <x v="32"/>
    <x v="1008"/>
    <n v="1"/>
    <s v="Gobierno"/>
    <n v="6"/>
    <s v="Orden, Seguridad y Justicia"/>
    <n v="1"/>
    <x v="73"/>
    <x v="3"/>
    <x v="12"/>
    <n v="1"/>
    <s v="Gasto corriente"/>
    <x v="0"/>
    <x v="1"/>
    <x v="0"/>
    <x v="0"/>
    <x v="0"/>
    <x v="0"/>
    <x v="0"/>
    <m/>
    <x v="0"/>
    <x v="0"/>
    <m/>
    <n v="20747201"/>
    <n v="0"/>
    <n v="0"/>
    <n v="20747201"/>
    <n v="20333751"/>
    <m/>
    <x v="1"/>
    <n v="20333751"/>
  </r>
  <r>
    <x v="1"/>
    <x v="26"/>
    <x v="26"/>
    <x v="2"/>
    <s v="Apoyo al proceso presupuestario y para mejorar la eficiencia institucional"/>
    <x v="2"/>
    <x v="34"/>
    <x v="32"/>
    <x v="1008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n v="309169889"/>
    <n v="0"/>
    <n v="0"/>
    <n v="309169889"/>
    <n v="269993288"/>
    <m/>
    <x v="1"/>
    <n v="269993288"/>
  </r>
  <r>
    <x v="1"/>
    <x v="26"/>
    <x v="26"/>
    <x v="2"/>
    <s v="Apoyo al proceso presupuestario y para mejorar la eficiencia institucional"/>
    <x v="2"/>
    <x v="34"/>
    <x v="40"/>
    <x v="66"/>
    <n v="1"/>
    <s v="Gobierno"/>
    <n v="6"/>
    <s v="Orden, Seguridad y Justicia"/>
    <n v="6"/>
    <x v="11"/>
    <x v="3"/>
    <x v="12"/>
    <n v="1"/>
    <s v="Gasto corriente"/>
    <x v="0"/>
    <x v="1"/>
    <x v="0"/>
    <x v="0"/>
    <x v="0"/>
    <x v="0"/>
    <x v="0"/>
    <m/>
    <x v="0"/>
    <x v="0"/>
    <m/>
    <n v="1503257"/>
    <n v="0"/>
    <n v="0"/>
    <n v="1503257"/>
    <m/>
    <m/>
    <x v="1"/>
    <n v="0"/>
  </r>
  <r>
    <x v="1"/>
    <x v="26"/>
    <x v="26"/>
    <x v="2"/>
    <s v="Apoyo al proceso presupuestario y para mejorar la eficiencia institucional"/>
    <x v="2"/>
    <x v="34"/>
    <x v="40"/>
    <x v="66"/>
    <n v="1"/>
    <s v="Gobierno"/>
    <n v="6"/>
    <s v="Orden, Seguridad y Justicia"/>
    <n v="6"/>
    <x v="11"/>
    <x v="3"/>
    <x v="12"/>
    <n v="1"/>
    <s v="Gasto corriente"/>
    <x v="0"/>
    <x v="0"/>
    <x v="0"/>
    <x v="0"/>
    <x v="0"/>
    <x v="0"/>
    <x v="0"/>
    <m/>
    <x v="0"/>
    <x v="0"/>
    <m/>
    <n v="56108011"/>
    <n v="0"/>
    <n v="0"/>
    <n v="56108011"/>
    <m/>
    <m/>
    <x v="1"/>
    <n v="0"/>
  </r>
  <r>
    <x v="1"/>
    <x v="26"/>
    <x v="26"/>
    <x v="2"/>
    <s v="Apoyo al proceso presupuestario y para mejorar la eficiencia institucional"/>
    <x v="2"/>
    <x v="34"/>
    <x v="92"/>
    <x v="1012"/>
    <n v="1"/>
    <s v="Gobierno"/>
    <n v="6"/>
    <s v="Orden, Seguridad y Justicia"/>
    <n v="2"/>
    <x v="74"/>
    <x v="3"/>
    <x v="12"/>
    <n v="1"/>
    <s v="Gasto corriente"/>
    <x v="0"/>
    <x v="1"/>
    <x v="0"/>
    <x v="0"/>
    <x v="0"/>
    <x v="0"/>
    <x v="0"/>
    <m/>
    <x v="0"/>
    <x v="0"/>
    <m/>
    <n v="13369649"/>
    <n v="0"/>
    <n v="0"/>
    <n v="13369649"/>
    <n v="14081703"/>
    <m/>
    <x v="1"/>
    <n v="14081703"/>
  </r>
  <r>
    <x v="1"/>
    <x v="26"/>
    <x v="26"/>
    <x v="2"/>
    <s v="Apoyo al proceso presupuestario y para mejorar la eficiencia institucional"/>
    <x v="2"/>
    <x v="34"/>
    <x v="92"/>
    <x v="1012"/>
    <n v="1"/>
    <s v="Gobierno"/>
    <n v="6"/>
    <s v="Orden, Seguridad y Justicia"/>
    <n v="2"/>
    <x v="74"/>
    <x v="3"/>
    <x v="12"/>
    <n v="1"/>
    <s v="Gasto corriente"/>
    <x v="0"/>
    <x v="0"/>
    <x v="0"/>
    <x v="0"/>
    <x v="0"/>
    <x v="0"/>
    <x v="0"/>
    <m/>
    <x v="0"/>
    <x v="0"/>
    <m/>
    <n v="227138510"/>
    <n v="0"/>
    <n v="0"/>
    <n v="227138510"/>
    <n v="194003282"/>
    <m/>
    <x v="1"/>
    <n v="194003282"/>
  </r>
  <r>
    <x v="1"/>
    <x v="26"/>
    <x v="26"/>
    <x v="2"/>
    <s v="Apoyo al proceso presupuestario y para mejorar la eficiencia institucional"/>
    <x v="2"/>
    <x v="34"/>
    <x v="36"/>
    <x v="1003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n v="5469625"/>
    <n v="0"/>
    <n v="0"/>
    <n v="5469625"/>
    <n v="165912"/>
    <m/>
    <x v="1"/>
    <n v="165912"/>
  </r>
  <r>
    <x v="1"/>
    <x v="26"/>
    <x v="26"/>
    <x v="2"/>
    <s v="Apoyo al proceso presupuestario y para mejorar la eficiencia institucional"/>
    <x v="2"/>
    <x v="34"/>
    <x v="66"/>
    <x v="1007"/>
    <n v="1"/>
    <s v="Gobierno"/>
    <n v="6"/>
    <s v="Orden, Seguridad y Justicia"/>
    <n v="1"/>
    <x v="73"/>
    <x v="3"/>
    <x v="12"/>
    <n v="1"/>
    <s v="Gasto corriente"/>
    <x v="0"/>
    <x v="0"/>
    <x v="0"/>
    <x v="0"/>
    <x v="0"/>
    <x v="0"/>
    <x v="0"/>
    <m/>
    <x v="0"/>
    <x v="0"/>
    <m/>
    <m/>
    <m/>
    <m/>
    <m/>
    <n v="240000"/>
    <m/>
    <x v="1"/>
    <n v="240000"/>
  </r>
  <r>
    <x v="1"/>
    <x v="26"/>
    <x v="26"/>
    <x v="3"/>
    <s v="Apoyo a la función pública y al mejoramiento de la gestión"/>
    <x v="2"/>
    <x v="42"/>
    <x v="23"/>
    <x v="40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2664279"/>
    <n v="0"/>
    <n v="0"/>
    <n v="2664279"/>
    <n v="2860611"/>
    <m/>
    <x v="1"/>
    <n v="2860611"/>
  </r>
  <r>
    <x v="1"/>
    <x v="26"/>
    <x v="26"/>
    <x v="3"/>
    <s v="Apoyo a la función pública y al mejoramiento de la gestión"/>
    <x v="2"/>
    <x v="42"/>
    <x v="23"/>
    <x v="40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57314209"/>
    <n v="0"/>
    <n v="-1000000"/>
    <n v="56314209"/>
    <n v="39138028"/>
    <m/>
    <x v="1"/>
    <n v="39138028"/>
  </r>
  <r>
    <x v="1"/>
    <x v="26"/>
    <x v="26"/>
    <x v="3"/>
    <s v="Apoyo a la función pública y al mejoramiento de la gestión"/>
    <x v="2"/>
    <x v="42"/>
    <x v="32"/>
    <x v="1008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613743"/>
    <n v="0"/>
    <n v="0"/>
    <n v="613743"/>
    <n v="599639"/>
    <m/>
    <x v="1"/>
    <n v="599639"/>
  </r>
  <r>
    <x v="1"/>
    <x v="26"/>
    <x v="26"/>
    <x v="3"/>
    <s v="Apoyo a la función pública y al mejoramiento de la gestión"/>
    <x v="2"/>
    <x v="42"/>
    <x v="32"/>
    <x v="100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2689985"/>
    <n v="0"/>
    <n v="0"/>
    <n v="22689985"/>
    <n v="22704089"/>
    <m/>
    <x v="1"/>
    <n v="22704089"/>
  </r>
  <r>
    <x v="1"/>
    <x v="26"/>
    <x v="26"/>
    <x v="3"/>
    <s v="Apoyo a la función pública y al mejoramiento de la gestión"/>
    <x v="2"/>
    <x v="42"/>
    <x v="40"/>
    <x v="66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408015"/>
    <n v="0"/>
    <n v="0"/>
    <n v="408015"/>
    <m/>
    <m/>
    <x v="1"/>
    <n v="0"/>
  </r>
  <r>
    <x v="1"/>
    <x v="26"/>
    <x v="26"/>
    <x v="3"/>
    <s v="Apoyo a la función pública y al mejoramiento de la gestión"/>
    <x v="2"/>
    <x v="42"/>
    <x v="40"/>
    <x v="66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2522501"/>
    <n v="0"/>
    <n v="0"/>
    <n v="12522501"/>
    <m/>
    <m/>
    <x v="1"/>
    <n v="0"/>
  </r>
  <r>
    <x v="1"/>
    <x v="26"/>
    <x v="26"/>
    <x v="1"/>
    <s v="Específicos"/>
    <x v="4"/>
    <x v="653"/>
    <x v="105"/>
    <x v="1016"/>
    <n v="1"/>
    <s v="Gobierno"/>
    <n v="6"/>
    <s v="Orden, Seguridad y Justicia"/>
    <n v="6"/>
    <x v="11"/>
    <x v="11"/>
    <x v="24"/>
    <n v="1"/>
    <s v="Gasto corriente"/>
    <x v="0"/>
    <x v="1"/>
    <x v="0"/>
    <x v="0"/>
    <x v="0"/>
    <x v="0"/>
    <x v="0"/>
    <m/>
    <x v="0"/>
    <x v="0"/>
    <m/>
    <n v="3452621"/>
    <n v="0"/>
    <n v="0"/>
    <n v="3452621"/>
    <n v="3678335"/>
    <m/>
    <x v="1"/>
    <n v="3678335"/>
  </r>
  <r>
    <x v="1"/>
    <x v="26"/>
    <x v="26"/>
    <x v="1"/>
    <s v="Específicos"/>
    <x v="4"/>
    <x v="653"/>
    <x v="105"/>
    <x v="1016"/>
    <n v="1"/>
    <s v="Gobierno"/>
    <n v="6"/>
    <s v="Orden, Seguridad y Justicia"/>
    <n v="6"/>
    <x v="11"/>
    <x v="11"/>
    <x v="24"/>
    <n v="1"/>
    <s v="Gasto corriente"/>
    <x v="0"/>
    <x v="0"/>
    <x v="0"/>
    <x v="0"/>
    <x v="0"/>
    <x v="0"/>
    <x v="0"/>
    <m/>
    <x v="0"/>
    <x v="0"/>
    <m/>
    <n v="602217920"/>
    <n v="0"/>
    <n v="-9427314"/>
    <n v="592790606"/>
    <n v="977262648"/>
    <m/>
    <x v="1"/>
    <n v="977262648"/>
  </r>
  <r>
    <x v="1"/>
    <x v="26"/>
    <x v="26"/>
    <x v="1"/>
    <s v="Específicos"/>
    <x v="4"/>
    <x v="653"/>
    <x v="105"/>
    <x v="1016"/>
    <n v="1"/>
    <s v="Gobierno"/>
    <n v="6"/>
    <s v="Orden, Seguridad y Justicia"/>
    <n v="6"/>
    <x v="11"/>
    <x v="11"/>
    <x v="24"/>
    <n v="2"/>
    <s v="Gasto de capital"/>
    <x v="0"/>
    <x v="0"/>
    <x v="0"/>
    <x v="0"/>
    <x v="0"/>
    <x v="0"/>
    <x v="0"/>
    <m/>
    <x v="0"/>
    <x v="0"/>
    <m/>
    <m/>
    <m/>
    <m/>
    <m/>
    <n v="515700000"/>
    <m/>
    <x v="1"/>
    <n v="515700000"/>
  </r>
  <r>
    <x v="1"/>
    <x v="26"/>
    <x v="26"/>
    <x v="1"/>
    <s v="Específicos"/>
    <x v="6"/>
    <x v="654"/>
    <x v="32"/>
    <x v="1008"/>
    <n v="1"/>
    <s v="Gobierno"/>
    <n v="6"/>
    <s v="Orden, Seguridad y Justicia"/>
    <n v="1"/>
    <x v="73"/>
    <x v="1"/>
    <x v="172"/>
    <n v="1"/>
    <s v="Gasto corriente"/>
    <x v="0"/>
    <x v="0"/>
    <x v="0"/>
    <x v="0"/>
    <x v="0"/>
    <x v="0"/>
    <x v="0"/>
    <m/>
    <x v="0"/>
    <x v="0"/>
    <m/>
    <n v="7652000"/>
    <n v="0"/>
    <n v="0"/>
    <n v="7652000"/>
    <n v="2315000"/>
    <m/>
    <x v="1"/>
    <n v="2315000"/>
  </r>
  <r>
    <x v="1"/>
    <x v="26"/>
    <x v="26"/>
    <x v="1"/>
    <s v="Específicos"/>
    <x v="6"/>
    <x v="654"/>
    <x v="32"/>
    <x v="1008"/>
    <n v="1"/>
    <s v="Gobierno"/>
    <n v="6"/>
    <s v="Orden, Seguridad y Justicia"/>
    <n v="1"/>
    <x v="73"/>
    <x v="1"/>
    <x v="172"/>
    <n v="2"/>
    <s v="Gasto de capital"/>
    <x v="0"/>
    <x v="0"/>
    <x v="0"/>
    <x v="0"/>
    <x v="0"/>
    <x v="0"/>
    <x v="0"/>
    <m/>
    <x v="0"/>
    <x v="0"/>
    <m/>
    <n v="5610000"/>
    <n v="0"/>
    <n v="0"/>
    <n v="5610000"/>
    <n v="3900000"/>
    <m/>
    <x v="1"/>
    <n v="3900000"/>
  </r>
  <r>
    <x v="1"/>
    <x v="26"/>
    <x v="26"/>
    <x v="1"/>
    <s v="Específicos"/>
    <x v="7"/>
    <x v="655"/>
    <x v="92"/>
    <x v="1012"/>
    <n v="1"/>
    <s v="Gobierno"/>
    <n v="6"/>
    <s v="Orden, Seguridad y Justicia"/>
    <n v="2"/>
    <x v="74"/>
    <x v="0"/>
    <x v="173"/>
    <n v="1"/>
    <s v="Gasto corriente"/>
    <x v="0"/>
    <x v="0"/>
    <x v="0"/>
    <x v="0"/>
    <x v="0"/>
    <x v="0"/>
    <x v="0"/>
    <m/>
    <x v="0"/>
    <x v="0"/>
    <m/>
    <n v="932500000"/>
    <n v="0"/>
    <n v="0"/>
    <n v="932500000"/>
    <n v="932500000"/>
    <m/>
    <x v="1"/>
    <n v="932500000"/>
  </r>
  <r>
    <x v="1"/>
    <x v="27"/>
    <x v="27"/>
    <x v="2"/>
    <s v="Apoyo al proceso presupuestario y para mejorar la eficiencia institucional"/>
    <x v="2"/>
    <x v="34"/>
    <x v="15"/>
    <x v="1017"/>
    <n v="1"/>
    <s v="Gobierno"/>
    <n v="8"/>
    <s v="Administración Pública"/>
    <n v="5"/>
    <x v="75"/>
    <x v="3"/>
    <x v="12"/>
    <n v="1"/>
    <s v="Gasto corriente"/>
    <x v="0"/>
    <x v="1"/>
    <x v="0"/>
    <x v="0"/>
    <x v="0"/>
    <x v="0"/>
    <x v="0"/>
    <m/>
    <x v="0"/>
    <x v="0"/>
    <m/>
    <n v="774572"/>
    <n v="0"/>
    <n v="0"/>
    <n v="774572"/>
    <n v="803660"/>
    <m/>
    <x v="1"/>
    <n v="803660"/>
  </r>
  <r>
    <x v="1"/>
    <x v="27"/>
    <x v="27"/>
    <x v="2"/>
    <s v="Apoyo al proceso presupuestario y para mejorar la eficiencia institucional"/>
    <x v="2"/>
    <x v="34"/>
    <x v="15"/>
    <x v="1017"/>
    <n v="1"/>
    <s v="Gobierno"/>
    <n v="8"/>
    <s v="Administración Pública"/>
    <n v="5"/>
    <x v="75"/>
    <x v="3"/>
    <x v="12"/>
    <n v="1"/>
    <s v="Gasto corriente"/>
    <x v="0"/>
    <x v="0"/>
    <x v="0"/>
    <x v="0"/>
    <x v="0"/>
    <x v="0"/>
    <x v="0"/>
    <m/>
    <x v="0"/>
    <x v="0"/>
    <m/>
    <n v="24709089"/>
    <n v="0"/>
    <n v="-860821"/>
    <n v="23848268"/>
    <n v="22621125"/>
    <m/>
    <x v="1"/>
    <n v="22621125"/>
  </r>
  <r>
    <x v="1"/>
    <x v="27"/>
    <x v="27"/>
    <x v="2"/>
    <s v="Apoyo al proceso presupuestario y para mejorar la eficiencia institucional"/>
    <x v="2"/>
    <x v="34"/>
    <x v="15"/>
    <x v="1017"/>
    <n v="1"/>
    <s v="Gobierno"/>
    <n v="8"/>
    <s v="Administración Pública"/>
    <n v="5"/>
    <x v="75"/>
    <x v="3"/>
    <x v="12"/>
    <n v="2"/>
    <s v="Gasto de capital"/>
    <x v="0"/>
    <x v="0"/>
    <x v="0"/>
    <x v="0"/>
    <x v="0"/>
    <x v="0"/>
    <x v="0"/>
    <m/>
    <x v="0"/>
    <x v="0"/>
    <m/>
    <m/>
    <m/>
    <m/>
    <m/>
    <n v="1359422"/>
    <m/>
    <x v="1"/>
    <n v="1359422"/>
  </r>
  <r>
    <x v="1"/>
    <x v="27"/>
    <x v="27"/>
    <x v="3"/>
    <s v="Apoyo a la función pública y al mejoramiento de la gestión"/>
    <x v="2"/>
    <x v="42"/>
    <x v="3"/>
    <x v="122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38541"/>
    <n v="0"/>
    <n v="0"/>
    <n v="138541"/>
    <n v="190211"/>
    <m/>
    <x v="1"/>
    <n v="190211"/>
  </r>
  <r>
    <x v="1"/>
    <x v="27"/>
    <x v="27"/>
    <x v="3"/>
    <s v="Apoyo a la función pública y al mejoramiento de la gestión"/>
    <x v="2"/>
    <x v="42"/>
    <x v="3"/>
    <x v="12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4769682"/>
    <n v="0"/>
    <n v="-104510"/>
    <n v="4665172"/>
    <n v="5214928"/>
    <m/>
    <x v="1"/>
    <n v="5214928"/>
  </r>
  <r>
    <x v="1"/>
    <x v="27"/>
    <x v="27"/>
    <x v="5"/>
    <s v="Planeación, seguimiento y evaluación de políticas públicas"/>
    <x v="2"/>
    <x v="656"/>
    <x v="1"/>
    <x v="1018"/>
    <n v="1"/>
    <s v="Gobierno"/>
    <n v="8"/>
    <s v="Administración Pública"/>
    <n v="5"/>
    <x v="75"/>
    <x v="1"/>
    <x v="175"/>
    <n v="1"/>
    <s v="Gasto corriente"/>
    <x v="0"/>
    <x v="1"/>
    <x v="0"/>
    <x v="0"/>
    <x v="0"/>
    <x v="0"/>
    <x v="0"/>
    <m/>
    <x v="0"/>
    <x v="0"/>
    <m/>
    <n v="332504"/>
    <n v="0"/>
    <n v="0"/>
    <n v="332504"/>
    <n v="432785"/>
    <m/>
    <x v="1"/>
    <n v="432785"/>
  </r>
  <r>
    <x v="1"/>
    <x v="27"/>
    <x v="27"/>
    <x v="5"/>
    <s v="Planeación, seguimiento y evaluación de políticas públicas"/>
    <x v="2"/>
    <x v="656"/>
    <x v="1"/>
    <x v="1018"/>
    <n v="1"/>
    <s v="Gobierno"/>
    <n v="8"/>
    <s v="Administración Pública"/>
    <n v="5"/>
    <x v="75"/>
    <x v="1"/>
    <x v="175"/>
    <n v="1"/>
    <s v="Gasto corriente"/>
    <x v="0"/>
    <x v="0"/>
    <x v="0"/>
    <x v="0"/>
    <x v="0"/>
    <x v="0"/>
    <x v="0"/>
    <m/>
    <x v="0"/>
    <x v="0"/>
    <m/>
    <n v="10448603"/>
    <n v="0"/>
    <n v="-377983"/>
    <n v="10070620"/>
    <n v="14602911"/>
    <m/>
    <x v="1"/>
    <n v="14602911"/>
  </r>
  <r>
    <x v="1"/>
    <x v="27"/>
    <x v="27"/>
    <x v="5"/>
    <s v="Planeación, seguimiento y evaluación de políticas públicas"/>
    <x v="2"/>
    <x v="656"/>
    <x v="1"/>
    <x v="1018"/>
    <n v="1"/>
    <s v="Gobierno"/>
    <n v="8"/>
    <s v="Administración Pública"/>
    <n v="5"/>
    <x v="75"/>
    <x v="1"/>
    <x v="175"/>
    <n v="2"/>
    <s v="Gasto de capital"/>
    <x v="0"/>
    <x v="0"/>
    <x v="0"/>
    <x v="0"/>
    <x v="0"/>
    <x v="0"/>
    <x v="0"/>
    <m/>
    <x v="0"/>
    <x v="0"/>
    <m/>
    <n v="3722700"/>
    <n v="0"/>
    <n v="-3051435"/>
    <n v="671265"/>
    <m/>
    <m/>
    <x v="1"/>
    <n v="0"/>
  </r>
  <r>
    <x v="1"/>
    <x v="27"/>
    <x v="27"/>
    <x v="5"/>
    <s v="Planeación, seguimiento y evaluación de políticas públicas"/>
    <x v="2"/>
    <x v="656"/>
    <x v="22"/>
    <x v="51"/>
    <n v="1"/>
    <s v="Gobierno"/>
    <n v="8"/>
    <s v="Administración Pública"/>
    <n v="5"/>
    <x v="75"/>
    <x v="1"/>
    <x v="175"/>
    <n v="1"/>
    <s v="Gasto corriente"/>
    <x v="0"/>
    <x v="1"/>
    <x v="0"/>
    <x v="0"/>
    <x v="0"/>
    <x v="0"/>
    <x v="0"/>
    <m/>
    <x v="0"/>
    <x v="0"/>
    <m/>
    <n v="218804"/>
    <n v="0"/>
    <n v="0"/>
    <n v="218804"/>
    <n v="270485"/>
    <m/>
    <x v="1"/>
    <n v="270485"/>
  </r>
  <r>
    <x v="1"/>
    <x v="27"/>
    <x v="27"/>
    <x v="5"/>
    <s v="Planeación, seguimiento y evaluación de políticas públicas"/>
    <x v="2"/>
    <x v="656"/>
    <x v="22"/>
    <x v="51"/>
    <n v="1"/>
    <s v="Gobierno"/>
    <n v="8"/>
    <s v="Administración Pública"/>
    <n v="5"/>
    <x v="75"/>
    <x v="1"/>
    <x v="175"/>
    <n v="1"/>
    <s v="Gasto corriente"/>
    <x v="0"/>
    <x v="0"/>
    <x v="0"/>
    <x v="0"/>
    <x v="0"/>
    <x v="0"/>
    <x v="0"/>
    <m/>
    <x v="0"/>
    <x v="0"/>
    <m/>
    <n v="8400258"/>
    <n v="0"/>
    <n v="-316635"/>
    <n v="8083623"/>
    <n v="7995912"/>
    <m/>
    <x v="1"/>
    <n v="7995912"/>
  </r>
  <r>
    <x v="1"/>
    <x v="27"/>
    <x v="27"/>
    <x v="5"/>
    <s v="Planeación, seguimiento y evaluación de políticas públicas"/>
    <x v="2"/>
    <x v="656"/>
    <x v="23"/>
    <x v="1019"/>
    <n v="1"/>
    <s v="Gobierno"/>
    <n v="8"/>
    <s v="Administración Pública"/>
    <n v="5"/>
    <x v="75"/>
    <x v="1"/>
    <x v="175"/>
    <n v="1"/>
    <s v="Gasto corriente"/>
    <x v="0"/>
    <x v="1"/>
    <x v="0"/>
    <x v="0"/>
    <x v="0"/>
    <x v="0"/>
    <x v="0"/>
    <m/>
    <x v="0"/>
    <x v="0"/>
    <m/>
    <n v="322590"/>
    <n v="0"/>
    <n v="0"/>
    <n v="322590"/>
    <n v="382681"/>
    <m/>
    <x v="1"/>
    <n v="382681"/>
  </r>
  <r>
    <x v="1"/>
    <x v="27"/>
    <x v="27"/>
    <x v="5"/>
    <s v="Planeación, seguimiento y evaluación de políticas públicas"/>
    <x v="2"/>
    <x v="656"/>
    <x v="23"/>
    <x v="1019"/>
    <n v="1"/>
    <s v="Gobierno"/>
    <n v="8"/>
    <s v="Administración Pública"/>
    <n v="5"/>
    <x v="75"/>
    <x v="1"/>
    <x v="175"/>
    <n v="1"/>
    <s v="Gasto corriente"/>
    <x v="0"/>
    <x v="0"/>
    <x v="0"/>
    <x v="0"/>
    <x v="0"/>
    <x v="0"/>
    <x v="0"/>
    <m/>
    <x v="0"/>
    <x v="0"/>
    <m/>
    <n v="16672637"/>
    <n v="0"/>
    <n v="-273661"/>
    <n v="16398976"/>
    <n v="16486549"/>
    <m/>
    <x v="1"/>
    <n v="16486549"/>
  </r>
  <r>
    <x v="1"/>
    <x v="27"/>
    <x v="27"/>
    <x v="5"/>
    <s v="Planeación, seguimiento y evaluación de políticas públicas"/>
    <x v="2"/>
    <x v="656"/>
    <x v="19"/>
    <x v="1020"/>
    <n v="1"/>
    <s v="Gobierno"/>
    <n v="8"/>
    <s v="Administración Pública"/>
    <n v="5"/>
    <x v="75"/>
    <x v="1"/>
    <x v="175"/>
    <n v="1"/>
    <s v="Gasto corriente"/>
    <x v="0"/>
    <x v="1"/>
    <x v="0"/>
    <x v="0"/>
    <x v="0"/>
    <x v="0"/>
    <x v="0"/>
    <m/>
    <x v="0"/>
    <x v="0"/>
    <m/>
    <n v="376166"/>
    <n v="0"/>
    <n v="0"/>
    <n v="376166"/>
    <n v="443464"/>
    <m/>
    <x v="1"/>
    <n v="443464"/>
  </r>
  <r>
    <x v="1"/>
    <x v="27"/>
    <x v="27"/>
    <x v="5"/>
    <s v="Planeación, seguimiento y evaluación de políticas públicas"/>
    <x v="2"/>
    <x v="656"/>
    <x v="19"/>
    <x v="1020"/>
    <n v="1"/>
    <s v="Gobierno"/>
    <n v="8"/>
    <s v="Administración Pública"/>
    <n v="5"/>
    <x v="75"/>
    <x v="1"/>
    <x v="175"/>
    <n v="1"/>
    <s v="Gasto corriente"/>
    <x v="0"/>
    <x v="0"/>
    <x v="0"/>
    <x v="0"/>
    <x v="0"/>
    <x v="0"/>
    <x v="0"/>
    <m/>
    <x v="0"/>
    <x v="0"/>
    <m/>
    <n v="16318446"/>
    <n v="0"/>
    <n v="-303796"/>
    <n v="16014650"/>
    <n v="15873856"/>
    <m/>
    <x v="1"/>
    <n v="15873856"/>
  </r>
  <r>
    <x v="1"/>
    <x v="27"/>
    <x v="27"/>
    <x v="5"/>
    <s v="Planeación, seguimiento y evaluación de políticas públicas"/>
    <x v="2"/>
    <x v="656"/>
    <x v="21"/>
    <x v="1021"/>
    <n v="1"/>
    <s v="Gobierno"/>
    <n v="8"/>
    <s v="Administración Pública"/>
    <n v="5"/>
    <x v="75"/>
    <x v="1"/>
    <x v="175"/>
    <n v="1"/>
    <s v="Gasto corriente"/>
    <x v="0"/>
    <x v="1"/>
    <x v="0"/>
    <x v="0"/>
    <x v="0"/>
    <x v="0"/>
    <x v="0"/>
    <m/>
    <x v="0"/>
    <x v="0"/>
    <m/>
    <n v="346368"/>
    <n v="0"/>
    <n v="0"/>
    <n v="346368"/>
    <n v="404391"/>
    <m/>
    <x v="1"/>
    <n v="404391"/>
  </r>
  <r>
    <x v="1"/>
    <x v="27"/>
    <x v="27"/>
    <x v="5"/>
    <s v="Planeación, seguimiento y evaluación de políticas públicas"/>
    <x v="2"/>
    <x v="656"/>
    <x v="21"/>
    <x v="1021"/>
    <n v="1"/>
    <s v="Gobierno"/>
    <n v="8"/>
    <s v="Administración Pública"/>
    <n v="5"/>
    <x v="75"/>
    <x v="1"/>
    <x v="175"/>
    <n v="1"/>
    <s v="Gasto corriente"/>
    <x v="0"/>
    <x v="0"/>
    <x v="0"/>
    <x v="0"/>
    <x v="0"/>
    <x v="0"/>
    <x v="0"/>
    <m/>
    <x v="0"/>
    <x v="0"/>
    <m/>
    <n v="14122596"/>
    <n v="0"/>
    <n v="-281616"/>
    <n v="13840980"/>
    <n v="14347041"/>
    <m/>
    <x v="1"/>
    <n v="14347041"/>
  </r>
  <r>
    <x v="1"/>
    <x v="28"/>
    <x v="28"/>
    <x v="4"/>
    <s v="Prestación de Servicios Públicos"/>
    <x v="2"/>
    <x v="657"/>
    <x v="439"/>
    <x v="1022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n v="1"/>
    <n v="36066313"/>
    <n v="0"/>
    <n v="-453768"/>
    <n v="35612545"/>
    <n v="39214775"/>
    <m/>
    <x v="1"/>
    <n v="39214775"/>
  </r>
  <r>
    <x v="1"/>
    <x v="28"/>
    <x v="28"/>
    <x v="4"/>
    <s v="Prestación de Servicios Públicos"/>
    <x v="2"/>
    <x v="657"/>
    <x v="440"/>
    <x v="1023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n v="1"/>
    <n v="1702780"/>
    <n v="0"/>
    <n v="0"/>
    <n v="1702780"/>
    <m/>
    <m/>
    <x v="1"/>
    <n v="0"/>
  </r>
  <r>
    <x v="1"/>
    <x v="28"/>
    <x v="28"/>
    <x v="4"/>
    <s v="Prestación de Servicios Públicos"/>
    <x v="2"/>
    <x v="657"/>
    <x v="440"/>
    <x v="1023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n v="1"/>
    <n v="99923660"/>
    <n v="0"/>
    <n v="-1431840"/>
    <n v="98491820"/>
    <n v="109282564"/>
    <m/>
    <x v="1"/>
    <n v="109282564"/>
  </r>
  <r>
    <x v="1"/>
    <x v="28"/>
    <x v="28"/>
    <x v="4"/>
    <s v="Prestación de Servicios Públicos"/>
    <x v="2"/>
    <x v="657"/>
    <x v="441"/>
    <x v="1024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82275708"/>
    <n v="0"/>
    <n v="-1461946"/>
    <n v="80813762"/>
    <n v="83785631"/>
    <m/>
    <x v="1"/>
    <n v="83785631"/>
  </r>
  <r>
    <x v="1"/>
    <x v="28"/>
    <x v="28"/>
    <x v="4"/>
    <s v="Prestación de Servicios Públicos"/>
    <x v="2"/>
    <x v="657"/>
    <x v="441"/>
    <x v="1024"/>
    <n v="3"/>
    <s v="Desarrollo Económico"/>
    <n v="7"/>
    <s v="Ciencia y Tecnología"/>
    <n v="1"/>
    <x v="33"/>
    <x v="1"/>
    <x v="176"/>
    <n v="2"/>
    <s v="Gasto de capital"/>
    <x v="0"/>
    <x v="0"/>
    <x v="0"/>
    <x v="1"/>
    <x v="0"/>
    <x v="0"/>
    <x v="0"/>
    <m/>
    <x v="0"/>
    <x v="0"/>
    <m/>
    <m/>
    <m/>
    <m/>
    <m/>
    <n v="7000000"/>
    <m/>
    <x v="1"/>
    <n v="7000000"/>
  </r>
  <r>
    <x v="1"/>
    <x v="28"/>
    <x v="28"/>
    <x v="4"/>
    <s v="Prestación de Servicios Públicos"/>
    <x v="2"/>
    <x v="657"/>
    <x v="441"/>
    <x v="1024"/>
    <n v="3"/>
    <s v="Desarrollo Económico"/>
    <n v="7"/>
    <s v="Ciencia y Tecnología"/>
    <n v="3"/>
    <x v="46"/>
    <x v="1"/>
    <x v="176"/>
    <n v="1"/>
    <s v="Gasto corriente"/>
    <x v="0"/>
    <x v="0"/>
    <x v="0"/>
    <x v="1"/>
    <x v="0"/>
    <x v="0"/>
    <x v="0"/>
    <m/>
    <x v="0"/>
    <x v="0"/>
    <m/>
    <n v="31902263"/>
    <n v="0"/>
    <n v="-395313"/>
    <n v="31506950"/>
    <n v="31662360"/>
    <m/>
    <x v="1"/>
    <n v="31662360"/>
  </r>
  <r>
    <x v="1"/>
    <x v="28"/>
    <x v="28"/>
    <x v="4"/>
    <s v="Prestación de Servicios Públicos"/>
    <x v="2"/>
    <x v="657"/>
    <x v="442"/>
    <x v="1025"/>
    <n v="3"/>
    <s v="Desarrollo Económico"/>
    <n v="7"/>
    <s v="Ciencia y Tecnología"/>
    <n v="2"/>
    <x v="42"/>
    <x v="1"/>
    <x v="176"/>
    <n v="1"/>
    <s v="Gasto corriente"/>
    <x v="0"/>
    <x v="0"/>
    <x v="0"/>
    <x v="1"/>
    <x v="0"/>
    <x v="0"/>
    <x v="0"/>
    <m/>
    <x v="0"/>
    <x v="0"/>
    <m/>
    <n v="23929396"/>
    <n v="0"/>
    <n v="-293230"/>
    <n v="23636166"/>
    <n v="27344764"/>
    <m/>
    <x v="1"/>
    <n v="27344764"/>
  </r>
  <r>
    <x v="1"/>
    <x v="28"/>
    <x v="28"/>
    <x v="4"/>
    <s v="Prestación de Servicios Públicos"/>
    <x v="2"/>
    <x v="657"/>
    <x v="443"/>
    <x v="1026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190978231"/>
    <n v="0"/>
    <n v="-3717726"/>
    <n v="187260505"/>
    <n v="209590808"/>
    <m/>
    <x v="1"/>
    <n v="209590808"/>
  </r>
  <r>
    <x v="1"/>
    <x v="28"/>
    <x v="28"/>
    <x v="4"/>
    <s v="Prestación de Servicios Públicos"/>
    <x v="2"/>
    <x v="657"/>
    <x v="443"/>
    <x v="1026"/>
    <n v="3"/>
    <s v="Desarrollo Económico"/>
    <n v="7"/>
    <s v="Ciencia y Tecnología"/>
    <n v="1"/>
    <x v="33"/>
    <x v="1"/>
    <x v="176"/>
    <n v="2"/>
    <s v="Gasto de capital"/>
    <x v="0"/>
    <x v="0"/>
    <x v="0"/>
    <x v="1"/>
    <x v="0"/>
    <x v="0"/>
    <x v="0"/>
    <m/>
    <x v="0"/>
    <x v="0"/>
    <m/>
    <m/>
    <m/>
    <m/>
    <m/>
    <n v="3600000"/>
    <m/>
    <x v="1"/>
    <n v="3600000"/>
  </r>
  <r>
    <x v="1"/>
    <x v="28"/>
    <x v="28"/>
    <x v="4"/>
    <s v="Prestación de Servicios Públicos"/>
    <x v="2"/>
    <x v="657"/>
    <x v="444"/>
    <x v="1027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274878993"/>
    <n v="0"/>
    <n v="-4135967"/>
    <n v="270743026"/>
    <n v="280778255"/>
    <m/>
    <x v="1"/>
    <n v="280778255"/>
  </r>
  <r>
    <x v="1"/>
    <x v="28"/>
    <x v="28"/>
    <x v="4"/>
    <s v="Prestación de Servicios Públicos"/>
    <x v="2"/>
    <x v="657"/>
    <x v="445"/>
    <x v="1028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134104614"/>
    <n v="0"/>
    <n v="-1700796"/>
    <n v="132403818"/>
    <n v="151500381"/>
    <m/>
    <x v="1"/>
    <n v="151500381"/>
  </r>
  <r>
    <x v="1"/>
    <x v="28"/>
    <x v="28"/>
    <x v="4"/>
    <s v="Prestación de Servicios Públicos"/>
    <x v="2"/>
    <x v="657"/>
    <x v="445"/>
    <x v="1028"/>
    <n v="3"/>
    <s v="Desarrollo Económico"/>
    <n v="7"/>
    <s v="Ciencia y Tecnología"/>
    <n v="3"/>
    <x v="46"/>
    <x v="1"/>
    <x v="176"/>
    <n v="1"/>
    <s v="Gasto corriente"/>
    <x v="0"/>
    <x v="0"/>
    <x v="0"/>
    <x v="1"/>
    <x v="0"/>
    <x v="0"/>
    <x v="0"/>
    <m/>
    <x v="0"/>
    <x v="0"/>
    <m/>
    <n v="2417629"/>
    <n v="0"/>
    <n v="-166444"/>
    <n v="2251185"/>
    <n v="2360206"/>
    <m/>
    <x v="1"/>
    <n v="2360206"/>
  </r>
  <r>
    <x v="1"/>
    <x v="28"/>
    <x v="28"/>
    <x v="4"/>
    <s v="Prestación de Servicios Públicos"/>
    <x v="2"/>
    <x v="657"/>
    <x v="446"/>
    <x v="1029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n v="1"/>
    <n v="76383022"/>
    <n v="0"/>
    <n v="-956509"/>
    <n v="75426513"/>
    <n v="80179297"/>
    <m/>
    <x v="1"/>
    <n v="80179297"/>
  </r>
  <r>
    <x v="1"/>
    <x v="28"/>
    <x v="28"/>
    <x v="4"/>
    <s v="Prestación de Servicios Públicos"/>
    <x v="2"/>
    <x v="657"/>
    <x v="447"/>
    <x v="1030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m/>
    <n v="7671263"/>
    <n v="0"/>
    <n v="0"/>
    <n v="7671263"/>
    <n v="8000329"/>
    <m/>
    <x v="1"/>
    <n v="8000329"/>
  </r>
  <r>
    <x v="1"/>
    <x v="28"/>
    <x v="28"/>
    <x v="4"/>
    <s v="Prestación de Servicios Públicos"/>
    <x v="2"/>
    <x v="657"/>
    <x v="447"/>
    <x v="1030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177107534"/>
    <n v="0"/>
    <n v="-9723980"/>
    <n v="167383554"/>
    <n v="180761732"/>
    <m/>
    <x v="1"/>
    <n v="180761732"/>
  </r>
  <r>
    <x v="1"/>
    <x v="28"/>
    <x v="28"/>
    <x v="4"/>
    <s v="Prestación de Servicios Públicos"/>
    <x v="2"/>
    <x v="657"/>
    <x v="448"/>
    <x v="1031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m/>
    <n v="8023457"/>
    <n v="0"/>
    <n v="0"/>
    <n v="8023457"/>
    <n v="8507753"/>
    <m/>
    <x v="1"/>
    <n v="8507753"/>
  </r>
  <r>
    <x v="1"/>
    <x v="28"/>
    <x v="28"/>
    <x v="4"/>
    <s v="Prestación de Servicios Públicos"/>
    <x v="2"/>
    <x v="657"/>
    <x v="448"/>
    <x v="1031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169191156"/>
    <n v="0"/>
    <n v="-3500317"/>
    <n v="165690839"/>
    <n v="178936195"/>
    <m/>
    <x v="1"/>
    <n v="178936195"/>
  </r>
  <r>
    <x v="1"/>
    <x v="28"/>
    <x v="28"/>
    <x v="4"/>
    <s v="Prestación de Servicios Públicos"/>
    <x v="2"/>
    <x v="657"/>
    <x v="449"/>
    <x v="1032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m/>
    <n v="11131658"/>
    <n v="0"/>
    <n v="0"/>
    <n v="11131658"/>
    <n v="11885278"/>
    <m/>
    <x v="1"/>
    <n v="11885278"/>
  </r>
  <r>
    <x v="1"/>
    <x v="28"/>
    <x v="28"/>
    <x v="4"/>
    <s v="Prestación de Servicios Públicos"/>
    <x v="2"/>
    <x v="657"/>
    <x v="449"/>
    <x v="1032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199409472"/>
    <n v="0"/>
    <n v="-6877646"/>
    <n v="192531826"/>
    <n v="211214583"/>
    <m/>
    <x v="1"/>
    <n v="211214583"/>
  </r>
  <r>
    <x v="1"/>
    <x v="28"/>
    <x v="28"/>
    <x v="4"/>
    <s v="Prestación de Servicios Públicos"/>
    <x v="2"/>
    <x v="657"/>
    <x v="450"/>
    <x v="1033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74663845"/>
    <n v="0"/>
    <n v="-2326267"/>
    <n v="72337578"/>
    <n v="85353763"/>
    <m/>
    <x v="1"/>
    <n v="85353763"/>
  </r>
  <r>
    <x v="1"/>
    <x v="28"/>
    <x v="28"/>
    <x v="4"/>
    <s v="Prestación de Servicios Públicos"/>
    <x v="2"/>
    <x v="657"/>
    <x v="451"/>
    <x v="1034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57090011"/>
    <n v="0"/>
    <n v="-983021"/>
    <n v="56106990"/>
    <n v="57344729"/>
    <m/>
    <x v="1"/>
    <n v="57344729"/>
  </r>
  <r>
    <x v="1"/>
    <x v="28"/>
    <x v="28"/>
    <x v="4"/>
    <s v="Prestación de Servicios Públicos"/>
    <x v="2"/>
    <x v="657"/>
    <x v="452"/>
    <x v="1035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169660081"/>
    <n v="0"/>
    <n v="-14400275"/>
    <n v="155259806"/>
    <n v="180493029"/>
    <m/>
    <x v="1"/>
    <n v="180493029"/>
  </r>
  <r>
    <x v="1"/>
    <x v="28"/>
    <x v="28"/>
    <x v="4"/>
    <s v="Prestación de Servicios Públicos"/>
    <x v="2"/>
    <x v="657"/>
    <x v="453"/>
    <x v="1036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m/>
    <n v="4207099"/>
    <n v="0"/>
    <n v="0"/>
    <n v="4207099"/>
    <n v="4364282"/>
    <m/>
    <x v="1"/>
    <n v="4364282"/>
  </r>
  <r>
    <x v="1"/>
    <x v="28"/>
    <x v="28"/>
    <x v="4"/>
    <s v="Prestación de Servicios Públicos"/>
    <x v="2"/>
    <x v="657"/>
    <x v="453"/>
    <x v="1036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95570844"/>
    <n v="0"/>
    <n v="-2069196"/>
    <n v="93501648"/>
    <n v="100275948"/>
    <m/>
    <x v="1"/>
    <n v="100275948"/>
  </r>
  <r>
    <x v="1"/>
    <x v="28"/>
    <x v="28"/>
    <x v="4"/>
    <s v="Prestación de Servicios Públicos"/>
    <x v="2"/>
    <x v="657"/>
    <x v="454"/>
    <x v="1037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m/>
    <n v="8304576"/>
    <n v="0"/>
    <n v="0"/>
    <n v="8304576"/>
    <n v="8758648"/>
    <m/>
    <x v="1"/>
    <n v="8758648"/>
  </r>
  <r>
    <x v="1"/>
    <x v="28"/>
    <x v="28"/>
    <x v="4"/>
    <s v="Prestación de Servicios Públicos"/>
    <x v="2"/>
    <x v="657"/>
    <x v="454"/>
    <x v="1037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157218969"/>
    <n v="0"/>
    <n v="-2521410"/>
    <n v="154697559"/>
    <n v="161357286"/>
    <m/>
    <x v="1"/>
    <n v="161357286"/>
  </r>
  <r>
    <x v="1"/>
    <x v="28"/>
    <x v="28"/>
    <x v="4"/>
    <s v="Prestación de Servicios Públicos"/>
    <x v="2"/>
    <x v="657"/>
    <x v="455"/>
    <x v="1038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m/>
    <n v="3225652"/>
    <n v="0"/>
    <n v="0"/>
    <n v="3225652"/>
    <n v="3459803"/>
    <m/>
    <x v="1"/>
    <n v="3459803"/>
  </r>
  <r>
    <x v="1"/>
    <x v="28"/>
    <x v="28"/>
    <x v="4"/>
    <s v="Prestación de Servicios Públicos"/>
    <x v="2"/>
    <x v="657"/>
    <x v="455"/>
    <x v="1038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66525664"/>
    <n v="0"/>
    <n v="-1912497"/>
    <n v="64613167"/>
    <n v="69824033"/>
    <m/>
    <x v="1"/>
    <n v="69824033"/>
  </r>
  <r>
    <x v="1"/>
    <x v="28"/>
    <x v="28"/>
    <x v="4"/>
    <s v="Prestación de Servicios Públicos"/>
    <x v="2"/>
    <x v="657"/>
    <x v="455"/>
    <x v="1038"/>
    <n v="3"/>
    <s v="Desarrollo Económico"/>
    <n v="7"/>
    <s v="Ciencia y Tecnología"/>
    <n v="1"/>
    <x v="33"/>
    <x v="1"/>
    <x v="176"/>
    <n v="2"/>
    <s v="Gasto de capital"/>
    <x v="0"/>
    <x v="0"/>
    <x v="0"/>
    <x v="1"/>
    <x v="0"/>
    <x v="0"/>
    <x v="0"/>
    <m/>
    <x v="0"/>
    <x v="0"/>
    <m/>
    <m/>
    <m/>
    <m/>
    <m/>
    <n v="13267114"/>
    <m/>
    <x v="1"/>
    <n v="13267114"/>
  </r>
  <r>
    <x v="1"/>
    <x v="28"/>
    <x v="28"/>
    <x v="4"/>
    <s v="Prestación de Servicios Públicos"/>
    <x v="2"/>
    <x v="657"/>
    <x v="456"/>
    <x v="1039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m/>
    <n v="13440781"/>
    <n v="0"/>
    <n v="0"/>
    <n v="13440781"/>
    <n v="14325883"/>
    <m/>
    <x v="1"/>
    <n v="14325883"/>
  </r>
  <r>
    <x v="1"/>
    <x v="28"/>
    <x v="28"/>
    <x v="4"/>
    <s v="Prestación de Servicios Públicos"/>
    <x v="2"/>
    <x v="657"/>
    <x v="456"/>
    <x v="1039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284922730"/>
    <n v="0"/>
    <n v="-4800751"/>
    <n v="280121979"/>
    <n v="302218054"/>
    <m/>
    <x v="1"/>
    <n v="302218054"/>
  </r>
  <r>
    <x v="1"/>
    <x v="28"/>
    <x v="28"/>
    <x v="4"/>
    <s v="Prestación de Servicios Públicos"/>
    <x v="2"/>
    <x v="657"/>
    <x v="457"/>
    <x v="1040"/>
    <n v="3"/>
    <s v="Desarrollo Económico"/>
    <n v="7"/>
    <s v="Ciencia y Tecnología"/>
    <n v="1"/>
    <x v="33"/>
    <x v="1"/>
    <x v="176"/>
    <n v="1"/>
    <s v="Gasto corriente"/>
    <x v="0"/>
    <x v="1"/>
    <x v="0"/>
    <x v="1"/>
    <x v="0"/>
    <x v="0"/>
    <x v="0"/>
    <m/>
    <x v="0"/>
    <x v="0"/>
    <m/>
    <n v="9216534"/>
    <n v="0"/>
    <n v="0"/>
    <n v="9216534"/>
    <n v="9980414"/>
    <m/>
    <x v="1"/>
    <n v="9980414"/>
  </r>
  <r>
    <x v="1"/>
    <x v="28"/>
    <x v="28"/>
    <x v="4"/>
    <s v="Prestación de Servicios Públicos"/>
    <x v="2"/>
    <x v="657"/>
    <x v="457"/>
    <x v="1040"/>
    <n v="3"/>
    <s v="Desarrollo Económico"/>
    <n v="7"/>
    <s v="Ciencia y Tecnología"/>
    <n v="1"/>
    <x v="33"/>
    <x v="1"/>
    <x v="176"/>
    <n v="1"/>
    <s v="Gasto corriente"/>
    <x v="0"/>
    <x v="0"/>
    <x v="0"/>
    <x v="1"/>
    <x v="0"/>
    <x v="0"/>
    <x v="0"/>
    <m/>
    <x v="0"/>
    <x v="0"/>
    <m/>
    <n v="179863816"/>
    <n v="0"/>
    <n v="-2747786"/>
    <n v="177116030"/>
    <n v="196866554"/>
    <m/>
    <x v="1"/>
    <n v="196866554"/>
  </r>
  <r>
    <x v="1"/>
    <x v="28"/>
    <x v="28"/>
    <x v="4"/>
    <s v="Prestación de Servicios Públicos"/>
    <x v="2"/>
    <x v="657"/>
    <x v="457"/>
    <x v="1040"/>
    <n v="3"/>
    <s v="Desarrollo Económico"/>
    <n v="7"/>
    <s v="Ciencia y Tecnología"/>
    <n v="3"/>
    <x v="46"/>
    <x v="1"/>
    <x v="176"/>
    <n v="1"/>
    <s v="Gasto corriente"/>
    <x v="0"/>
    <x v="0"/>
    <x v="0"/>
    <x v="1"/>
    <x v="0"/>
    <x v="0"/>
    <x v="0"/>
    <m/>
    <x v="0"/>
    <x v="0"/>
    <m/>
    <n v="9836999"/>
    <n v="0"/>
    <n v="-677240"/>
    <n v="9159759"/>
    <n v="11388555"/>
    <m/>
    <x v="1"/>
    <n v="11388555"/>
  </r>
  <r>
    <x v="1"/>
    <x v="28"/>
    <x v="28"/>
    <x v="4"/>
    <s v="Prestación de Servicios Públicos"/>
    <x v="3"/>
    <x v="658"/>
    <x v="440"/>
    <x v="1023"/>
    <n v="3"/>
    <s v="Desarrollo Económico"/>
    <n v="7"/>
    <s v="Ciencia y Tecnología"/>
    <n v="3"/>
    <x v="46"/>
    <x v="0"/>
    <x v="177"/>
    <n v="1"/>
    <s v="Gasto corriente"/>
    <x v="0"/>
    <x v="0"/>
    <x v="0"/>
    <x v="1"/>
    <x v="0"/>
    <x v="0"/>
    <x v="0"/>
    <m/>
    <x v="0"/>
    <x v="0"/>
    <m/>
    <n v="1792107"/>
    <n v="0"/>
    <n v="-123381"/>
    <n v="1668726"/>
    <n v="1684085"/>
    <m/>
    <x v="1"/>
    <n v="1684085"/>
  </r>
  <r>
    <x v="1"/>
    <x v="28"/>
    <x v="28"/>
    <x v="4"/>
    <s v="Prestación de Servicios Públicos"/>
    <x v="3"/>
    <x v="658"/>
    <x v="458"/>
    <x v="1041"/>
    <n v="3"/>
    <s v="Desarrollo Económico"/>
    <n v="7"/>
    <s v="Ciencia y Tecnología"/>
    <n v="2"/>
    <x v="42"/>
    <x v="1"/>
    <x v="176"/>
    <n v="1"/>
    <s v="Gasto corriente"/>
    <x v="0"/>
    <x v="0"/>
    <x v="0"/>
    <x v="1"/>
    <x v="0"/>
    <x v="0"/>
    <x v="0"/>
    <m/>
    <x v="0"/>
    <x v="0"/>
    <n v="1"/>
    <m/>
    <n v="0"/>
    <n v="0"/>
    <m/>
    <n v="1851000"/>
    <m/>
    <x v="1"/>
    <n v="1851000"/>
  </r>
  <r>
    <x v="1"/>
    <x v="28"/>
    <x v="28"/>
    <x v="4"/>
    <s v="Prestación de Servicios Públicos"/>
    <x v="3"/>
    <x v="658"/>
    <x v="458"/>
    <x v="1041"/>
    <n v="3"/>
    <s v="Desarrollo Económico"/>
    <n v="7"/>
    <s v="Ciencia y Tecnología"/>
    <n v="2"/>
    <x v="42"/>
    <x v="0"/>
    <x v="177"/>
    <n v="1"/>
    <s v="Gasto corriente"/>
    <x v="0"/>
    <x v="0"/>
    <x v="0"/>
    <x v="1"/>
    <x v="0"/>
    <x v="0"/>
    <x v="0"/>
    <m/>
    <x v="0"/>
    <x v="0"/>
    <n v="1"/>
    <n v="83704517"/>
    <n v="0"/>
    <n v="-823265"/>
    <n v="82881252"/>
    <n v="86202141"/>
    <m/>
    <x v="1"/>
    <n v="86202141"/>
  </r>
  <r>
    <x v="1"/>
    <x v="28"/>
    <x v="28"/>
    <x v="4"/>
    <s v="Prestación de Servicios Públicos"/>
    <x v="3"/>
    <x v="658"/>
    <x v="458"/>
    <x v="1041"/>
    <n v="3"/>
    <s v="Desarrollo Económico"/>
    <n v="7"/>
    <s v="Ciencia y Tecnología"/>
    <n v="2"/>
    <x v="42"/>
    <x v="0"/>
    <x v="177"/>
    <n v="2"/>
    <s v="Gasto de capital"/>
    <x v="0"/>
    <x v="0"/>
    <x v="0"/>
    <x v="1"/>
    <x v="0"/>
    <x v="0"/>
    <x v="0"/>
    <m/>
    <x v="0"/>
    <x v="0"/>
    <n v="1"/>
    <m/>
    <m/>
    <m/>
    <m/>
    <n v="12035000"/>
    <m/>
    <x v="1"/>
    <n v="12035000"/>
  </r>
  <r>
    <x v="1"/>
    <x v="28"/>
    <x v="28"/>
    <x v="4"/>
    <s v="Prestación de Servicios Públicos"/>
    <x v="3"/>
    <x v="658"/>
    <x v="442"/>
    <x v="1025"/>
    <n v="3"/>
    <s v="Desarrollo Económico"/>
    <n v="7"/>
    <s v="Ciencia y Tecnología"/>
    <n v="2"/>
    <x v="42"/>
    <x v="0"/>
    <x v="177"/>
    <n v="1"/>
    <s v="Gasto corriente"/>
    <x v="0"/>
    <x v="0"/>
    <x v="0"/>
    <x v="1"/>
    <x v="0"/>
    <x v="0"/>
    <x v="0"/>
    <m/>
    <x v="0"/>
    <x v="0"/>
    <m/>
    <n v="78803931"/>
    <n v="0"/>
    <n v="-12889096"/>
    <n v="65914835"/>
    <n v="78756568"/>
    <m/>
    <x v="1"/>
    <n v="78756568"/>
  </r>
  <r>
    <x v="1"/>
    <x v="28"/>
    <x v="28"/>
    <x v="4"/>
    <s v="Prestación de Servicios Públicos"/>
    <x v="3"/>
    <x v="658"/>
    <x v="459"/>
    <x v="1042"/>
    <n v="3"/>
    <s v="Desarrollo Económico"/>
    <n v="7"/>
    <s v="Ciencia y Tecnología"/>
    <n v="2"/>
    <x v="42"/>
    <x v="0"/>
    <x v="177"/>
    <n v="1"/>
    <s v="Gasto corriente"/>
    <x v="0"/>
    <x v="0"/>
    <x v="0"/>
    <x v="1"/>
    <x v="0"/>
    <x v="0"/>
    <x v="0"/>
    <m/>
    <x v="0"/>
    <x v="0"/>
    <m/>
    <n v="64880321"/>
    <n v="0"/>
    <n v="-821157"/>
    <n v="64059164"/>
    <n v="67244413"/>
    <m/>
    <x v="1"/>
    <n v="67244413"/>
  </r>
  <r>
    <x v="1"/>
    <x v="28"/>
    <x v="28"/>
    <x v="4"/>
    <s v="Prestación de Servicios Públicos"/>
    <x v="3"/>
    <x v="658"/>
    <x v="446"/>
    <x v="1029"/>
    <n v="3"/>
    <s v="Desarrollo Económico"/>
    <n v="7"/>
    <s v="Ciencia y Tecnología"/>
    <n v="1"/>
    <x v="33"/>
    <x v="0"/>
    <x v="177"/>
    <n v="1"/>
    <s v="Gasto corriente"/>
    <x v="0"/>
    <x v="0"/>
    <x v="0"/>
    <x v="1"/>
    <x v="0"/>
    <x v="0"/>
    <x v="0"/>
    <m/>
    <x v="0"/>
    <x v="0"/>
    <m/>
    <n v="4942447"/>
    <n v="0"/>
    <n v="-340268"/>
    <n v="4602179"/>
    <n v="4714378"/>
    <m/>
    <x v="1"/>
    <n v="4714378"/>
  </r>
  <r>
    <x v="1"/>
    <x v="28"/>
    <x v="28"/>
    <x v="4"/>
    <s v="Prestación de Servicios Públicos"/>
    <x v="3"/>
    <x v="658"/>
    <x v="446"/>
    <x v="1029"/>
    <n v="3"/>
    <s v="Desarrollo Económico"/>
    <n v="7"/>
    <s v="Ciencia y Tecnología"/>
    <n v="3"/>
    <x v="46"/>
    <x v="0"/>
    <x v="177"/>
    <n v="1"/>
    <s v="Gasto corriente"/>
    <x v="0"/>
    <x v="0"/>
    <x v="0"/>
    <x v="1"/>
    <x v="0"/>
    <x v="0"/>
    <x v="0"/>
    <m/>
    <x v="0"/>
    <x v="0"/>
    <m/>
    <n v="24032733"/>
    <n v="0"/>
    <n v="0"/>
    <n v="24032733"/>
    <n v="24032733"/>
    <m/>
    <x v="1"/>
    <n v="24032733"/>
  </r>
  <r>
    <x v="1"/>
    <x v="28"/>
    <x v="28"/>
    <x v="4"/>
    <s v="Prestación de Servicios Públicos"/>
    <x v="3"/>
    <x v="658"/>
    <x v="460"/>
    <x v="1043"/>
    <n v="3"/>
    <s v="Desarrollo Económico"/>
    <n v="7"/>
    <s v="Ciencia y Tecnología"/>
    <n v="2"/>
    <x v="42"/>
    <x v="0"/>
    <x v="177"/>
    <n v="1"/>
    <s v="Gasto corriente"/>
    <x v="0"/>
    <x v="1"/>
    <x v="0"/>
    <x v="1"/>
    <x v="0"/>
    <x v="0"/>
    <x v="0"/>
    <m/>
    <x v="0"/>
    <x v="0"/>
    <m/>
    <n v="5058182"/>
    <n v="0"/>
    <n v="0"/>
    <n v="5058182"/>
    <n v="5534069"/>
    <m/>
    <x v="1"/>
    <n v="5534069"/>
  </r>
  <r>
    <x v="1"/>
    <x v="28"/>
    <x v="28"/>
    <x v="4"/>
    <s v="Prestación de Servicios Públicos"/>
    <x v="3"/>
    <x v="658"/>
    <x v="460"/>
    <x v="1043"/>
    <n v="3"/>
    <s v="Desarrollo Económico"/>
    <n v="7"/>
    <s v="Ciencia y Tecnología"/>
    <n v="2"/>
    <x v="42"/>
    <x v="0"/>
    <x v="177"/>
    <n v="1"/>
    <s v="Gasto corriente"/>
    <x v="0"/>
    <x v="0"/>
    <x v="0"/>
    <x v="1"/>
    <x v="0"/>
    <x v="0"/>
    <x v="0"/>
    <m/>
    <x v="0"/>
    <x v="0"/>
    <m/>
    <n v="96887292"/>
    <n v="0"/>
    <n v="-2369994"/>
    <n v="94517298"/>
    <n v="107206586"/>
    <m/>
    <x v="1"/>
    <n v="107206586"/>
  </r>
  <r>
    <x v="1"/>
    <x v="28"/>
    <x v="28"/>
    <x v="4"/>
    <s v="Prestación de Servicios Públicos"/>
    <x v="3"/>
    <x v="658"/>
    <x v="461"/>
    <x v="1044"/>
    <n v="3"/>
    <s v="Desarrollo Económico"/>
    <n v="7"/>
    <s v="Ciencia y Tecnología"/>
    <n v="2"/>
    <x v="42"/>
    <x v="0"/>
    <x v="177"/>
    <n v="1"/>
    <s v="Gasto corriente"/>
    <x v="0"/>
    <x v="0"/>
    <x v="0"/>
    <x v="1"/>
    <x v="0"/>
    <x v="0"/>
    <x v="0"/>
    <m/>
    <x v="0"/>
    <x v="0"/>
    <m/>
    <n v="131729064"/>
    <n v="0"/>
    <n v="-2471040"/>
    <n v="129258024"/>
    <n v="137024438"/>
    <m/>
    <x v="1"/>
    <n v="137024438"/>
  </r>
  <r>
    <x v="1"/>
    <x v="28"/>
    <x v="28"/>
    <x v="4"/>
    <s v="Prestación de Servicios Públicos"/>
    <x v="3"/>
    <x v="658"/>
    <x v="461"/>
    <x v="1044"/>
    <n v="3"/>
    <s v="Desarrollo Económico"/>
    <n v="7"/>
    <s v="Ciencia y Tecnología"/>
    <n v="3"/>
    <x v="46"/>
    <x v="0"/>
    <x v="177"/>
    <n v="1"/>
    <s v="Gasto corriente"/>
    <x v="0"/>
    <x v="0"/>
    <x v="0"/>
    <x v="1"/>
    <x v="0"/>
    <x v="0"/>
    <x v="0"/>
    <m/>
    <x v="0"/>
    <x v="0"/>
    <m/>
    <n v="1978686"/>
    <n v="0"/>
    <n v="-136223"/>
    <n v="1842463"/>
    <n v="1726811"/>
    <m/>
    <x v="1"/>
    <n v="1726811"/>
  </r>
  <r>
    <x v="1"/>
    <x v="28"/>
    <x v="28"/>
    <x v="4"/>
    <s v="Prestación de Servicios Públicos"/>
    <x v="3"/>
    <x v="658"/>
    <x v="454"/>
    <x v="1037"/>
    <n v="3"/>
    <s v="Desarrollo Económico"/>
    <n v="7"/>
    <s v="Ciencia y Tecnología"/>
    <n v="3"/>
    <x v="46"/>
    <x v="0"/>
    <x v="177"/>
    <n v="1"/>
    <s v="Gasto corriente"/>
    <x v="0"/>
    <x v="1"/>
    <x v="0"/>
    <x v="1"/>
    <x v="0"/>
    <x v="0"/>
    <x v="0"/>
    <m/>
    <x v="0"/>
    <x v="0"/>
    <m/>
    <n v="166696"/>
    <n v="0"/>
    <n v="0"/>
    <n v="166696"/>
    <n v="166696"/>
    <m/>
    <x v="1"/>
    <n v="166696"/>
  </r>
  <r>
    <x v="1"/>
    <x v="28"/>
    <x v="28"/>
    <x v="4"/>
    <s v="Prestación de Servicios Públicos"/>
    <x v="3"/>
    <x v="658"/>
    <x v="454"/>
    <x v="1037"/>
    <n v="3"/>
    <s v="Desarrollo Económico"/>
    <n v="7"/>
    <s v="Ciencia y Tecnología"/>
    <n v="3"/>
    <x v="46"/>
    <x v="0"/>
    <x v="177"/>
    <n v="1"/>
    <s v="Gasto corriente"/>
    <x v="0"/>
    <x v="0"/>
    <x v="0"/>
    <x v="1"/>
    <x v="0"/>
    <x v="0"/>
    <x v="0"/>
    <m/>
    <x v="0"/>
    <x v="0"/>
    <m/>
    <n v="7126225"/>
    <n v="0"/>
    <n v="-320257"/>
    <n v="6805968"/>
    <n v="6948195"/>
    <m/>
    <x v="1"/>
    <n v="6948195"/>
  </r>
  <r>
    <x v="1"/>
    <x v="28"/>
    <x v="28"/>
    <x v="4"/>
    <s v="Prestación de Servicios Públicos"/>
    <x v="3"/>
    <x v="658"/>
    <x v="455"/>
    <x v="1038"/>
    <n v="3"/>
    <s v="Desarrollo Económico"/>
    <n v="7"/>
    <s v="Ciencia y Tecnología"/>
    <n v="2"/>
    <x v="42"/>
    <x v="0"/>
    <x v="177"/>
    <n v="1"/>
    <s v="Gasto corriente"/>
    <x v="0"/>
    <x v="1"/>
    <x v="0"/>
    <x v="1"/>
    <x v="0"/>
    <x v="0"/>
    <x v="0"/>
    <m/>
    <x v="0"/>
    <x v="0"/>
    <m/>
    <n v="70846"/>
    <n v="0"/>
    <n v="0"/>
    <n v="70846"/>
    <n v="70846"/>
    <m/>
    <x v="1"/>
    <n v="70846"/>
  </r>
  <r>
    <x v="1"/>
    <x v="28"/>
    <x v="28"/>
    <x v="4"/>
    <s v="Prestación de Servicios Públicos"/>
    <x v="3"/>
    <x v="658"/>
    <x v="455"/>
    <x v="1038"/>
    <n v="3"/>
    <s v="Desarrollo Económico"/>
    <n v="7"/>
    <s v="Ciencia y Tecnología"/>
    <n v="2"/>
    <x v="42"/>
    <x v="0"/>
    <x v="177"/>
    <n v="1"/>
    <s v="Gasto corriente"/>
    <x v="0"/>
    <x v="0"/>
    <x v="0"/>
    <x v="1"/>
    <x v="0"/>
    <x v="0"/>
    <x v="0"/>
    <m/>
    <x v="0"/>
    <x v="0"/>
    <m/>
    <n v="3066237"/>
    <n v="0"/>
    <n v="-119438"/>
    <n v="2946799"/>
    <n v="2976967"/>
    <m/>
    <x v="1"/>
    <n v="2976967"/>
  </r>
  <r>
    <x v="1"/>
    <x v="28"/>
    <x v="28"/>
    <x v="4"/>
    <s v="Prestación de Servicios Públicos"/>
    <x v="3"/>
    <x v="658"/>
    <x v="462"/>
    <x v="1045"/>
    <n v="3"/>
    <s v="Desarrollo Económico"/>
    <n v="7"/>
    <s v="Ciencia y Tecnología"/>
    <n v="2"/>
    <x v="42"/>
    <x v="0"/>
    <x v="177"/>
    <n v="1"/>
    <s v="Gasto corriente"/>
    <x v="0"/>
    <x v="1"/>
    <x v="0"/>
    <x v="1"/>
    <x v="0"/>
    <x v="0"/>
    <x v="0"/>
    <m/>
    <x v="0"/>
    <x v="0"/>
    <m/>
    <n v="6717794"/>
    <n v="0"/>
    <n v="0"/>
    <n v="6717794"/>
    <n v="7170249"/>
    <m/>
    <x v="1"/>
    <n v="7170249"/>
  </r>
  <r>
    <x v="1"/>
    <x v="28"/>
    <x v="28"/>
    <x v="4"/>
    <s v="Prestación de Servicios Públicos"/>
    <x v="3"/>
    <x v="658"/>
    <x v="462"/>
    <x v="1045"/>
    <n v="3"/>
    <s v="Desarrollo Económico"/>
    <n v="7"/>
    <s v="Ciencia y Tecnología"/>
    <n v="2"/>
    <x v="42"/>
    <x v="0"/>
    <x v="177"/>
    <n v="1"/>
    <s v="Gasto corriente"/>
    <x v="0"/>
    <x v="0"/>
    <x v="0"/>
    <x v="1"/>
    <x v="0"/>
    <x v="0"/>
    <x v="0"/>
    <m/>
    <x v="0"/>
    <x v="0"/>
    <m/>
    <n v="116573082"/>
    <n v="0"/>
    <n v="-2894223"/>
    <n v="113678859"/>
    <n v="121510695"/>
    <m/>
    <x v="1"/>
    <n v="121510695"/>
  </r>
  <r>
    <x v="1"/>
    <x v="28"/>
    <x v="28"/>
    <x v="9"/>
    <s v="Promoción y fomento"/>
    <x v="2"/>
    <x v="659"/>
    <x v="463"/>
    <x v="1046"/>
    <n v="3"/>
    <s v="Desarrollo Económico"/>
    <n v="7"/>
    <s v="Ciencia y Tecnología"/>
    <n v="4"/>
    <x v="76"/>
    <x v="5"/>
    <x v="178"/>
    <n v="1"/>
    <s v="Gasto corriente"/>
    <x v="0"/>
    <x v="0"/>
    <x v="0"/>
    <x v="1"/>
    <x v="0"/>
    <x v="0"/>
    <x v="0"/>
    <m/>
    <x v="0"/>
    <x v="0"/>
    <m/>
    <n v="300000000"/>
    <n v="0"/>
    <n v="0"/>
    <n v="300000000"/>
    <n v="200000000"/>
    <m/>
    <x v="1"/>
    <n v="200000000"/>
  </r>
  <r>
    <x v="1"/>
    <x v="28"/>
    <x v="28"/>
    <x v="9"/>
    <s v="Promoción y fomento"/>
    <x v="3"/>
    <x v="660"/>
    <x v="463"/>
    <x v="1046"/>
    <n v="3"/>
    <s v="Desarrollo Económico"/>
    <n v="7"/>
    <s v="Ciencia y Tecnología"/>
    <n v="4"/>
    <x v="76"/>
    <x v="5"/>
    <x v="178"/>
    <n v="1"/>
    <s v="Gasto corriente"/>
    <x v="0"/>
    <x v="0"/>
    <x v="0"/>
    <x v="1"/>
    <x v="0"/>
    <x v="0"/>
    <x v="1"/>
    <m/>
    <x v="0"/>
    <x v="0"/>
    <m/>
    <n v="607160740"/>
    <n v="340000000"/>
    <n v="-100000000"/>
    <n v="847160740"/>
    <n v="812600000"/>
    <m/>
    <x v="122"/>
    <n v="1327600000"/>
  </r>
  <r>
    <x v="1"/>
    <x v="28"/>
    <x v="28"/>
    <x v="0"/>
    <s v="Proyectos de Inversión"/>
    <x v="11"/>
    <x v="230"/>
    <x v="440"/>
    <x v="1023"/>
    <n v="3"/>
    <s v="Desarrollo Económico"/>
    <n v="7"/>
    <s v="Ciencia y Tecnología"/>
    <n v="1"/>
    <x v="33"/>
    <x v="1"/>
    <x v="176"/>
    <n v="2"/>
    <s v="Gasto de capital"/>
    <x v="0"/>
    <x v="0"/>
    <x v="0"/>
    <x v="1"/>
    <x v="0"/>
    <x v="0"/>
    <x v="0"/>
    <m/>
    <x v="0"/>
    <x v="0"/>
    <m/>
    <m/>
    <m/>
    <m/>
    <m/>
    <n v="8809944"/>
    <m/>
    <x v="1"/>
    <n v="8809944"/>
  </r>
  <r>
    <x v="1"/>
    <x v="28"/>
    <x v="28"/>
    <x v="0"/>
    <s v="Proyectos de Inversión"/>
    <x v="11"/>
    <x v="230"/>
    <x v="458"/>
    <x v="1041"/>
    <n v="3"/>
    <s v="Desarrollo Económico"/>
    <n v="7"/>
    <s v="Ciencia y Tecnología"/>
    <n v="2"/>
    <x v="42"/>
    <x v="0"/>
    <x v="177"/>
    <n v="2"/>
    <s v="Gasto de capital"/>
    <x v="0"/>
    <x v="0"/>
    <x v="0"/>
    <x v="1"/>
    <x v="0"/>
    <x v="0"/>
    <x v="0"/>
    <m/>
    <x v="0"/>
    <x v="0"/>
    <m/>
    <m/>
    <m/>
    <m/>
    <m/>
    <n v="4000000"/>
    <m/>
    <x v="1"/>
    <n v="4000000"/>
  </r>
  <r>
    <x v="1"/>
    <x v="28"/>
    <x v="28"/>
    <x v="0"/>
    <s v="Proyectos de Inversión"/>
    <x v="11"/>
    <x v="230"/>
    <x v="443"/>
    <x v="1026"/>
    <n v="3"/>
    <s v="Desarrollo Económico"/>
    <n v="7"/>
    <s v="Ciencia y Tecnología"/>
    <n v="1"/>
    <x v="33"/>
    <x v="1"/>
    <x v="176"/>
    <n v="2"/>
    <s v="Gasto de capital"/>
    <x v="0"/>
    <x v="0"/>
    <x v="0"/>
    <x v="1"/>
    <x v="0"/>
    <x v="0"/>
    <x v="0"/>
    <m/>
    <x v="0"/>
    <x v="0"/>
    <m/>
    <m/>
    <m/>
    <m/>
    <m/>
    <n v="6400000"/>
    <m/>
    <x v="1"/>
    <n v="6400000"/>
  </r>
  <r>
    <x v="1"/>
    <x v="28"/>
    <x v="28"/>
    <x v="0"/>
    <s v="Proyectos de Inversión"/>
    <x v="11"/>
    <x v="230"/>
    <x v="452"/>
    <x v="1035"/>
    <n v="3"/>
    <s v="Desarrollo Económico"/>
    <n v="7"/>
    <s v="Ciencia y Tecnología"/>
    <n v="1"/>
    <x v="33"/>
    <x v="1"/>
    <x v="176"/>
    <n v="2"/>
    <s v="Gasto de capital"/>
    <x v="0"/>
    <x v="0"/>
    <x v="0"/>
    <x v="1"/>
    <x v="0"/>
    <x v="0"/>
    <x v="0"/>
    <m/>
    <x v="0"/>
    <x v="0"/>
    <m/>
    <m/>
    <m/>
    <m/>
    <m/>
    <n v="14768000"/>
    <m/>
    <x v="1"/>
    <n v="14768000"/>
  </r>
  <r>
    <x v="1"/>
    <x v="28"/>
    <x v="28"/>
    <x v="0"/>
    <s v="Proyectos de Inversión"/>
    <x v="1"/>
    <x v="1"/>
    <x v="463"/>
    <x v="1046"/>
    <n v="1"/>
    <s v="Gobierno"/>
    <n v="9"/>
    <s v="Otros Bienes y Servicios Públicos"/>
    <n v="1"/>
    <x v="77"/>
    <x v="3"/>
    <x v="12"/>
    <n v="2"/>
    <s v="Gasto de capital"/>
    <x v="0"/>
    <x v="0"/>
    <x v="0"/>
    <x v="1"/>
    <x v="0"/>
    <x v="0"/>
    <x v="0"/>
    <m/>
    <x v="0"/>
    <x v="0"/>
    <m/>
    <n v="5000000"/>
    <n v="0"/>
    <n v="0"/>
    <n v="5000000"/>
    <n v="7700000"/>
    <m/>
    <x v="1"/>
    <n v="7700000"/>
  </r>
  <r>
    <x v="1"/>
    <x v="28"/>
    <x v="28"/>
    <x v="2"/>
    <s v="Apoyo al proceso presupuestario y para mejorar la eficiencia institucional"/>
    <x v="2"/>
    <x v="34"/>
    <x v="439"/>
    <x v="1022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5909131"/>
    <n v="0"/>
    <n v="0"/>
    <n v="5909131"/>
    <n v="3450893"/>
    <m/>
    <x v="1"/>
    <n v="3450893"/>
  </r>
  <r>
    <x v="1"/>
    <x v="28"/>
    <x v="28"/>
    <x v="2"/>
    <s v="Apoyo al proceso presupuestario y para mejorar la eficiencia institucional"/>
    <x v="2"/>
    <x v="34"/>
    <x v="440"/>
    <x v="1023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166172"/>
    <n v="0"/>
    <n v="0"/>
    <n v="166172"/>
    <m/>
    <m/>
    <x v="1"/>
    <n v="0"/>
  </r>
  <r>
    <x v="1"/>
    <x v="28"/>
    <x v="28"/>
    <x v="2"/>
    <s v="Apoyo al proceso presupuestario y para mejorar la eficiencia institucional"/>
    <x v="2"/>
    <x v="34"/>
    <x v="440"/>
    <x v="1023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7675845"/>
    <n v="0"/>
    <n v="0"/>
    <n v="7675845"/>
    <n v="6900974"/>
    <m/>
    <x v="1"/>
    <n v="6900974"/>
  </r>
  <r>
    <x v="1"/>
    <x v="28"/>
    <x v="28"/>
    <x v="2"/>
    <s v="Apoyo al proceso presupuestario y para mejorar la eficiencia institucional"/>
    <x v="2"/>
    <x v="34"/>
    <x v="441"/>
    <x v="1024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9128389"/>
    <n v="0"/>
    <n v="-80206"/>
    <n v="9048183"/>
    <n v="7962401"/>
    <m/>
    <x v="1"/>
    <n v="7962401"/>
  </r>
  <r>
    <x v="1"/>
    <x v="28"/>
    <x v="28"/>
    <x v="2"/>
    <s v="Apoyo al proceso presupuestario y para mejorar la eficiencia institucional"/>
    <x v="2"/>
    <x v="34"/>
    <x v="458"/>
    <x v="1041"/>
    <n v="3"/>
    <s v="Desarrollo Económico"/>
    <n v="7"/>
    <s v="Ciencia y Tecnología"/>
    <n v="2"/>
    <x v="42"/>
    <x v="3"/>
    <x v="12"/>
    <n v="1"/>
    <s v="Gasto corriente"/>
    <x v="0"/>
    <x v="0"/>
    <x v="0"/>
    <x v="1"/>
    <x v="0"/>
    <x v="0"/>
    <x v="0"/>
    <m/>
    <x v="0"/>
    <x v="0"/>
    <m/>
    <n v="7783865"/>
    <n v="0"/>
    <n v="0"/>
    <n v="7783865"/>
    <n v="6849801"/>
    <m/>
    <x v="1"/>
    <n v="6849801"/>
  </r>
  <r>
    <x v="1"/>
    <x v="28"/>
    <x v="28"/>
    <x v="2"/>
    <s v="Apoyo al proceso presupuestario y para mejorar la eficiencia institucional"/>
    <x v="2"/>
    <x v="34"/>
    <x v="442"/>
    <x v="1025"/>
    <n v="3"/>
    <s v="Desarrollo Económico"/>
    <n v="7"/>
    <s v="Ciencia y Tecnología"/>
    <n v="2"/>
    <x v="42"/>
    <x v="3"/>
    <x v="12"/>
    <n v="1"/>
    <s v="Gasto corriente"/>
    <x v="0"/>
    <x v="0"/>
    <x v="0"/>
    <x v="1"/>
    <x v="0"/>
    <x v="0"/>
    <x v="0"/>
    <m/>
    <x v="0"/>
    <x v="0"/>
    <m/>
    <n v="4540039"/>
    <n v="0"/>
    <n v="-49741"/>
    <n v="4490298"/>
    <n v="3951462"/>
    <m/>
    <x v="1"/>
    <n v="3951462"/>
  </r>
  <r>
    <x v="1"/>
    <x v="28"/>
    <x v="28"/>
    <x v="2"/>
    <s v="Apoyo al proceso presupuestario y para mejorar la eficiencia institucional"/>
    <x v="2"/>
    <x v="34"/>
    <x v="459"/>
    <x v="1042"/>
    <n v="3"/>
    <s v="Desarrollo Económico"/>
    <n v="7"/>
    <s v="Ciencia y Tecnología"/>
    <n v="2"/>
    <x v="42"/>
    <x v="3"/>
    <x v="12"/>
    <n v="1"/>
    <s v="Gasto corriente"/>
    <x v="0"/>
    <x v="0"/>
    <x v="0"/>
    <x v="1"/>
    <x v="0"/>
    <x v="0"/>
    <x v="0"/>
    <m/>
    <x v="0"/>
    <x v="0"/>
    <m/>
    <n v="2042569"/>
    <n v="0"/>
    <n v="0"/>
    <n v="2042569"/>
    <n v="1797460"/>
    <m/>
    <x v="1"/>
    <n v="1797460"/>
  </r>
  <r>
    <x v="1"/>
    <x v="28"/>
    <x v="28"/>
    <x v="2"/>
    <s v="Apoyo al proceso presupuestario y para mejorar la eficiencia institucional"/>
    <x v="2"/>
    <x v="34"/>
    <x v="443"/>
    <x v="1026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22915227"/>
    <n v="0"/>
    <n v="-82128"/>
    <n v="22833099"/>
    <n v="20093127"/>
    <m/>
    <x v="1"/>
    <n v="20093127"/>
  </r>
  <r>
    <x v="1"/>
    <x v="28"/>
    <x v="28"/>
    <x v="2"/>
    <s v="Apoyo al proceso presupuestario y para mejorar la eficiencia institucional"/>
    <x v="2"/>
    <x v="34"/>
    <x v="444"/>
    <x v="1027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21376229"/>
    <n v="0"/>
    <n v="-65236"/>
    <n v="21310993"/>
    <n v="18753673"/>
    <m/>
    <x v="1"/>
    <n v="18753673"/>
  </r>
  <r>
    <x v="1"/>
    <x v="28"/>
    <x v="28"/>
    <x v="2"/>
    <s v="Apoyo al proceso presupuestario y para mejorar la eficiencia institucional"/>
    <x v="2"/>
    <x v="34"/>
    <x v="445"/>
    <x v="1028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16610117"/>
    <n v="0"/>
    <n v="0"/>
    <n v="16610117"/>
    <n v="13292905"/>
    <m/>
    <x v="1"/>
    <n v="13292905"/>
  </r>
  <r>
    <x v="1"/>
    <x v="28"/>
    <x v="28"/>
    <x v="2"/>
    <s v="Apoyo al proceso presupuestario y para mejorar la eficiencia institucional"/>
    <x v="2"/>
    <x v="34"/>
    <x v="446"/>
    <x v="1029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12076421"/>
    <n v="0"/>
    <n v="-39196"/>
    <n v="12037225"/>
    <n v="10592758"/>
    <m/>
    <x v="1"/>
    <n v="10592758"/>
  </r>
  <r>
    <x v="1"/>
    <x v="28"/>
    <x v="28"/>
    <x v="2"/>
    <s v="Apoyo al proceso presupuestario y para mejorar la eficiencia institucional"/>
    <x v="2"/>
    <x v="34"/>
    <x v="460"/>
    <x v="1043"/>
    <n v="3"/>
    <s v="Desarrollo Económico"/>
    <n v="7"/>
    <s v="Ciencia y Tecnología"/>
    <n v="2"/>
    <x v="42"/>
    <x v="3"/>
    <x v="12"/>
    <n v="1"/>
    <s v="Gasto corriente"/>
    <x v="0"/>
    <x v="1"/>
    <x v="0"/>
    <x v="1"/>
    <x v="0"/>
    <x v="0"/>
    <x v="0"/>
    <m/>
    <x v="0"/>
    <x v="0"/>
    <m/>
    <n v="719756"/>
    <n v="0"/>
    <n v="0"/>
    <n v="719756"/>
    <n v="557806"/>
    <m/>
    <x v="1"/>
    <n v="557806"/>
  </r>
  <r>
    <x v="1"/>
    <x v="28"/>
    <x v="28"/>
    <x v="2"/>
    <s v="Apoyo al proceso presupuestario y para mejorar la eficiencia institucional"/>
    <x v="2"/>
    <x v="34"/>
    <x v="460"/>
    <x v="1043"/>
    <n v="3"/>
    <s v="Desarrollo Económico"/>
    <n v="7"/>
    <s v="Ciencia y Tecnología"/>
    <n v="2"/>
    <x v="42"/>
    <x v="3"/>
    <x v="12"/>
    <n v="1"/>
    <s v="Gasto corriente"/>
    <x v="0"/>
    <x v="0"/>
    <x v="0"/>
    <x v="1"/>
    <x v="0"/>
    <x v="0"/>
    <x v="0"/>
    <m/>
    <x v="0"/>
    <x v="0"/>
    <m/>
    <n v="11525028"/>
    <n v="0"/>
    <n v="0"/>
    <n v="11525028"/>
    <n v="9038408"/>
    <m/>
    <x v="1"/>
    <n v="9038408"/>
  </r>
  <r>
    <x v="1"/>
    <x v="28"/>
    <x v="28"/>
    <x v="2"/>
    <s v="Apoyo al proceso presupuestario y para mejorar la eficiencia institucional"/>
    <x v="2"/>
    <x v="34"/>
    <x v="447"/>
    <x v="1030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412644"/>
    <n v="0"/>
    <n v="0"/>
    <n v="412644"/>
    <n v="365610"/>
    <m/>
    <x v="1"/>
    <n v="365610"/>
  </r>
  <r>
    <x v="1"/>
    <x v="28"/>
    <x v="28"/>
    <x v="2"/>
    <s v="Apoyo al proceso presupuestario y para mejorar la eficiencia institucional"/>
    <x v="2"/>
    <x v="34"/>
    <x v="447"/>
    <x v="1030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7702430"/>
    <n v="0"/>
    <n v="-57473"/>
    <n v="7644957"/>
    <n v="6725078"/>
    <m/>
    <x v="1"/>
    <n v="6725078"/>
  </r>
  <r>
    <x v="1"/>
    <x v="28"/>
    <x v="28"/>
    <x v="2"/>
    <s v="Apoyo al proceso presupuestario y para mejorar la eficiencia institucional"/>
    <x v="2"/>
    <x v="34"/>
    <x v="463"/>
    <x v="1046"/>
    <n v="1"/>
    <s v="Gobierno"/>
    <n v="9"/>
    <s v="Otros Bienes y Servicios Públicos"/>
    <n v="1"/>
    <x v="77"/>
    <x v="3"/>
    <x v="12"/>
    <n v="1"/>
    <s v="Gasto corriente"/>
    <x v="0"/>
    <x v="1"/>
    <x v="0"/>
    <x v="1"/>
    <x v="0"/>
    <x v="0"/>
    <x v="0"/>
    <m/>
    <x v="0"/>
    <x v="0"/>
    <m/>
    <n v="3341381"/>
    <n v="0"/>
    <n v="0"/>
    <n v="3341381"/>
    <n v="10791109"/>
    <m/>
    <x v="1"/>
    <n v="10791109"/>
  </r>
  <r>
    <x v="1"/>
    <x v="28"/>
    <x v="28"/>
    <x v="2"/>
    <s v="Apoyo al proceso presupuestario y para mejorar la eficiencia institucional"/>
    <x v="2"/>
    <x v="34"/>
    <x v="463"/>
    <x v="1046"/>
    <n v="1"/>
    <s v="Gobierno"/>
    <n v="9"/>
    <s v="Otros Bienes y Servicios Públicos"/>
    <n v="1"/>
    <x v="77"/>
    <x v="3"/>
    <x v="12"/>
    <n v="1"/>
    <s v="Gasto corriente"/>
    <x v="0"/>
    <x v="0"/>
    <x v="0"/>
    <x v="1"/>
    <x v="0"/>
    <x v="0"/>
    <x v="0"/>
    <m/>
    <x v="0"/>
    <x v="0"/>
    <m/>
    <n v="107952881"/>
    <n v="0"/>
    <n v="-5904754"/>
    <n v="102048127"/>
    <n v="189240072"/>
    <m/>
    <x v="1"/>
    <n v="189240072"/>
  </r>
  <r>
    <x v="1"/>
    <x v="28"/>
    <x v="28"/>
    <x v="2"/>
    <s v="Apoyo al proceso presupuestario y para mejorar la eficiencia institucional"/>
    <x v="2"/>
    <x v="34"/>
    <x v="463"/>
    <x v="1046"/>
    <n v="1"/>
    <s v="Gobierno"/>
    <n v="9"/>
    <s v="Otros Bienes y Servicios Públicos"/>
    <n v="1"/>
    <x v="77"/>
    <x v="3"/>
    <x v="12"/>
    <n v="2"/>
    <s v="Gasto de capital"/>
    <x v="0"/>
    <x v="0"/>
    <x v="0"/>
    <x v="1"/>
    <x v="0"/>
    <x v="0"/>
    <x v="0"/>
    <m/>
    <x v="0"/>
    <x v="0"/>
    <m/>
    <n v="22060281"/>
    <n v="0"/>
    <n v="-203041"/>
    <n v="21857240"/>
    <n v="6490000"/>
    <m/>
    <x v="1"/>
    <n v="6490000"/>
  </r>
  <r>
    <x v="1"/>
    <x v="28"/>
    <x v="28"/>
    <x v="2"/>
    <s v="Apoyo al proceso presupuestario y para mejorar la eficiencia institucional"/>
    <x v="2"/>
    <x v="34"/>
    <x v="461"/>
    <x v="1044"/>
    <n v="3"/>
    <s v="Desarrollo Económico"/>
    <n v="7"/>
    <s v="Ciencia y Tecnología"/>
    <n v="2"/>
    <x v="42"/>
    <x v="3"/>
    <x v="12"/>
    <n v="1"/>
    <s v="Gasto corriente"/>
    <x v="0"/>
    <x v="0"/>
    <x v="0"/>
    <x v="1"/>
    <x v="0"/>
    <x v="0"/>
    <x v="0"/>
    <m/>
    <x v="0"/>
    <x v="0"/>
    <m/>
    <n v="11555853"/>
    <n v="0"/>
    <n v="0"/>
    <n v="11555853"/>
    <n v="10169150"/>
    <m/>
    <x v="1"/>
    <n v="10169150"/>
  </r>
  <r>
    <x v="1"/>
    <x v="28"/>
    <x v="28"/>
    <x v="2"/>
    <s v="Apoyo al proceso presupuestario y para mejorar la eficiencia institucional"/>
    <x v="2"/>
    <x v="34"/>
    <x v="448"/>
    <x v="1031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540258"/>
    <n v="0"/>
    <n v="0"/>
    <n v="540258"/>
    <n v="399776"/>
    <m/>
    <x v="1"/>
    <n v="399776"/>
  </r>
  <r>
    <x v="1"/>
    <x v="28"/>
    <x v="28"/>
    <x v="2"/>
    <s v="Apoyo al proceso presupuestario y para mejorar la eficiencia institucional"/>
    <x v="2"/>
    <x v="34"/>
    <x v="448"/>
    <x v="1031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9405090"/>
    <n v="0"/>
    <n v="-93348"/>
    <n v="9311742"/>
    <n v="8269179"/>
    <m/>
    <x v="1"/>
    <n v="8269179"/>
  </r>
  <r>
    <x v="1"/>
    <x v="28"/>
    <x v="28"/>
    <x v="2"/>
    <s v="Apoyo al proceso presupuestario y para mejorar la eficiencia institucional"/>
    <x v="2"/>
    <x v="34"/>
    <x v="449"/>
    <x v="1032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758527"/>
    <n v="0"/>
    <n v="0"/>
    <n v="758527"/>
    <n v="665263"/>
    <m/>
    <x v="1"/>
    <n v="665263"/>
  </r>
  <r>
    <x v="1"/>
    <x v="28"/>
    <x v="28"/>
    <x v="2"/>
    <s v="Apoyo al proceso presupuestario y para mejorar la eficiencia institucional"/>
    <x v="2"/>
    <x v="34"/>
    <x v="449"/>
    <x v="1032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14288259"/>
    <n v="0"/>
    <n v="-101597"/>
    <n v="14186662"/>
    <n v="12486503"/>
    <m/>
    <x v="1"/>
    <n v="12486503"/>
  </r>
  <r>
    <x v="1"/>
    <x v="28"/>
    <x v="28"/>
    <x v="2"/>
    <s v="Apoyo al proceso presupuestario y para mejorar la eficiencia institucional"/>
    <x v="2"/>
    <x v="34"/>
    <x v="450"/>
    <x v="1033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15541184"/>
    <n v="0"/>
    <n v="0"/>
    <n v="15541184"/>
    <n v="7319863"/>
    <m/>
    <x v="1"/>
    <n v="7319863"/>
  </r>
  <r>
    <x v="1"/>
    <x v="28"/>
    <x v="28"/>
    <x v="2"/>
    <s v="Apoyo al proceso presupuestario y para mejorar la eficiencia institucional"/>
    <x v="2"/>
    <x v="34"/>
    <x v="451"/>
    <x v="1034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5008608"/>
    <n v="0"/>
    <n v="0"/>
    <n v="5008608"/>
    <n v="4407575"/>
    <m/>
    <x v="1"/>
    <n v="4407575"/>
  </r>
  <r>
    <x v="1"/>
    <x v="28"/>
    <x v="28"/>
    <x v="2"/>
    <s v="Apoyo al proceso presupuestario y para mejorar la eficiencia institucional"/>
    <x v="2"/>
    <x v="34"/>
    <x v="464"/>
    <x v="1047"/>
    <n v="3"/>
    <s v="Desarrollo Económico"/>
    <n v="7"/>
    <s v="Ciencia y Tecnología"/>
    <n v="3"/>
    <x v="46"/>
    <x v="3"/>
    <x v="12"/>
    <n v="1"/>
    <s v="Gasto corriente"/>
    <x v="0"/>
    <x v="0"/>
    <x v="0"/>
    <x v="1"/>
    <x v="0"/>
    <x v="0"/>
    <x v="0"/>
    <m/>
    <x v="0"/>
    <x v="0"/>
    <m/>
    <n v="561833"/>
    <n v="0"/>
    <n v="-38680"/>
    <n v="523153"/>
    <n v="478480"/>
    <m/>
    <x v="1"/>
    <n v="478480"/>
  </r>
  <r>
    <x v="1"/>
    <x v="28"/>
    <x v="28"/>
    <x v="2"/>
    <s v="Apoyo al proceso presupuestario y para mejorar la eficiencia institucional"/>
    <x v="2"/>
    <x v="34"/>
    <x v="452"/>
    <x v="1035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11669730"/>
    <n v="0"/>
    <n v="0"/>
    <n v="11669730"/>
    <n v="10269362"/>
    <m/>
    <x v="1"/>
    <n v="10269362"/>
  </r>
  <r>
    <x v="1"/>
    <x v="28"/>
    <x v="28"/>
    <x v="2"/>
    <s v="Apoyo al proceso presupuestario y para mejorar la eficiencia institucional"/>
    <x v="2"/>
    <x v="34"/>
    <x v="453"/>
    <x v="1036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3419"/>
    <n v="0"/>
    <n v="0"/>
    <n v="3419"/>
    <n v="8227"/>
    <m/>
    <x v="1"/>
    <n v="8227"/>
  </r>
  <r>
    <x v="1"/>
    <x v="28"/>
    <x v="28"/>
    <x v="2"/>
    <s v="Apoyo al proceso presupuestario y para mejorar la eficiencia institucional"/>
    <x v="2"/>
    <x v="34"/>
    <x v="453"/>
    <x v="1036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2702581"/>
    <n v="0"/>
    <n v="0"/>
    <n v="2702581"/>
    <n v="2373053"/>
    <m/>
    <x v="1"/>
    <n v="2373053"/>
  </r>
  <r>
    <x v="1"/>
    <x v="28"/>
    <x v="28"/>
    <x v="2"/>
    <s v="Apoyo al proceso presupuestario y para mejorar la eficiencia institucional"/>
    <x v="2"/>
    <x v="34"/>
    <x v="454"/>
    <x v="1037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567372"/>
    <n v="0"/>
    <n v="0"/>
    <n v="567372"/>
    <n v="525454"/>
    <m/>
    <x v="1"/>
    <n v="525454"/>
  </r>
  <r>
    <x v="1"/>
    <x v="28"/>
    <x v="28"/>
    <x v="2"/>
    <s v="Apoyo al proceso presupuestario y para mejorar la eficiencia institucional"/>
    <x v="2"/>
    <x v="34"/>
    <x v="454"/>
    <x v="1037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14041183"/>
    <n v="0"/>
    <n v="-302301"/>
    <n v="13738882"/>
    <n v="12064049"/>
    <m/>
    <x v="23"/>
    <n v="37064049"/>
  </r>
  <r>
    <x v="1"/>
    <x v="28"/>
    <x v="28"/>
    <x v="2"/>
    <s v="Apoyo al proceso presupuestario y para mejorar la eficiencia institucional"/>
    <x v="2"/>
    <x v="34"/>
    <x v="455"/>
    <x v="1038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88463"/>
    <n v="0"/>
    <n v="0"/>
    <n v="88463"/>
    <n v="113103"/>
    <m/>
    <x v="1"/>
    <n v="113103"/>
  </r>
  <r>
    <x v="1"/>
    <x v="28"/>
    <x v="28"/>
    <x v="2"/>
    <s v="Apoyo al proceso presupuestario y para mejorar la eficiencia institucional"/>
    <x v="2"/>
    <x v="34"/>
    <x v="455"/>
    <x v="1038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3181741"/>
    <n v="0"/>
    <n v="-70056"/>
    <n v="3111685"/>
    <n v="2703027"/>
    <m/>
    <x v="1"/>
    <n v="2703027"/>
  </r>
  <r>
    <x v="1"/>
    <x v="28"/>
    <x v="28"/>
    <x v="2"/>
    <s v="Apoyo al proceso presupuestario y para mejorar la eficiencia institucional"/>
    <x v="2"/>
    <x v="34"/>
    <x v="462"/>
    <x v="1045"/>
    <n v="3"/>
    <s v="Desarrollo Económico"/>
    <n v="7"/>
    <s v="Ciencia y Tecnología"/>
    <n v="2"/>
    <x v="42"/>
    <x v="3"/>
    <x v="12"/>
    <n v="1"/>
    <s v="Gasto corriente"/>
    <x v="0"/>
    <x v="1"/>
    <x v="0"/>
    <x v="1"/>
    <x v="0"/>
    <x v="0"/>
    <x v="0"/>
    <m/>
    <x v="0"/>
    <x v="0"/>
    <m/>
    <n v="305664"/>
    <n v="0"/>
    <n v="0"/>
    <n v="305664"/>
    <n v="271909"/>
    <m/>
    <x v="1"/>
    <n v="271909"/>
  </r>
  <r>
    <x v="1"/>
    <x v="28"/>
    <x v="28"/>
    <x v="2"/>
    <s v="Apoyo al proceso presupuestario y para mejorar la eficiencia institucional"/>
    <x v="2"/>
    <x v="34"/>
    <x v="462"/>
    <x v="1045"/>
    <n v="3"/>
    <s v="Desarrollo Económico"/>
    <n v="7"/>
    <s v="Ciencia y Tecnología"/>
    <n v="2"/>
    <x v="42"/>
    <x v="3"/>
    <x v="12"/>
    <n v="1"/>
    <s v="Gasto corriente"/>
    <x v="0"/>
    <x v="0"/>
    <x v="0"/>
    <x v="1"/>
    <x v="0"/>
    <x v="0"/>
    <x v="0"/>
    <m/>
    <x v="0"/>
    <x v="0"/>
    <m/>
    <n v="5167202"/>
    <n v="0"/>
    <n v="0"/>
    <n v="5167202"/>
    <n v="4544213"/>
    <m/>
    <x v="1"/>
    <n v="4544213"/>
  </r>
  <r>
    <x v="1"/>
    <x v="28"/>
    <x v="28"/>
    <x v="2"/>
    <s v="Apoyo al proceso presupuestario y para mejorar la eficiencia institucional"/>
    <x v="2"/>
    <x v="34"/>
    <x v="456"/>
    <x v="1039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1715439"/>
    <n v="0"/>
    <n v="0"/>
    <n v="1715439"/>
    <n v="1459116"/>
    <m/>
    <x v="1"/>
    <n v="1459116"/>
  </r>
  <r>
    <x v="1"/>
    <x v="28"/>
    <x v="28"/>
    <x v="2"/>
    <s v="Apoyo al proceso presupuestario y para mejorar la eficiencia institucional"/>
    <x v="2"/>
    <x v="34"/>
    <x v="456"/>
    <x v="1039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23529789"/>
    <n v="0"/>
    <n v="-182909"/>
    <n v="23346880"/>
    <n v="20595724"/>
    <m/>
    <x v="1"/>
    <n v="20595724"/>
  </r>
  <r>
    <x v="1"/>
    <x v="28"/>
    <x v="28"/>
    <x v="2"/>
    <s v="Apoyo al proceso presupuestario y para mejorar la eficiencia institucional"/>
    <x v="2"/>
    <x v="34"/>
    <x v="457"/>
    <x v="1040"/>
    <n v="3"/>
    <s v="Desarrollo Económico"/>
    <n v="7"/>
    <s v="Ciencia y Tecnología"/>
    <n v="1"/>
    <x v="33"/>
    <x v="3"/>
    <x v="12"/>
    <n v="1"/>
    <s v="Gasto corriente"/>
    <x v="0"/>
    <x v="1"/>
    <x v="0"/>
    <x v="1"/>
    <x v="0"/>
    <x v="0"/>
    <x v="0"/>
    <m/>
    <x v="0"/>
    <x v="0"/>
    <m/>
    <n v="1093445"/>
    <n v="0"/>
    <n v="0"/>
    <n v="1093445"/>
    <n v="958805"/>
    <m/>
    <x v="1"/>
    <n v="958805"/>
  </r>
  <r>
    <x v="1"/>
    <x v="28"/>
    <x v="28"/>
    <x v="2"/>
    <s v="Apoyo al proceso presupuestario y para mejorar la eficiencia institucional"/>
    <x v="2"/>
    <x v="34"/>
    <x v="457"/>
    <x v="1040"/>
    <n v="3"/>
    <s v="Desarrollo Económico"/>
    <n v="7"/>
    <s v="Ciencia y Tecnología"/>
    <n v="1"/>
    <x v="33"/>
    <x v="3"/>
    <x v="12"/>
    <n v="1"/>
    <s v="Gasto corriente"/>
    <x v="0"/>
    <x v="0"/>
    <x v="0"/>
    <x v="1"/>
    <x v="0"/>
    <x v="0"/>
    <x v="0"/>
    <m/>
    <x v="0"/>
    <x v="0"/>
    <m/>
    <n v="15151791"/>
    <n v="0"/>
    <n v="-56129"/>
    <n v="15095662"/>
    <n v="13287609"/>
    <m/>
    <x v="1"/>
    <n v="13287609"/>
  </r>
  <r>
    <x v="1"/>
    <x v="28"/>
    <x v="28"/>
    <x v="3"/>
    <s v="Apoyo a la función pública y al mejoramiento de la gestión"/>
    <x v="2"/>
    <x v="42"/>
    <x v="439"/>
    <x v="1022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117750"/>
    <n v="0"/>
    <n v="0"/>
    <n v="1117750"/>
    <n v="742417"/>
    <m/>
    <x v="1"/>
    <n v="742417"/>
  </r>
  <r>
    <x v="1"/>
    <x v="28"/>
    <x v="28"/>
    <x v="3"/>
    <s v="Apoyo a la función pública y al mejoramiento de la gestión"/>
    <x v="2"/>
    <x v="42"/>
    <x v="440"/>
    <x v="1023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018748"/>
    <n v="0"/>
    <n v="-4155"/>
    <n v="1014593"/>
    <n v="1009198"/>
    <m/>
    <x v="1"/>
    <n v="1009198"/>
  </r>
  <r>
    <x v="1"/>
    <x v="28"/>
    <x v="28"/>
    <x v="3"/>
    <s v="Apoyo a la función pública y al mejoramiento de la gestión"/>
    <x v="2"/>
    <x v="42"/>
    <x v="441"/>
    <x v="1024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641000"/>
    <n v="0"/>
    <n v="-7401"/>
    <n v="1633599"/>
    <n v="1630928"/>
    <m/>
    <x v="1"/>
    <n v="1630928"/>
  </r>
  <r>
    <x v="1"/>
    <x v="28"/>
    <x v="28"/>
    <x v="3"/>
    <s v="Apoyo a la función pública y al mejoramiento de la gestión"/>
    <x v="2"/>
    <x v="42"/>
    <x v="442"/>
    <x v="1025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03864"/>
    <n v="0"/>
    <n v="-7150"/>
    <n v="96714"/>
    <n v="85741"/>
    <m/>
    <x v="1"/>
    <n v="85741"/>
  </r>
  <r>
    <x v="1"/>
    <x v="28"/>
    <x v="28"/>
    <x v="3"/>
    <s v="Apoyo a la función pública y al mejoramiento de la gestión"/>
    <x v="2"/>
    <x v="42"/>
    <x v="459"/>
    <x v="1042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126000"/>
    <n v="0"/>
    <n v="0"/>
    <n v="1126000"/>
    <n v="1126000"/>
    <m/>
    <x v="1"/>
    <n v="1126000"/>
  </r>
  <r>
    <x v="1"/>
    <x v="28"/>
    <x v="28"/>
    <x v="3"/>
    <s v="Apoyo a la función pública y al mejoramiento de la gestión"/>
    <x v="2"/>
    <x v="42"/>
    <x v="443"/>
    <x v="1026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353000"/>
    <n v="0"/>
    <n v="0"/>
    <n v="353000"/>
    <n v="353000"/>
    <m/>
    <x v="1"/>
    <n v="353000"/>
  </r>
  <r>
    <x v="1"/>
    <x v="28"/>
    <x v="28"/>
    <x v="3"/>
    <s v="Apoyo a la función pública y al mejoramiento de la gestión"/>
    <x v="2"/>
    <x v="42"/>
    <x v="444"/>
    <x v="1027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2207268"/>
    <n v="0"/>
    <n v="-9009"/>
    <n v="2198259"/>
    <n v="2192508"/>
    <m/>
    <x v="1"/>
    <n v="2192508"/>
  </r>
  <r>
    <x v="1"/>
    <x v="28"/>
    <x v="28"/>
    <x v="3"/>
    <s v="Apoyo a la función pública y al mejoramiento de la gestión"/>
    <x v="2"/>
    <x v="42"/>
    <x v="445"/>
    <x v="1028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115803"/>
    <n v="0"/>
    <n v="0"/>
    <n v="1115803"/>
    <n v="1033476"/>
    <m/>
    <x v="1"/>
    <n v="1033476"/>
  </r>
  <r>
    <x v="1"/>
    <x v="28"/>
    <x v="28"/>
    <x v="3"/>
    <s v="Apoyo a la función pública y al mejoramiento de la gestión"/>
    <x v="2"/>
    <x v="42"/>
    <x v="460"/>
    <x v="1043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61841"/>
    <n v="0"/>
    <n v="0"/>
    <n v="61841"/>
    <n v="55073"/>
    <m/>
    <x v="1"/>
    <n v="55073"/>
  </r>
  <r>
    <x v="1"/>
    <x v="28"/>
    <x v="28"/>
    <x v="3"/>
    <s v="Apoyo a la función pública y al mejoramiento de la gestión"/>
    <x v="2"/>
    <x v="42"/>
    <x v="460"/>
    <x v="1043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178960"/>
    <n v="0"/>
    <n v="0"/>
    <n v="1178960"/>
    <n v="1049942"/>
    <m/>
    <x v="1"/>
    <n v="1049942"/>
  </r>
  <r>
    <x v="1"/>
    <x v="28"/>
    <x v="28"/>
    <x v="3"/>
    <s v="Apoyo a la función pública y al mejoramiento de la gestión"/>
    <x v="2"/>
    <x v="42"/>
    <x v="447"/>
    <x v="1030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62100"/>
    <n v="0"/>
    <n v="0"/>
    <n v="62100"/>
    <n v="62100"/>
    <m/>
    <x v="1"/>
    <n v="62100"/>
  </r>
  <r>
    <x v="1"/>
    <x v="28"/>
    <x v="28"/>
    <x v="3"/>
    <s v="Apoyo a la función pública y al mejoramiento de la gestión"/>
    <x v="2"/>
    <x v="42"/>
    <x v="447"/>
    <x v="1030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000400"/>
    <n v="0"/>
    <n v="0"/>
    <n v="1000400"/>
    <n v="1000400"/>
    <m/>
    <x v="1"/>
    <n v="1000400"/>
  </r>
  <r>
    <x v="1"/>
    <x v="28"/>
    <x v="28"/>
    <x v="3"/>
    <s v="Apoyo a la función pública y al mejoramiento de la gestión"/>
    <x v="2"/>
    <x v="42"/>
    <x v="463"/>
    <x v="1046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246521"/>
    <n v="0"/>
    <n v="0"/>
    <n v="246521"/>
    <n v="384619"/>
    <m/>
    <x v="1"/>
    <n v="384619"/>
  </r>
  <r>
    <x v="1"/>
    <x v="28"/>
    <x v="28"/>
    <x v="3"/>
    <s v="Apoyo a la función pública y al mejoramiento de la gestión"/>
    <x v="2"/>
    <x v="42"/>
    <x v="463"/>
    <x v="1046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24800636"/>
    <n v="0"/>
    <n v="-900255"/>
    <n v="23900381"/>
    <n v="20857391"/>
    <m/>
    <x v="1"/>
    <n v="20857391"/>
  </r>
  <r>
    <x v="1"/>
    <x v="28"/>
    <x v="28"/>
    <x v="3"/>
    <s v="Apoyo a la función pública y al mejoramiento de la gestión"/>
    <x v="2"/>
    <x v="42"/>
    <x v="448"/>
    <x v="1031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109732"/>
    <n v="0"/>
    <n v="0"/>
    <n v="109732"/>
    <n v="109732"/>
    <m/>
    <x v="1"/>
    <n v="109732"/>
  </r>
  <r>
    <x v="1"/>
    <x v="28"/>
    <x v="28"/>
    <x v="3"/>
    <s v="Apoyo a la función pública y al mejoramiento de la gestión"/>
    <x v="2"/>
    <x v="42"/>
    <x v="448"/>
    <x v="1031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2448452"/>
    <n v="0"/>
    <n v="0"/>
    <n v="2448452"/>
    <n v="2448452"/>
    <m/>
    <x v="1"/>
    <n v="2448452"/>
  </r>
  <r>
    <x v="1"/>
    <x v="28"/>
    <x v="28"/>
    <x v="3"/>
    <s v="Apoyo a la función pública y al mejoramiento de la gestión"/>
    <x v="2"/>
    <x v="42"/>
    <x v="449"/>
    <x v="1032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38996"/>
    <n v="0"/>
    <n v="0"/>
    <n v="38996"/>
    <n v="38996"/>
    <m/>
    <x v="1"/>
    <n v="38996"/>
  </r>
  <r>
    <x v="1"/>
    <x v="28"/>
    <x v="28"/>
    <x v="3"/>
    <s v="Apoyo a la función pública y al mejoramiento de la gestión"/>
    <x v="2"/>
    <x v="42"/>
    <x v="449"/>
    <x v="1032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454702"/>
    <n v="0"/>
    <n v="0"/>
    <n v="454702"/>
    <n v="454702"/>
    <m/>
    <x v="1"/>
    <n v="454702"/>
  </r>
  <r>
    <x v="1"/>
    <x v="28"/>
    <x v="28"/>
    <x v="3"/>
    <s v="Apoyo a la función pública y al mejoramiento de la gestión"/>
    <x v="2"/>
    <x v="42"/>
    <x v="451"/>
    <x v="1034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099600"/>
    <n v="0"/>
    <n v="0"/>
    <n v="1099600"/>
    <n v="1099600"/>
    <m/>
    <x v="1"/>
    <n v="1099600"/>
  </r>
  <r>
    <x v="1"/>
    <x v="28"/>
    <x v="28"/>
    <x v="3"/>
    <s v="Apoyo a la función pública y al mejoramiento de la gestión"/>
    <x v="2"/>
    <x v="42"/>
    <x v="452"/>
    <x v="1035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686645"/>
    <n v="0"/>
    <n v="-5456"/>
    <n v="1681189"/>
    <n v="1678810"/>
    <m/>
    <x v="1"/>
    <n v="1678810"/>
  </r>
  <r>
    <x v="1"/>
    <x v="28"/>
    <x v="28"/>
    <x v="3"/>
    <s v="Apoyo a la función pública y al mejoramiento de la gestión"/>
    <x v="2"/>
    <x v="42"/>
    <x v="453"/>
    <x v="1036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46618"/>
    <n v="0"/>
    <n v="0"/>
    <n v="46618"/>
    <n v="46618"/>
    <m/>
    <x v="1"/>
    <n v="46618"/>
  </r>
  <r>
    <x v="1"/>
    <x v="28"/>
    <x v="28"/>
    <x v="3"/>
    <s v="Apoyo a la función pública y al mejoramiento de la gestión"/>
    <x v="2"/>
    <x v="42"/>
    <x v="453"/>
    <x v="1036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428727"/>
    <n v="0"/>
    <n v="0"/>
    <n v="428727"/>
    <n v="428727"/>
    <m/>
    <x v="1"/>
    <n v="428727"/>
  </r>
  <r>
    <x v="1"/>
    <x v="28"/>
    <x v="28"/>
    <x v="3"/>
    <s v="Apoyo a la función pública y al mejoramiento de la gestión"/>
    <x v="2"/>
    <x v="42"/>
    <x v="454"/>
    <x v="1037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52309"/>
    <n v="0"/>
    <n v="0"/>
    <n v="52309"/>
    <n v="52309"/>
    <m/>
    <x v="1"/>
    <n v="52309"/>
  </r>
  <r>
    <x v="1"/>
    <x v="28"/>
    <x v="28"/>
    <x v="3"/>
    <s v="Apoyo a la función pública y al mejoramiento de la gestión"/>
    <x v="2"/>
    <x v="42"/>
    <x v="454"/>
    <x v="1037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349473"/>
    <n v="0"/>
    <n v="0"/>
    <n v="1349473"/>
    <n v="1349473"/>
    <m/>
    <x v="1"/>
    <n v="1349473"/>
  </r>
  <r>
    <x v="1"/>
    <x v="28"/>
    <x v="28"/>
    <x v="3"/>
    <s v="Apoyo a la función pública y al mejoramiento de la gestión"/>
    <x v="2"/>
    <x v="42"/>
    <x v="455"/>
    <x v="1038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62100"/>
    <n v="0"/>
    <n v="0"/>
    <n v="62100"/>
    <n v="62100"/>
    <m/>
    <x v="1"/>
    <n v="62100"/>
  </r>
  <r>
    <x v="1"/>
    <x v="28"/>
    <x v="28"/>
    <x v="3"/>
    <s v="Apoyo a la función pública y al mejoramiento de la gestión"/>
    <x v="2"/>
    <x v="42"/>
    <x v="455"/>
    <x v="1038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097200"/>
    <n v="0"/>
    <n v="0"/>
    <n v="1097200"/>
    <n v="1097200"/>
    <m/>
    <x v="1"/>
    <n v="1097200"/>
  </r>
  <r>
    <x v="1"/>
    <x v="28"/>
    <x v="28"/>
    <x v="3"/>
    <s v="Apoyo a la función pública y al mejoramiento de la gestión"/>
    <x v="2"/>
    <x v="42"/>
    <x v="462"/>
    <x v="1045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107251"/>
    <n v="0"/>
    <n v="0"/>
    <n v="107251"/>
    <n v="107251"/>
    <m/>
    <x v="1"/>
    <n v="107251"/>
  </r>
  <r>
    <x v="1"/>
    <x v="28"/>
    <x v="28"/>
    <x v="3"/>
    <s v="Apoyo a la función pública y al mejoramiento de la gestión"/>
    <x v="2"/>
    <x v="42"/>
    <x v="462"/>
    <x v="1045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813049"/>
    <n v="0"/>
    <n v="0"/>
    <n v="1813049"/>
    <n v="1813049"/>
    <m/>
    <x v="1"/>
    <n v="1813049"/>
  </r>
  <r>
    <x v="1"/>
    <x v="28"/>
    <x v="28"/>
    <x v="3"/>
    <s v="Apoyo a la función pública y al mejoramiento de la gestión"/>
    <x v="2"/>
    <x v="42"/>
    <x v="456"/>
    <x v="1039"/>
    <n v="1"/>
    <s v="Gobierno"/>
    <n v="8"/>
    <s v="Administración Pública"/>
    <n v="3"/>
    <x v="6"/>
    <x v="2"/>
    <x v="13"/>
    <n v="1"/>
    <s v="Gasto corriente"/>
    <x v="0"/>
    <x v="1"/>
    <x v="0"/>
    <x v="1"/>
    <x v="0"/>
    <x v="0"/>
    <x v="0"/>
    <m/>
    <x v="0"/>
    <x v="0"/>
    <m/>
    <n v="80916"/>
    <n v="0"/>
    <n v="0"/>
    <n v="80916"/>
    <n v="80916"/>
    <m/>
    <x v="1"/>
    <n v="80916"/>
  </r>
  <r>
    <x v="1"/>
    <x v="28"/>
    <x v="28"/>
    <x v="3"/>
    <s v="Apoyo a la función pública y al mejoramiento de la gestión"/>
    <x v="2"/>
    <x v="42"/>
    <x v="456"/>
    <x v="1039"/>
    <n v="1"/>
    <s v="Gobierno"/>
    <n v="8"/>
    <s v="Administración Pública"/>
    <n v="3"/>
    <x v="6"/>
    <x v="2"/>
    <x v="13"/>
    <n v="1"/>
    <s v="Gasto corriente"/>
    <x v="0"/>
    <x v="0"/>
    <x v="0"/>
    <x v="1"/>
    <x v="0"/>
    <x v="0"/>
    <x v="0"/>
    <m/>
    <x v="0"/>
    <x v="0"/>
    <m/>
    <n v="1614693"/>
    <n v="0"/>
    <n v="-8264"/>
    <n v="1606429"/>
    <n v="1594110"/>
    <m/>
    <x v="1"/>
    <n v="1594110"/>
  </r>
  <r>
    <x v="1"/>
    <x v="28"/>
    <x v="28"/>
    <x v="5"/>
    <s v="Planeación, seguimiento y evaluación de políticas públicas"/>
    <x v="2"/>
    <x v="661"/>
    <x v="463"/>
    <x v="1046"/>
    <n v="3"/>
    <s v="Desarrollo Económico"/>
    <n v="7"/>
    <s v="Ciencia y Tecnología"/>
    <n v="4"/>
    <x v="76"/>
    <x v="4"/>
    <x v="179"/>
    <n v="1"/>
    <s v="Gasto corriente"/>
    <x v="0"/>
    <x v="1"/>
    <x v="0"/>
    <x v="1"/>
    <x v="0"/>
    <x v="0"/>
    <x v="0"/>
    <m/>
    <x v="0"/>
    <x v="0"/>
    <m/>
    <n v="9070658"/>
    <n v="0"/>
    <n v="0"/>
    <n v="9070658"/>
    <n v="8981463"/>
    <m/>
    <x v="1"/>
    <n v="8981463"/>
  </r>
  <r>
    <x v="1"/>
    <x v="28"/>
    <x v="28"/>
    <x v="5"/>
    <s v="Planeación, seguimiento y evaluación de políticas públicas"/>
    <x v="2"/>
    <x v="661"/>
    <x v="463"/>
    <x v="1046"/>
    <n v="3"/>
    <s v="Desarrollo Económico"/>
    <n v="7"/>
    <s v="Ciencia y Tecnología"/>
    <n v="4"/>
    <x v="76"/>
    <x v="4"/>
    <x v="179"/>
    <n v="1"/>
    <s v="Gasto corriente"/>
    <x v="0"/>
    <x v="0"/>
    <x v="0"/>
    <x v="1"/>
    <x v="0"/>
    <x v="0"/>
    <x v="0"/>
    <m/>
    <x v="0"/>
    <x v="0"/>
    <m/>
    <n v="399359123"/>
    <n v="0"/>
    <n v="-13732289"/>
    <n v="385626834"/>
    <n v="431056043"/>
    <m/>
    <x v="1"/>
    <n v="431056043"/>
  </r>
  <r>
    <x v="1"/>
    <x v="28"/>
    <x v="28"/>
    <x v="11"/>
    <s v="Sujetos a Reglas de Operación"/>
    <x v="147"/>
    <x v="662"/>
    <x v="463"/>
    <x v="1046"/>
    <n v="3"/>
    <s v="Desarrollo Económico"/>
    <n v="7"/>
    <s v="Ciencia y Tecnología"/>
    <n v="4"/>
    <x v="76"/>
    <x v="11"/>
    <x v="180"/>
    <n v="1"/>
    <s v="Gasto corriente"/>
    <x v="0"/>
    <x v="0"/>
    <x v="0"/>
    <x v="1"/>
    <x v="0"/>
    <x v="0"/>
    <x v="0"/>
    <m/>
    <x v="0"/>
    <x v="0"/>
    <m/>
    <n v="3533894000"/>
    <n v="0"/>
    <n v="0"/>
    <n v="3533894000"/>
    <n v="4805800000"/>
    <m/>
    <x v="1"/>
    <n v="4805800000"/>
  </r>
  <r>
    <x v="1"/>
    <x v="28"/>
    <x v="28"/>
    <x v="11"/>
    <s v="Sujetos a Reglas de Operación"/>
    <x v="147"/>
    <x v="662"/>
    <x v="463"/>
    <x v="1046"/>
    <n v="3"/>
    <s v="Desarrollo Económico"/>
    <n v="7"/>
    <s v="Ciencia y Tecnología"/>
    <n v="4"/>
    <x v="76"/>
    <x v="11"/>
    <x v="180"/>
    <n v="2"/>
    <s v="Gasto de capital"/>
    <x v="0"/>
    <x v="0"/>
    <x v="0"/>
    <x v="1"/>
    <x v="0"/>
    <x v="0"/>
    <x v="0"/>
    <m/>
    <x v="0"/>
    <x v="0"/>
    <m/>
    <n v="653906000"/>
    <n v="0"/>
    <n v="0"/>
    <n v="653906000"/>
    <m/>
    <m/>
    <x v="1"/>
    <n v="0"/>
  </r>
  <r>
    <x v="1"/>
    <x v="28"/>
    <x v="28"/>
    <x v="11"/>
    <s v="Sujetos a Reglas de Operación"/>
    <x v="148"/>
    <x v="663"/>
    <x v="463"/>
    <x v="1046"/>
    <n v="3"/>
    <s v="Desarrollo Económico"/>
    <n v="7"/>
    <s v="Ciencia y Tecnología"/>
    <n v="4"/>
    <x v="76"/>
    <x v="15"/>
    <x v="181"/>
    <n v="1"/>
    <s v="Gasto corriente"/>
    <x v="0"/>
    <x v="0"/>
    <x v="0"/>
    <x v="1"/>
    <x v="0"/>
    <x v="0"/>
    <x v="0"/>
    <m/>
    <x v="0"/>
    <x v="0"/>
    <m/>
    <n v="2402800000"/>
    <n v="0"/>
    <n v="0"/>
    <n v="2402800000"/>
    <n v="2626800000"/>
    <m/>
    <x v="1"/>
    <n v="2626800000"/>
  </r>
  <r>
    <x v="1"/>
    <x v="28"/>
    <x v="28"/>
    <x v="11"/>
    <s v="Sujetos a Reglas de Operación"/>
    <x v="149"/>
    <x v="664"/>
    <x v="463"/>
    <x v="1046"/>
    <n v="3"/>
    <s v="Desarrollo Económico"/>
    <n v="7"/>
    <s v="Ciencia y Tecnología"/>
    <n v="4"/>
    <x v="76"/>
    <x v="5"/>
    <x v="178"/>
    <n v="1"/>
    <s v="Gasto corriente"/>
    <x v="0"/>
    <x v="0"/>
    <x v="0"/>
    <x v="1"/>
    <x v="0"/>
    <x v="0"/>
    <x v="0"/>
    <m/>
    <x v="0"/>
    <x v="1"/>
    <m/>
    <n v="560000000"/>
    <n v="0"/>
    <n v="0"/>
    <n v="560000000"/>
    <n v="600000000"/>
    <m/>
    <x v="1"/>
    <n v="600000000"/>
  </r>
  <r>
    <x v="1"/>
    <x v="28"/>
    <x v="28"/>
    <x v="11"/>
    <s v="Sujetos a Reglas de Operación"/>
    <x v="150"/>
    <x v="665"/>
    <x v="463"/>
    <x v="1046"/>
    <n v="3"/>
    <s v="Desarrollo Económico"/>
    <n v="7"/>
    <s v="Ciencia y Tecnología"/>
    <n v="4"/>
    <x v="76"/>
    <x v="5"/>
    <x v="178"/>
    <n v="1"/>
    <s v="Gasto corriente"/>
    <x v="0"/>
    <x v="0"/>
    <x v="0"/>
    <x v="1"/>
    <x v="0"/>
    <x v="0"/>
    <x v="0"/>
    <m/>
    <x v="0"/>
    <x v="0"/>
    <m/>
    <n v="300000000"/>
    <n v="390000000"/>
    <n v="0"/>
    <n v="690000000"/>
    <n v="300000000"/>
    <m/>
    <x v="1"/>
    <n v="300000000"/>
  </r>
  <r>
    <x v="1"/>
    <x v="28"/>
    <x v="28"/>
    <x v="11"/>
    <s v="Sujetos a Reglas de Operación"/>
    <x v="151"/>
    <x v="666"/>
    <x v="463"/>
    <x v="1046"/>
    <n v="3"/>
    <s v="Desarrollo Económico"/>
    <n v="7"/>
    <s v="Ciencia y Tecnología"/>
    <n v="4"/>
    <x v="76"/>
    <x v="5"/>
    <x v="178"/>
    <n v="2"/>
    <s v="Gasto de capital"/>
    <x v="0"/>
    <x v="0"/>
    <x v="0"/>
    <x v="1"/>
    <x v="0"/>
    <x v="0"/>
    <x v="0"/>
    <m/>
    <x v="0"/>
    <x v="0"/>
    <m/>
    <m/>
    <m/>
    <m/>
    <m/>
    <n v="605600000"/>
    <m/>
    <x v="1"/>
    <n v="605600000"/>
  </r>
  <r>
    <x v="1"/>
    <x v="28"/>
    <x v="28"/>
    <x v="7"/>
    <s v="Otros Subsidios"/>
    <x v="2"/>
    <x v="667"/>
    <x v="439"/>
    <x v="1022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457800"/>
    <n v="0"/>
    <n v="0"/>
    <n v="457800"/>
    <n v="457800"/>
    <m/>
    <x v="1"/>
    <n v="457800"/>
  </r>
  <r>
    <x v="1"/>
    <x v="28"/>
    <x v="28"/>
    <x v="7"/>
    <s v="Otros Subsidios"/>
    <x v="2"/>
    <x v="667"/>
    <x v="440"/>
    <x v="1023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3487100"/>
    <n v="0"/>
    <n v="0"/>
    <n v="3487100"/>
    <n v="3487100"/>
    <m/>
    <x v="1"/>
    <n v="3487100"/>
  </r>
  <r>
    <x v="1"/>
    <x v="28"/>
    <x v="28"/>
    <x v="7"/>
    <s v="Otros Subsidios"/>
    <x v="2"/>
    <x v="667"/>
    <x v="441"/>
    <x v="1024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1355300"/>
    <n v="0"/>
    <n v="0"/>
    <n v="1355300"/>
    <n v="1355300"/>
    <m/>
    <x v="1"/>
    <n v="1355300"/>
  </r>
  <r>
    <x v="1"/>
    <x v="28"/>
    <x v="28"/>
    <x v="7"/>
    <s v="Otros Subsidios"/>
    <x v="2"/>
    <x v="667"/>
    <x v="442"/>
    <x v="1025"/>
    <n v="3"/>
    <s v="Desarrollo Económico"/>
    <n v="7"/>
    <s v="Ciencia y Tecnología"/>
    <n v="2"/>
    <x v="42"/>
    <x v="9"/>
    <x v="182"/>
    <n v="1"/>
    <s v="Gasto corriente"/>
    <x v="0"/>
    <x v="0"/>
    <x v="0"/>
    <x v="1"/>
    <x v="0"/>
    <x v="0"/>
    <x v="0"/>
    <m/>
    <x v="0"/>
    <x v="0"/>
    <m/>
    <n v="199100"/>
    <n v="0"/>
    <n v="0"/>
    <n v="199100"/>
    <n v="199100"/>
    <m/>
    <x v="1"/>
    <n v="199100"/>
  </r>
  <r>
    <x v="1"/>
    <x v="28"/>
    <x v="28"/>
    <x v="7"/>
    <s v="Otros Subsidios"/>
    <x v="2"/>
    <x v="667"/>
    <x v="459"/>
    <x v="1042"/>
    <n v="3"/>
    <s v="Desarrollo Económico"/>
    <n v="7"/>
    <s v="Ciencia y Tecnología"/>
    <n v="2"/>
    <x v="42"/>
    <x v="9"/>
    <x v="182"/>
    <n v="1"/>
    <s v="Gasto corriente"/>
    <x v="0"/>
    <x v="0"/>
    <x v="0"/>
    <x v="1"/>
    <x v="0"/>
    <x v="0"/>
    <x v="0"/>
    <m/>
    <x v="0"/>
    <x v="0"/>
    <m/>
    <n v="286800"/>
    <n v="0"/>
    <n v="0"/>
    <n v="286800"/>
    <n v="286800"/>
    <m/>
    <x v="1"/>
    <n v="286800"/>
  </r>
  <r>
    <x v="1"/>
    <x v="28"/>
    <x v="28"/>
    <x v="7"/>
    <s v="Otros Subsidios"/>
    <x v="2"/>
    <x v="667"/>
    <x v="443"/>
    <x v="1026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8195800"/>
    <n v="0"/>
    <n v="0"/>
    <n v="8195800"/>
    <n v="11795800"/>
    <m/>
    <x v="1"/>
    <n v="11795800"/>
  </r>
  <r>
    <x v="1"/>
    <x v="28"/>
    <x v="28"/>
    <x v="7"/>
    <s v="Otros Subsidios"/>
    <x v="2"/>
    <x v="667"/>
    <x v="444"/>
    <x v="1027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1143700"/>
    <n v="0"/>
    <n v="0"/>
    <n v="1143700"/>
    <n v="1143700"/>
    <m/>
    <x v="1"/>
    <n v="1143700"/>
  </r>
  <r>
    <x v="1"/>
    <x v="28"/>
    <x v="28"/>
    <x v="7"/>
    <s v="Otros Subsidios"/>
    <x v="2"/>
    <x v="667"/>
    <x v="445"/>
    <x v="1028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1016800"/>
    <n v="0"/>
    <n v="0"/>
    <n v="1016800"/>
    <n v="1016800"/>
    <m/>
    <x v="1"/>
    <n v="1016800"/>
  </r>
  <r>
    <x v="1"/>
    <x v="28"/>
    <x v="28"/>
    <x v="7"/>
    <s v="Otros Subsidios"/>
    <x v="2"/>
    <x v="667"/>
    <x v="446"/>
    <x v="1029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401000"/>
    <n v="0"/>
    <n v="0"/>
    <n v="401000"/>
    <n v="401000"/>
    <m/>
    <x v="1"/>
    <n v="401000"/>
  </r>
  <r>
    <x v="1"/>
    <x v="28"/>
    <x v="28"/>
    <x v="7"/>
    <s v="Otros Subsidios"/>
    <x v="2"/>
    <x v="667"/>
    <x v="460"/>
    <x v="1043"/>
    <n v="3"/>
    <s v="Desarrollo Económico"/>
    <n v="7"/>
    <s v="Ciencia y Tecnología"/>
    <n v="2"/>
    <x v="42"/>
    <x v="9"/>
    <x v="182"/>
    <n v="1"/>
    <s v="Gasto corriente"/>
    <x v="0"/>
    <x v="0"/>
    <x v="0"/>
    <x v="1"/>
    <x v="0"/>
    <x v="0"/>
    <x v="0"/>
    <m/>
    <x v="0"/>
    <x v="0"/>
    <m/>
    <n v="1028600"/>
    <n v="0"/>
    <n v="0"/>
    <n v="1028600"/>
    <n v="1028600"/>
    <m/>
    <x v="1"/>
    <n v="1028600"/>
  </r>
  <r>
    <x v="1"/>
    <x v="28"/>
    <x v="28"/>
    <x v="7"/>
    <s v="Otros Subsidios"/>
    <x v="2"/>
    <x v="667"/>
    <x v="447"/>
    <x v="1030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3500200"/>
    <n v="0"/>
    <n v="0"/>
    <n v="3500200"/>
    <n v="3500200"/>
    <m/>
    <x v="1"/>
    <n v="3500200"/>
  </r>
  <r>
    <x v="1"/>
    <x v="28"/>
    <x v="28"/>
    <x v="7"/>
    <s v="Otros Subsidios"/>
    <x v="2"/>
    <x v="667"/>
    <x v="461"/>
    <x v="1044"/>
    <n v="3"/>
    <s v="Desarrollo Económico"/>
    <n v="7"/>
    <s v="Ciencia y Tecnología"/>
    <n v="2"/>
    <x v="42"/>
    <x v="9"/>
    <x v="182"/>
    <n v="1"/>
    <s v="Gasto corriente"/>
    <x v="0"/>
    <x v="0"/>
    <x v="0"/>
    <x v="1"/>
    <x v="0"/>
    <x v="0"/>
    <x v="0"/>
    <m/>
    <x v="0"/>
    <x v="0"/>
    <m/>
    <n v="692900"/>
    <n v="0"/>
    <n v="0"/>
    <n v="692900"/>
    <n v="692900"/>
    <m/>
    <x v="1"/>
    <n v="692900"/>
  </r>
  <r>
    <x v="1"/>
    <x v="28"/>
    <x v="28"/>
    <x v="7"/>
    <s v="Otros Subsidios"/>
    <x v="2"/>
    <x v="667"/>
    <x v="448"/>
    <x v="1031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4255600"/>
    <n v="0"/>
    <n v="0"/>
    <n v="4255600"/>
    <n v="4255600"/>
    <m/>
    <x v="1"/>
    <n v="4255600"/>
  </r>
  <r>
    <x v="1"/>
    <x v="28"/>
    <x v="28"/>
    <x v="7"/>
    <s v="Otros Subsidios"/>
    <x v="2"/>
    <x v="667"/>
    <x v="449"/>
    <x v="1032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2527500"/>
    <n v="0"/>
    <n v="0"/>
    <n v="2527500"/>
    <n v="2527500"/>
    <m/>
    <x v="1"/>
    <n v="2527500"/>
  </r>
  <r>
    <x v="1"/>
    <x v="28"/>
    <x v="28"/>
    <x v="7"/>
    <s v="Otros Subsidios"/>
    <x v="2"/>
    <x v="667"/>
    <x v="450"/>
    <x v="1033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413700"/>
    <n v="0"/>
    <n v="0"/>
    <n v="413700"/>
    <n v="413700"/>
    <m/>
    <x v="1"/>
    <n v="413700"/>
  </r>
  <r>
    <x v="1"/>
    <x v="28"/>
    <x v="28"/>
    <x v="7"/>
    <s v="Otros Subsidios"/>
    <x v="2"/>
    <x v="667"/>
    <x v="451"/>
    <x v="1034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9549300"/>
    <n v="0"/>
    <n v="0"/>
    <n v="9549300"/>
    <n v="9549300"/>
    <m/>
    <x v="1"/>
    <n v="9549300"/>
  </r>
  <r>
    <x v="1"/>
    <x v="28"/>
    <x v="28"/>
    <x v="7"/>
    <s v="Otros Subsidios"/>
    <x v="2"/>
    <x v="667"/>
    <x v="464"/>
    <x v="1047"/>
    <n v="3"/>
    <s v="Desarrollo Económico"/>
    <n v="7"/>
    <s v="Ciencia y Tecnología"/>
    <n v="3"/>
    <x v="46"/>
    <x v="11"/>
    <x v="180"/>
    <n v="1"/>
    <s v="Gasto corriente"/>
    <x v="0"/>
    <x v="0"/>
    <x v="0"/>
    <x v="1"/>
    <x v="0"/>
    <x v="0"/>
    <x v="0"/>
    <m/>
    <x v="0"/>
    <x v="0"/>
    <m/>
    <n v="50387700"/>
    <n v="0"/>
    <n v="0"/>
    <n v="50387700"/>
    <n v="45409268"/>
    <m/>
    <x v="1"/>
    <n v="45409268"/>
  </r>
  <r>
    <x v="1"/>
    <x v="28"/>
    <x v="28"/>
    <x v="7"/>
    <s v="Otros Subsidios"/>
    <x v="2"/>
    <x v="667"/>
    <x v="452"/>
    <x v="1035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851000"/>
    <n v="0"/>
    <n v="0"/>
    <n v="851000"/>
    <n v="851000"/>
    <m/>
    <x v="1"/>
    <n v="851000"/>
  </r>
  <r>
    <x v="1"/>
    <x v="28"/>
    <x v="28"/>
    <x v="7"/>
    <s v="Otros Subsidios"/>
    <x v="2"/>
    <x v="667"/>
    <x v="453"/>
    <x v="1036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1206700"/>
    <n v="0"/>
    <n v="0"/>
    <n v="1206700"/>
    <n v="1206700"/>
    <m/>
    <x v="1"/>
    <n v="1206700"/>
  </r>
  <r>
    <x v="1"/>
    <x v="28"/>
    <x v="28"/>
    <x v="7"/>
    <s v="Otros Subsidios"/>
    <x v="2"/>
    <x v="667"/>
    <x v="454"/>
    <x v="1037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9331200"/>
    <n v="0"/>
    <n v="0"/>
    <n v="9331200"/>
    <n v="9331200"/>
    <m/>
    <x v="1"/>
    <n v="9331200"/>
  </r>
  <r>
    <x v="1"/>
    <x v="28"/>
    <x v="28"/>
    <x v="7"/>
    <s v="Otros Subsidios"/>
    <x v="2"/>
    <x v="667"/>
    <x v="455"/>
    <x v="1038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900000"/>
    <n v="0"/>
    <n v="0"/>
    <n v="900000"/>
    <n v="900000"/>
    <m/>
    <x v="1"/>
    <n v="900000"/>
  </r>
  <r>
    <x v="1"/>
    <x v="28"/>
    <x v="28"/>
    <x v="7"/>
    <s v="Otros Subsidios"/>
    <x v="2"/>
    <x v="667"/>
    <x v="462"/>
    <x v="1045"/>
    <n v="3"/>
    <s v="Desarrollo Económico"/>
    <n v="7"/>
    <s v="Ciencia y Tecnología"/>
    <n v="2"/>
    <x v="42"/>
    <x v="9"/>
    <x v="182"/>
    <n v="1"/>
    <s v="Gasto corriente"/>
    <x v="0"/>
    <x v="0"/>
    <x v="0"/>
    <x v="1"/>
    <x v="0"/>
    <x v="0"/>
    <x v="0"/>
    <m/>
    <x v="0"/>
    <x v="0"/>
    <m/>
    <n v="722200"/>
    <n v="0"/>
    <n v="0"/>
    <n v="722200"/>
    <n v="722200"/>
    <m/>
    <x v="1"/>
    <n v="722200"/>
  </r>
  <r>
    <x v="1"/>
    <x v="28"/>
    <x v="28"/>
    <x v="7"/>
    <s v="Otros Subsidios"/>
    <x v="2"/>
    <x v="667"/>
    <x v="456"/>
    <x v="1039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3741300"/>
    <n v="0"/>
    <n v="0"/>
    <n v="3741300"/>
    <n v="3741300"/>
    <m/>
    <x v="1"/>
    <n v="3741300"/>
  </r>
  <r>
    <x v="1"/>
    <x v="28"/>
    <x v="28"/>
    <x v="7"/>
    <s v="Otros Subsidios"/>
    <x v="2"/>
    <x v="667"/>
    <x v="457"/>
    <x v="1040"/>
    <n v="3"/>
    <s v="Desarrollo Económico"/>
    <n v="7"/>
    <s v="Ciencia y Tecnología"/>
    <n v="1"/>
    <x v="33"/>
    <x v="9"/>
    <x v="182"/>
    <n v="1"/>
    <s v="Gasto corriente"/>
    <x v="0"/>
    <x v="0"/>
    <x v="0"/>
    <x v="1"/>
    <x v="0"/>
    <x v="0"/>
    <x v="0"/>
    <m/>
    <x v="0"/>
    <x v="0"/>
    <m/>
    <n v="1975700"/>
    <n v="0"/>
    <n v="0"/>
    <n v="1975700"/>
    <n v="1975700"/>
    <m/>
    <x v="1"/>
    <n v="1975700"/>
  </r>
  <r>
    <x v="1"/>
    <x v="28"/>
    <x v="28"/>
    <x v="7"/>
    <s v="Otros Subsidios"/>
    <x v="3"/>
    <x v="668"/>
    <x v="463"/>
    <x v="1046"/>
    <n v="3"/>
    <s v="Desarrollo Económico"/>
    <n v="7"/>
    <s v="Ciencia y Tecnología"/>
    <n v="4"/>
    <x v="76"/>
    <x v="6"/>
    <x v="183"/>
    <n v="1"/>
    <s v="Gasto corriente"/>
    <x v="0"/>
    <x v="0"/>
    <x v="0"/>
    <x v="1"/>
    <x v="0"/>
    <x v="0"/>
    <x v="0"/>
    <m/>
    <x v="0"/>
    <x v="0"/>
    <m/>
    <n v="182000000"/>
    <n v="0"/>
    <n v="0"/>
    <n v="182000000"/>
    <n v="204000000"/>
    <m/>
    <x v="1"/>
    <n v="204000000"/>
  </r>
  <r>
    <x v="1"/>
    <x v="28"/>
    <x v="28"/>
    <x v="7"/>
    <s v="Otros Subsidios"/>
    <x v="4"/>
    <x v="669"/>
    <x v="463"/>
    <x v="1046"/>
    <n v="3"/>
    <s v="Desarrollo Económico"/>
    <n v="7"/>
    <s v="Ciencia y Tecnología"/>
    <n v="4"/>
    <x v="76"/>
    <x v="5"/>
    <x v="178"/>
    <n v="2"/>
    <s v="Gasto de capital"/>
    <x v="0"/>
    <x v="0"/>
    <x v="0"/>
    <x v="1"/>
    <x v="0"/>
    <x v="0"/>
    <x v="0"/>
    <m/>
    <x v="0"/>
    <x v="0"/>
    <m/>
    <n v="700000000"/>
    <n v="0"/>
    <n v="0"/>
    <n v="700000000"/>
    <n v="2550800000"/>
    <n v="188631674"/>
    <x v="1"/>
    <n v="2362168326"/>
  </r>
  <r>
    <x v="1"/>
    <x v="28"/>
    <x v="28"/>
    <x v="7"/>
    <s v="Otros Subsidios"/>
    <x v="5"/>
    <x v="670"/>
    <x v="463"/>
    <x v="1046"/>
    <n v="3"/>
    <s v="Desarrollo Económico"/>
    <n v="7"/>
    <s v="Ciencia y Tecnología"/>
    <n v="4"/>
    <x v="76"/>
    <x v="5"/>
    <x v="178"/>
    <n v="2"/>
    <s v="Gasto de capital"/>
    <x v="0"/>
    <x v="0"/>
    <x v="0"/>
    <x v="1"/>
    <x v="0"/>
    <x v="0"/>
    <x v="0"/>
    <m/>
    <x v="0"/>
    <x v="0"/>
    <m/>
    <n v="1300000000"/>
    <n v="0"/>
    <n v="-69377167"/>
    <n v="1230622833"/>
    <m/>
    <m/>
    <x v="1"/>
    <n v="0"/>
  </r>
  <r>
    <x v="1"/>
    <x v="28"/>
    <x v="28"/>
    <x v="7"/>
    <s v="Otros Subsidios"/>
    <x v="6"/>
    <x v="671"/>
    <x v="463"/>
    <x v="1046"/>
    <n v="3"/>
    <s v="Desarrollo Económico"/>
    <n v="7"/>
    <s v="Ciencia y Tecnología"/>
    <n v="4"/>
    <x v="76"/>
    <x v="5"/>
    <x v="178"/>
    <n v="2"/>
    <s v="Gasto de capital"/>
    <x v="0"/>
    <x v="0"/>
    <x v="0"/>
    <x v="1"/>
    <x v="0"/>
    <x v="0"/>
    <x v="0"/>
    <m/>
    <x v="0"/>
    <x v="0"/>
    <m/>
    <n v="700000000"/>
    <n v="0"/>
    <n v="0"/>
    <n v="700000000"/>
    <m/>
    <m/>
    <x v="1"/>
    <n v="0"/>
  </r>
  <r>
    <x v="2"/>
    <x v="29"/>
    <x v="29"/>
    <x v="16"/>
    <s v="Pensiones y jubilaciones"/>
    <x v="7"/>
    <x v="672"/>
    <x v="465"/>
    <x v="1048"/>
    <n v="2"/>
    <s v="Desarrollo Social"/>
    <n v="2"/>
    <s v="Seguridad Social"/>
    <n v="1"/>
    <x v="78"/>
    <x v="0"/>
    <x v="184"/>
    <n v="1"/>
    <s v="Gasto corriente"/>
    <x v="0"/>
    <x v="1"/>
    <x v="0"/>
    <x v="0"/>
    <x v="0"/>
    <x v="0"/>
    <x v="0"/>
    <m/>
    <x v="0"/>
    <x v="0"/>
    <m/>
    <n v="60827100000"/>
    <n v="0"/>
    <n v="-5268606641"/>
    <n v="55558493359"/>
    <n v="58852300000"/>
    <m/>
    <x v="1"/>
    <n v="58852300000"/>
  </r>
  <r>
    <x v="2"/>
    <x v="29"/>
    <x v="29"/>
    <x v="16"/>
    <s v="Pensiones y jubilaciones"/>
    <x v="8"/>
    <x v="673"/>
    <x v="56"/>
    <x v="176"/>
    <n v="2"/>
    <s v="Desarrollo Social"/>
    <n v="2"/>
    <s v="Seguridad Social"/>
    <n v="1"/>
    <x v="78"/>
    <x v="0"/>
    <x v="184"/>
    <n v="1"/>
    <s v="Gasto corriente"/>
    <x v="0"/>
    <x v="0"/>
    <x v="0"/>
    <x v="0"/>
    <x v="0"/>
    <x v="0"/>
    <x v="0"/>
    <m/>
    <x v="0"/>
    <x v="0"/>
    <m/>
    <n v="38169000"/>
    <n v="0"/>
    <n v="0"/>
    <n v="38169000"/>
    <n v="38200000"/>
    <m/>
    <x v="1"/>
    <n v="38200000"/>
  </r>
  <r>
    <x v="2"/>
    <x v="29"/>
    <x v="29"/>
    <x v="16"/>
    <s v="Pensiones y jubilaciones"/>
    <x v="9"/>
    <x v="674"/>
    <x v="466"/>
    <x v="1049"/>
    <n v="2"/>
    <s v="Desarrollo Social"/>
    <n v="2"/>
    <s v="Seguridad Social"/>
    <n v="1"/>
    <x v="78"/>
    <x v="0"/>
    <x v="184"/>
    <n v="1"/>
    <s v="Gasto corriente"/>
    <x v="0"/>
    <x v="1"/>
    <x v="0"/>
    <x v="0"/>
    <x v="0"/>
    <x v="0"/>
    <x v="0"/>
    <m/>
    <x v="0"/>
    <x v="0"/>
    <m/>
    <n v="105361600000"/>
    <n v="0"/>
    <n v="0"/>
    <n v="105361600000"/>
    <n v="112086000000"/>
    <m/>
    <x v="1"/>
    <n v="112086000000"/>
  </r>
  <r>
    <x v="2"/>
    <x v="29"/>
    <x v="29"/>
    <x v="16"/>
    <s v="Pensiones y jubilaciones"/>
    <x v="10"/>
    <x v="675"/>
    <x v="56"/>
    <x v="176"/>
    <n v="2"/>
    <s v="Desarrollo Social"/>
    <n v="2"/>
    <s v="Seguridad Social"/>
    <n v="1"/>
    <x v="78"/>
    <x v="0"/>
    <x v="184"/>
    <n v="1"/>
    <s v="Gasto corriente"/>
    <x v="0"/>
    <x v="0"/>
    <x v="0"/>
    <x v="0"/>
    <x v="0"/>
    <x v="0"/>
    <x v="0"/>
    <m/>
    <x v="0"/>
    <x v="0"/>
    <m/>
    <n v="9729425783"/>
    <n v="0"/>
    <n v="0"/>
    <n v="9729425783"/>
    <n v="11127173300"/>
    <n v="3498462374"/>
    <x v="1"/>
    <n v="7628710926"/>
  </r>
  <r>
    <x v="2"/>
    <x v="29"/>
    <x v="29"/>
    <x v="16"/>
    <s v="Pensiones y jubilaciones"/>
    <x v="12"/>
    <x v="676"/>
    <x v="102"/>
    <x v="179"/>
    <n v="2"/>
    <s v="Desarrollo Social"/>
    <n v="2"/>
    <s v="Seguridad Social"/>
    <n v="1"/>
    <x v="78"/>
    <x v="1"/>
    <x v="185"/>
    <n v="1"/>
    <s v="Gasto corriente"/>
    <x v="0"/>
    <x v="0"/>
    <x v="0"/>
    <x v="0"/>
    <x v="0"/>
    <x v="0"/>
    <x v="0"/>
    <m/>
    <x v="0"/>
    <x v="0"/>
    <m/>
    <n v="3966800000"/>
    <n v="0"/>
    <n v="0"/>
    <n v="3966800000"/>
    <n v="4601297908"/>
    <m/>
    <x v="1"/>
    <n v="4601297908"/>
  </r>
  <r>
    <x v="2"/>
    <x v="29"/>
    <x v="29"/>
    <x v="16"/>
    <s v="Pensiones y jubilaciones"/>
    <x v="13"/>
    <x v="677"/>
    <x v="102"/>
    <x v="179"/>
    <n v="2"/>
    <s v="Desarrollo Social"/>
    <n v="2"/>
    <s v="Seguridad Social"/>
    <n v="1"/>
    <x v="78"/>
    <x v="1"/>
    <x v="185"/>
    <n v="1"/>
    <s v="Gasto corriente"/>
    <x v="0"/>
    <x v="0"/>
    <x v="0"/>
    <x v="0"/>
    <x v="0"/>
    <x v="0"/>
    <x v="0"/>
    <m/>
    <x v="0"/>
    <x v="0"/>
    <m/>
    <n v="18889200000"/>
    <n v="0"/>
    <n v="0"/>
    <n v="18889200000"/>
    <n v="21907517690"/>
    <m/>
    <x v="1"/>
    <n v="21907517690"/>
  </r>
  <r>
    <x v="2"/>
    <x v="29"/>
    <x v="29"/>
    <x v="16"/>
    <s v="Pensiones y jubilaciones"/>
    <x v="15"/>
    <x v="678"/>
    <x v="56"/>
    <x v="176"/>
    <n v="2"/>
    <s v="Desarrollo Social"/>
    <n v="2"/>
    <s v="Seguridad Social"/>
    <n v="3"/>
    <x v="14"/>
    <x v="4"/>
    <x v="186"/>
    <n v="1"/>
    <s v="Gasto corriente"/>
    <x v="0"/>
    <x v="0"/>
    <x v="0"/>
    <x v="0"/>
    <x v="0"/>
    <x v="0"/>
    <x v="1"/>
    <m/>
    <x v="0"/>
    <x v="0"/>
    <m/>
    <n v="1802000"/>
    <n v="0"/>
    <n v="0"/>
    <n v="1802000"/>
    <n v="900000"/>
    <m/>
    <x v="1"/>
    <n v="900000"/>
  </r>
  <r>
    <x v="2"/>
    <x v="29"/>
    <x v="29"/>
    <x v="16"/>
    <s v="Pensiones y jubilaciones"/>
    <x v="24"/>
    <x v="679"/>
    <x v="466"/>
    <x v="1049"/>
    <n v="2"/>
    <s v="Desarrollo Social"/>
    <n v="2"/>
    <s v="Seguridad Social"/>
    <n v="1"/>
    <x v="78"/>
    <x v="0"/>
    <x v="184"/>
    <n v="1"/>
    <s v="Gasto corriente"/>
    <x v="0"/>
    <x v="1"/>
    <x v="0"/>
    <x v="0"/>
    <x v="0"/>
    <x v="0"/>
    <x v="0"/>
    <m/>
    <x v="0"/>
    <x v="0"/>
    <m/>
    <n v="1608000000"/>
    <n v="0"/>
    <n v="0"/>
    <n v="1608000000"/>
    <n v="2910000000"/>
    <m/>
    <x v="1"/>
    <n v="2910000000"/>
  </r>
  <r>
    <x v="2"/>
    <x v="29"/>
    <x v="29"/>
    <x v="16"/>
    <s v="Pensiones y jubilaciones"/>
    <x v="20"/>
    <x v="680"/>
    <x v="102"/>
    <x v="179"/>
    <n v="2"/>
    <s v="Desarrollo Social"/>
    <n v="2"/>
    <s v="Seguridad Social"/>
    <n v="1"/>
    <x v="78"/>
    <x v="1"/>
    <x v="185"/>
    <n v="1"/>
    <s v="Gasto corriente"/>
    <x v="0"/>
    <x v="0"/>
    <x v="0"/>
    <x v="0"/>
    <x v="0"/>
    <x v="0"/>
    <x v="0"/>
    <m/>
    <x v="0"/>
    <x v="0"/>
    <m/>
    <n v="3055000000"/>
    <n v="0"/>
    <n v="0"/>
    <n v="3055000000"/>
    <n v="3285000000"/>
    <m/>
    <x v="1"/>
    <n v="3285000000"/>
  </r>
  <r>
    <x v="2"/>
    <x v="29"/>
    <x v="29"/>
    <x v="16"/>
    <s v="Pensiones y jubilaciones"/>
    <x v="47"/>
    <x v="681"/>
    <x v="102"/>
    <x v="179"/>
    <n v="2"/>
    <s v="Desarrollo Social"/>
    <n v="2"/>
    <s v="Seguridad Social"/>
    <n v="1"/>
    <x v="78"/>
    <x v="0"/>
    <x v="184"/>
    <n v="1"/>
    <s v="Gasto corriente"/>
    <x v="0"/>
    <x v="0"/>
    <x v="0"/>
    <x v="0"/>
    <x v="0"/>
    <x v="0"/>
    <x v="0"/>
    <m/>
    <x v="0"/>
    <x v="0"/>
    <m/>
    <n v="2645000000"/>
    <n v="2077000000"/>
    <n v="0"/>
    <n v="4722000000"/>
    <n v="4916000000"/>
    <m/>
    <x v="1"/>
    <n v="4916000000"/>
  </r>
  <r>
    <x v="2"/>
    <x v="29"/>
    <x v="29"/>
    <x v="16"/>
    <s v="Pensiones y jubilaciones"/>
    <x v="0"/>
    <x v="682"/>
    <x v="102"/>
    <x v="179"/>
    <n v="2"/>
    <s v="Desarrollo Social"/>
    <n v="2"/>
    <s v="Seguridad Social"/>
    <n v="1"/>
    <x v="78"/>
    <x v="0"/>
    <x v="184"/>
    <n v="1"/>
    <s v="Gasto corriente"/>
    <x v="0"/>
    <x v="0"/>
    <x v="0"/>
    <x v="0"/>
    <x v="0"/>
    <x v="0"/>
    <x v="0"/>
    <m/>
    <x v="0"/>
    <x v="0"/>
    <m/>
    <n v="0"/>
    <n v="12297800000"/>
    <n v="0"/>
    <n v="12297800000"/>
    <n v="17148178680"/>
    <m/>
    <x v="1"/>
    <n v="17148178680"/>
  </r>
  <r>
    <x v="2"/>
    <x v="29"/>
    <x v="29"/>
    <x v="1"/>
    <s v="Específicos"/>
    <x v="11"/>
    <x v="683"/>
    <x v="56"/>
    <x v="176"/>
    <n v="2"/>
    <s v="Desarrollo Social"/>
    <n v="2"/>
    <s v="Seguridad Social"/>
    <n v="3"/>
    <x v="14"/>
    <x v="4"/>
    <x v="186"/>
    <n v="1"/>
    <s v="Gasto corriente"/>
    <x v="0"/>
    <x v="0"/>
    <x v="0"/>
    <x v="0"/>
    <x v="0"/>
    <x v="0"/>
    <x v="0"/>
    <m/>
    <x v="0"/>
    <x v="0"/>
    <m/>
    <n v="76859320"/>
    <n v="0"/>
    <n v="0"/>
    <n v="76859320"/>
    <n v="85000000"/>
    <m/>
    <x v="1"/>
    <n v="85000000"/>
  </r>
  <r>
    <x v="2"/>
    <x v="29"/>
    <x v="29"/>
    <x v="1"/>
    <s v="Específicos"/>
    <x v="14"/>
    <x v="684"/>
    <x v="56"/>
    <x v="176"/>
    <n v="2"/>
    <s v="Desarrollo Social"/>
    <n v="2"/>
    <s v="Seguridad Social"/>
    <n v="3"/>
    <x v="14"/>
    <x v="4"/>
    <x v="186"/>
    <n v="1"/>
    <s v="Gasto corriente"/>
    <x v="0"/>
    <x v="0"/>
    <x v="0"/>
    <x v="0"/>
    <x v="0"/>
    <x v="0"/>
    <x v="0"/>
    <m/>
    <x v="0"/>
    <x v="0"/>
    <m/>
    <n v="541370904"/>
    <n v="0"/>
    <n v="0"/>
    <n v="541370904"/>
    <n v="400000000"/>
    <m/>
    <x v="1"/>
    <n v="400000000"/>
  </r>
  <r>
    <x v="2"/>
    <x v="29"/>
    <x v="29"/>
    <x v="1"/>
    <s v="Específicos"/>
    <x v="16"/>
    <x v="685"/>
    <x v="102"/>
    <x v="179"/>
    <n v="2"/>
    <s v="Desarrollo Social"/>
    <n v="2"/>
    <s v="Seguridad Social"/>
    <n v="1"/>
    <x v="78"/>
    <x v="0"/>
    <x v="184"/>
    <n v="1"/>
    <s v="Gasto corriente"/>
    <x v="0"/>
    <x v="0"/>
    <x v="0"/>
    <x v="0"/>
    <x v="0"/>
    <x v="0"/>
    <x v="0"/>
    <m/>
    <x v="0"/>
    <x v="0"/>
    <m/>
    <n v="1085321000"/>
    <n v="0"/>
    <n v="0"/>
    <n v="1085321000"/>
    <n v="2580000000"/>
    <m/>
    <x v="1"/>
    <n v="2580000000"/>
  </r>
  <r>
    <x v="2"/>
    <x v="29"/>
    <x v="29"/>
    <x v="1"/>
    <s v="Específicos"/>
    <x v="19"/>
    <x v="686"/>
    <x v="465"/>
    <x v="1048"/>
    <n v="2"/>
    <s v="Desarrollo Social"/>
    <n v="2"/>
    <s v="Seguridad Social"/>
    <n v="3"/>
    <x v="14"/>
    <x v="1"/>
    <x v="185"/>
    <n v="1"/>
    <s v="Gasto corriente"/>
    <x v="0"/>
    <x v="1"/>
    <x v="0"/>
    <x v="0"/>
    <x v="0"/>
    <x v="0"/>
    <x v="0"/>
    <m/>
    <x v="0"/>
    <x v="0"/>
    <m/>
    <n v="11365217900"/>
    <n v="0"/>
    <n v="0"/>
    <n v="11365217900"/>
    <n v="13297304943"/>
    <m/>
    <x v="1"/>
    <n v="13297304943"/>
  </r>
  <r>
    <x v="2"/>
    <x v="29"/>
    <x v="29"/>
    <x v="1"/>
    <s v="Específicos"/>
    <x v="21"/>
    <x v="687"/>
    <x v="102"/>
    <x v="179"/>
    <n v="2"/>
    <s v="Desarrollo Social"/>
    <n v="2"/>
    <s v="Seguridad Social"/>
    <n v="1"/>
    <x v="78"/>
    <x v="0"/>
    <x v="184"/>
    <n v="1"/>
    <s v="Gasto corriente"/>
    <x v="0"/>
    <x v="0"/>
    <x v="0"/>
    <x v="0"/>
    <x v="0"/>
    <x v="0"/>
    <x v="0"/>
    <m/>
    <x v="0"/>
    <x v="0"/>
    <m/>
    <n v="1200000000"/>
    <n v="0"/>
    <n v="0"/>
    <n v="1200000000"/>
    <n v="2370000000"/>
    <m/>
    <x v="1"/>
    <n v="2370000000"/>
  </r>
  <r>
    <x v="2"/>
    <x v="29"/>
    <x v="29"/>
    <x v="11"/>
    <s v="Sujetos a Reglas de Operación"/>
    <x v="57"/>
    <x v="688"/>
    <x v="102"/>
    <x v="179"/>
    <n v="2"/>
    <s v="Desarrollo Social"/>
    <n v="1"/>
    <s v="Salud"/>
    <n v="2"/>
    <x v="30"/>
    <x v="11"/>
    <x v="187"/>
    <n v="1"/>
    <s v="Gasto corriente"/>
    <x v="0"/>
    <x v="0"/>
    <x v="1"/>
    <x v="0"/>
    <x v="1"/>
    <x v="0"/>
    <x v="0"/>
    <m/>
    <x v="0"/>
    <x v="0"/>
    <m/>
    <n v="7000000000"/>
    <n v="0"/>
    <n v="0"/>
    <n v="7000000000"/>
    <n v="8000000000"/>
    <m/>
    <x v="48"/>
    <n v="8350000000"/>
  </r>
  <r>
    <x v="2"/>
    <x v="29"/>
    <x v="29"/>
    <x v="11"/>
    <s v="Sujetos a Reglas de Operación"/>
    <x v="57"/>
    <x v="688"/>
    <x v="102"/>
    <x v="179"/>
    <n v="2"/>
    <s v="Desarrollo Social"/>
    <n v="1"/>
    <s v="Salud"/>
    <n v="2"/>
    <x v="30"/>
    <x v="11"/>
    <x v="187"/>
    <n v="2"/>
    <s v="Gasto de capital"/>
    <x v="0"/>
    <x v="0"/>
    <x v="1"/>
    <x v="0"/>
    <x v="1"/>
    <x v="0"/>
    <x v="0"/>
    <m/>
    <x v="0"/>
    <x v="0"/>
    <m/>
    <n v="300000000"/>
    <n v="0"/>
    <n v="0"/>
    <n v="300000000"/>
    <m/>
    <m/>
    <x v="1"/>
    <n v="0"/>
  </r>
  <r>
    <x v="2"/>
    <x v="29"/>
    <x v="29"/>
    <x v="17"/>
    <s v="Aportaciones a la seguridad social"/>
    <x v="2"/>
    <x v="689"/>
    <x v="466"/>
    <x v="1049"/>
    <n v="2"/>
    <s v="Desarrollo Social"/>
    <n v="2"/>
    <s v="Seguridad Social"/>
    <n v="3"/>
    <x v="14"/>
    <x v="1"/>
    <x v="185"/>
    <n v="1"/>
    <s v="Gasto corriente"/>
    <x v="0"/>
    <x v="1"/>
    <x v="0"/>
    <x v="0"/>
    <x v="0"/>
    <x v="0"/>
    <x v="0"/>
    <m/>
    <x v="0"/>
    <x v="0"/>
    <m/>
    <n v="45871000000"/>
    <n v="0"/>
    <n v="0"/>
    <n v="45871000000"/>
    <n v="49150000000"/>
    <m/>
    <x v="1"/>
    <n v="49150000000"/>
  </r>
  <r>
    <x v="2"/>
    <x v="29"/>
    <x v="29"/>
    <x v="17"/>
    <s v="Aportaciones a la seguridad social"/>
    <x v="3"/>
    <x v="690"/>
    <x v="466"/>
    <x v="1049"/>
    <n v="2"/>
    <s v="Desarrollo Social"/>
    <n v="2"/>
    <s v="Seguridad Social"/>
    <n v="3"/>
    <x v="14"/>
    <x v="1"/>
    <x v="185"/>
    <n v="1"/>
    <s v="Gasto corriente"/>
    <x v="0"/>
    <x v="1"/>
    <x v="0"/>
    <x v="0"/>
    <x v="0"/>
    <x v="0"/>
    <x v="0"/>
    <m/>
    <x v="0"/>
    <x v="0"/>
    <m/>
    <n v="1500000000"/>
    <n v="0"/>
    <n v="0"/>
    <n v="1500000000"/>
    <n v="1592000000"/>
    <m/>
    <x v="1"/>
    <n v="1592000000"/>
  </r>
  <r>
    <x v="2"/>
    <x v="29"/>
    <x v="29"/>
    <x v="17"/>
    <s v="Aportaciones a la seguridad social"/>
    <x v="4"/>
    <x v="691"/>
    <x v="466"/>
    <x v="1049"/>
    <n v="2"/>
    <s v="Desarrollo Social"/>
    <n v="2"/>
    <s v="Seguridad Social"/>
    <n v="3"/>
    <x v="14"/>
    <x v="1"/>
    <x v="185"/>
    <n v="1"/>
    <s v="Gasto corriente"/>
    <x v="0"/>
    <x v="1"/>
    <x v="0"/>
    <x v="0"/>
    <x v="0"/>
    <x v="0"/>
    <x v="0"/>
    <m/>
    <x v="0"/>
    <x v="0"/>
    <m/>
    <n v="808000000"/>
    <n v="0"/>
    <n v="0"/>
    <n v="808000000"/>
    <n v="910000000"/>
    <m/>
    <x v="1"/>
    <n v="910000000"/>
  </r>
  <r>
    <x v="2"/>
    <x v="29"/>
    <x v="29"/>
    <x v="17"/>
    <s v="Aportaciones a la seguridad social"/>
    <x v="6"/>
    <x v="692"/>
    <x v="467"/>
    <x v="1050"/>
    <n v="2"/>
    <s v="Desarrollo Social"/>
    <n v="1"/>
    <s v="Salud"/>
    <n v="2"/>
    <x v="30"/>
    <x v="1"/>
    <x v="185"/>
    <n v="1"/>
    <s v="Gasto corriente"/>
    <x v="0"/>
    <x v="0"/>
    <x v="0"/>
    <x v="0"/>
    <x v="0"/>
    <x v="0"/>
    <x v="0"/>
    <m/>
    <x v="0"/>
    <x v="0"/>
    <m/>
    <n v="2597436563"/>
    <n v="0"/>
    <n v="0"/>
    <n v="2597436563"/>
    <n v="3213632422"/>
    <m/>
    <x v="1"/>
    <n v="3213632422"/>
  </r>
  <r>
    <x v="2"/>
    <x v="29"/>
    <x v="29"/>
    <x v="17"/>
    <s v="Aportaciones a la seguridad social"/>
    <x v="7"/>
    <x v="693"/>
    <x v="465"/>
    <x v="1048"/>
    <n v="2"/>
    <s v="Desarrollo Social"/>
    <n v="2"/>
    <s v="Seguridad Social"/>
    <n v="3"/>
    <x v="14"/>
    <x v="1"/>
    <x v="185"/>
    <n v="1"/>
    <s v="Gasto corriente"/>
    <x v="0"/>
    <x v="1"/>
    <x v="0"/>
    <x v="0"/>
    <x v="0"/>
    <x v="0"/>
    <x v="0"/>
    <m/>
    <x v="0"/>
    <x v="0"/>
    <m/>
    <n v="9124195049"/>
    <n v="0"/>
    <n v="0"/>
    <n v="9124195049"/>
    <n v="11694217500"/>
    <m/>
    <x v="1"/>
    <n v="11694217500"/>
  </r>
  <r>
    <x v="2"/>
    <x v="29"/>
    <x v="29"/>
    <x v="7"/>
    <s v="Otros Subsidios"/>
    <x v="2"/>
    <x v="694"/>
    <x v="102"/>
    <x v="179"/>
    <n v="2"/>
    <s v="Desarrollo Social"/>
    <n v="1"/>
    <s v="Salud"/>
    <n v="2"/>
    <x v="30"/>
    <x v="1"/>
    <x v="185"/>
    <n v="1"/>
    <s v="Gasto corriente"/>
    <x v="0"/>
    <x v="0"/>
    <x v="0"/>
    <x v="0"/>
    <x v="1"/>
    <x v="0"/>
    <x v="0"/>
    <m/>
    <x v="0"/>
    <x v="0"/>
    <m/>
    <n v="0"/>
    <n v="300000000"/>
    <n v="0"/>
    <n v="300000000"/>
    <m/>
    <m/>
    <x v="1"/>
    <n v="0"/>
  </r>
  <r>
    <x v="2"/>
    <x v="30"/>
    <x v="30"/>
    <x v="6"/>
    <s v="Desastres Naturales"/>
    <x v="2"/>
    <x v="695"/>
    <x v="56"/>
    <x v="176"/>
    <n v="2"/>
    <s v="Desarrollo Social"/>
    <n v="3"/>
    <s v="Urbanización, Vivienda y Desarrollo Regional"/>
    <n v="3"/>
    <x v="70"/>
    <x v="15"/>
    <x v="188"/>
    <n v="2"/>
    <s v="Gasto de capital"/>
    <x v="0"/>
    <x v="0"/>
    <x v="0"/>
    <x v="0"/>
    <x v="0"/>
    <x v="0"/>
    <x v="0"/>
    <m/>
    <x v="0"/>
    <x v="1"/>
    <m/>
    <m/>
    <m/>
    <m/>
    <m/>
    <n v="5665000000"/>
    <m/>
    <x v="1"/>
    <n v="5665000000"/>
  </r>
  <r>
    <x v="2"/>
    <x v="30"/>
    <x v="30"/>
    <x v="6"/>
    <s v="Desastres Naturales"/>
    <x v="2"/>
    <x v="695"/>
    <x v="56"/>
    <x v="176"/>
    <n v="2"/>
    <s v="Desarrollo Social"/>
    <n v="4"/>
    <s v="Agua Potable y Alcantarillado"/>
    <n v="1"/>
    <x v="62"/>
    <x v="15"/>
    <x v="188"/>
    <n v="2"/>
    <s v="Gasto de capital"/>
    <x v="0"/>
    <x v="0"/>
    <x v="0"/>
    <x v="0"/>
    <x v="0"/>
    <x v="0"/>
    <x v="0"/>
    <m/>
    <x v="0"/>
    <x v="1"/>
    <m/>
    <n v="150000000"/>
    <n v="0"/>
    <n v="0"/>
    <n v="150000000"/>
    <n v="3305000000"/>
    <m/>
    <x v="1"/>
    <n v="3305000000"/>
  </r>
  <r>
    <x v="2"/>
    <x v="30"/>
    <x v="30"/>
    <x v="6"/>
    <s v="Desastres Naturales"/>
    <x v="2"/>
    <x v="695"/>
    <x v="56"/>
    <x v="176"/>
    <n v="2"/>
    <s v="Desarrollo Social"/>
    <n v="5"/>
    <s v="Asistencia Social"/>
    <n v="4"/>
    <x v="79"/>
    <x v="15"/>
    <x v="188"/>
    <n v="2"/>
    <s v="Gasto de capital"/>
    <x v="0"/>
    <x v="0"/>
    <x v="0"/>
    <x v="0"/>
    <x v="0"/>
    <x v="0"/>
    <x v="0"/>
    <m/>
    <x v="0"/>
    <x v="1"/>
    <m/>
    <m/>
    <m/>
    <m/>
    <m/>
    <n v="515000000"/>
    <m/>
    <x v="1"/>
    <n v="515000000"/>
  </r>
  <r>
    <x v="2"/>
    <x v="30"/>
    <x v="30"/>
    <x v="6"/>
    <s v="Desastres Naturales"/>
    <x v="2"/>
    <x v="695"/>
    <x v="56"/>
    <x v="176"/>
    <n v="3"/>
    <s v="Desarrollo Económico"/>
    <n v="1"/>
    <s v="Comunicaciones y Transportes"/>
    <n v="1"/>
    <x v="37"/>
    <x v="15"/>
    <x v="188"/>
    <n v="2"/>
    <s v="Gasto de capital"/>
    <x v="0"/>
    <x v="0"/>
    <x v="0"/>
    <x v="0"/>
    <x v="0"/>
    <x v="0"/>
    <x v="0"/>
    <m/>
    <x v="0"/>
    <x v="1"/>
    <m/>
    <m/>
    <m/>
    <m/>
    <m/>
    <n v="515000000"/>
    <m/>
    <x v="1"/>
    <n v="515000000"/>
  </r>
  <r>
    <x v="2"/>
    <x v="30"/>
    <x v="30"/>
    <x v="6"/>
    <s v="Desastres Naturales"/>
    <x v="3"/>
    <x v="696"/>
    <x v="56"/>
    <x v="176"/>
    <n v="2"/>
    <s v="Desarrollo Social"/>
    <n v="4"/>
    <s v="Agua Potable y Alcantarillado"/>
    <n v="1"/>
    <x v="62"/>
    <x v="15"/>
    <x v="188"/>
    <n v="2"/>
    <s v="Gasto de capital"/>
    <x v="0"/>
    <x v="0"/>
    <x v="0"/>
    <x v="0"/>
    <x v="0"/>
    <x v="0"/>
    <x v="0"/>
    <m/>
    <x v="0"/>
    <x v="1"/>
    <m/>
    <n v="300000000"/>
    <n v="0"/>
    <n v="0"/>
    <n v="300000000"/>
    <n v="300000000"/>
    <m/>
    <x v="1"/>
    <n v="300000000"/>
  </r>
  <r>
    <x v="2"/>
    <x v="30"/>
    <x v="30"/>
    <x v="1"/>
    <s v="Específicos"/>
    <x v="2"/>
    <x v="697"/>
    <x v="56"/>
    <x v="176"/>
    <n v="2"/>
    <s v="Desarrollo Social"/>
    <n v="0"/>
    <s v="Educación"/>
    <n v="1"/>
    <x v="31"/>
    <x v="1"/>
    <x v="189"/>
    <n v="1"/>
    <s v="Gasto corriente"/>
    <x v="0"/>
    <x v="1"/>
    <x v="0"/>
    <x v="0"/>
    <x v="0"/>
    <x v="0"/>
    <x v="0"/>
    <m/>
    <x v="0"/>
    <x v="0"/>
    <m/>
    <n v="891101044"/>
    <n v="0"/>
    <n v="742744"/>
    <n v="891843788"/>
    <m/>
    <m/>
    <x v="1"/>
    <n v="0"/>
  </r>
  <r>
    <x v="2"/>
    <x v="30"/>
    <x v="30"/>
    <x v="1"/>
    <s v="Específicos"/>
    <x v="2"/>
    <x v="697"/>
    <x v="56"/>
    <x v="176"/>
    <n v="2"/>
    <s v="Desarrollo Social"/>
    <n v="0"/>
    <s v="Educación"/>
    <n v="1"/>
    <x v="31"/>
    <x v="1"/>
    <x v="189"/>
    <n v="1"/>
    <s v="Gasto corriente"/>
    <x v="0"/>
    <x v="0"/>
    <x v="0"/>
    <x v="0"/>
    <x v="0"/>
    <x v="0"/>
    <x v="0"/>
    <m/>
    <x v="0"/>
    <x v="0"/>
    <m/>
    <n v="9022631858"/>
    <n v="0"/>
    <n v="-742744"/>
    <n v="9021889114"/>
    <m/>
    <m/>
    <x v="1"/>
    <n v="0"/>
  </r>
  <r>
    <x v="2"/>
    <x v="30"/>
    <x v="30"/>
    <x v="1"/>
    <s v="Específicos"/>
    <x v="2"/>
    <x v="697"/>
    <x v="56"/>
    <x v="176"/>
    <n v="2"/>
    <s v="Desarrollo Social"/>
    <n v="1"/>
    <s v="Salud"/>
    <n v="4"/>
    <x v="57"/>
    <x v="1"/>
    <x v="189"/>
    <n v="1"/>
    <s v="Gasto corriente"/>
    <x v="0"/>
    <x v="0"/>
    <x v="0"/>
    <x v="0"/>
    <x v="0"/>
    <x v="0"/>
    <x v="0"/>
    <m/>
    <x v="0"/>
    <x v="0"/>
    <m/>
    <n v="500000000"/>
    <n v="0"/>
    <n v="0"/>
    <n v="500000000"/>
    <m/>
    <m/>
    <x v="1"/>
    <n v="0"/>
  </r>
  <r>
    <x v="2"/>
    <x v="30"/>
    <x v="30"/>
    <x v="1"/>
    <s v="Específicos"/>
    <x v="2"/>
    <x v="697"/>
    <x v="56"/>
    <x v="176"/>
    <n v="2"/>
    <s v="Desarrollo Social"/>
    <n v="2"/>
    <s v="Seguridad Social"/>
    <n v="3"/>
    <x v="14"/>
    <x v="1"/>
    <x v="189"/>
    <n v="1"/>
    <s v="Gasto corriente"/>
    <x v="0"/>
    <x v="1"/>
    <x v="0"/>
    <x v="0"/>
    <x v="0"/>
    <x v="0"/>
    <x v="0"/>
    <m/>
    <x v="0"/>
    <x v="0"/>
    <m/>
    <m/>
    <m/>
    <m/>
    <m/>
    <n v="800000000"/>
    <m/>
    <x v="1"/>
    <n v="800000000"/>
  </r>
  <r>
    <x v="2"/>
    <x v="30"/>
    <x v="30"/>
    <x v="1"/>
    <s v="Específicos"/>
    <x v="2"/>
    <x v="697"/>
    <x v="56"/>
    <x v="176"/>
    <n v="2"/>
    <s v="Desarrollo Social"/>
    <n v="2"/>
    <s v="Seguridad Social"/>
    <n v="3"/>
    <x v="14"/>
    <x v="1"/>
    <x v="189"/>
    <n v="1"/>
    <s v="Gasto corriente"/>
    <x v="0"/>
    <x v="0"/>
    <x v="0"/>
    <x v="0"/>
    <x v="0"/>
    <x v="0"/>
    <x v="0"/>
    <m/>
    <x v="0"/>
    <x v="0"/>
    <m/>
    <n v="3917278672"/>
    <n v="0"/>
    <n v="0"/>
    <n v="3917278672"/>
    <n v="6139169923"/>
    <m/>
    <x v="1"/>
    <n v="6139169923"/>
  </r>
  <r>
    <x v="2"/>
    <x v="30"/>
    <x v="30"/>
    <x v="1"/>
    <s v="Específicos"/>
    <x v="4"/>
    <x v="698"/>
    <x v="56"/>
    <x v="176"/>
    <n v="1"/>
    <s v="Gobierno"/>
    <n v="6"/>
    <s v="Orden, Seguridad y Justicia"/>
    <n v="3"/>
    <x v="27"/>
    <x v="9"/>
    <x v="190"/>
    <n v="2"/>
    <s v="Gasto de capital"/>
    <x v="0"/>
    <x v="0"/>
    <x v="0"/>
    <x v="0"/>
    <x v="0"/>
    <x v="0"/>
    <x v="0"/>
    <m/>
    <x v="0"/>
    <x v="0"/>
    <m/>
    <n v="950000000"/>
    <n v="0"/>
    <n v="0"/>
    <n v="950000000"/>
    <n v="850000000"/>
    <m/>
    <x v="1"/>
    <n v="850000000"/>
  </r>
  <r>
    <x v="2"/>
    <x v="30"/>
    <x v="30"/>
    <x v="1"/>
    <s v="Específicos"/>
    <x v="5"/>
    <x v="699"/>
    <x v="56"/>
    <x v="176"/>
    <n v="2"/>
    <s v="Desarrollo Social"/>
    <n v="2"/>
    <s v="Seguridad Social"/>
    <n v="3"/>
    <x v="14"/>
    <x v="1"/>
    <x v="189"/>
    <n v="1"/>
    <s v="Gasto corriente"/>
    <x v="0"/>
    <x v="0"/>
    <x v="0"/>
    <x v="0"/>
    <x v="0"/>
    <x v="0"/>
    <x v="0"/>
    <m/>
    <x v="0"/>
    <x v="0"/>
    <m/>
    <n v="2500000000"/>
    <n v="0"/>
    <n v="0"/>
    <n v="2500000000"/>
    <m/>
    <m/>
    <x v="1"/>
    <n v="0"/>
  </r>
  <r>
    <x v="2"/>
    <x v="30"/>
    <x v="30"/>
    <x v="1"/>
    <s v="Específicos"/>
    <x v="6"/>
    <x v="700"/>
    <x v="56"/>
    <x v="176"/>
    <n v="1"/>
    <s v="Gobierno"/>
    <n v="8"/>
    <s v="Administración Pública"/>
    <n v="3"/>
    <x v="6"/>
    <x v="9"/>
    <x v="190"/>
    <n v="2"/>
    <s v="Gasto de capital"/>
    <x v="0"/>
    <x v="0"/>
    <x v="0"/>
    <x v="0"/>
    <x v="0"/>
    <x v="0"/>
    <x v="0"/>
    <m/>
    <x v="0"/>
    <x v="0"/>
    <m/>
    <n v="600000000"/>
    <n v="0"/>
    <n v="0"/>
    <n v="600000000"/>
    <n v="613800000"/>
    <m/>
    <x v="1"/>
    <n v="613800000"/>
  </r>
  <r>
    <x v="2"/>
    <x v="30"/>
    <x v="30"/>
    <x v="1"/>
    <s v="Específicos"/>
    <x v="8"/>
    <x v="701"/>
    <x v="56"/>
    <x v="176"/>
    <n v="1"/>
    <s v="Gobierno"/>
    <n v="3"/>
    <s v="Hacienda"/>
    <n v="6"/>
    <x v="17"/>
    <x v="15"/>
    <x v="188"/>
    <n v="1"/>
    <s v="Gasto corriente"/>
    <x v="0"/>
    <x v="0"/>
    <x v="0"/>
    <x v="0"/>
    <x v="0"/>
    <x v="0"/>
    <x v="0"/>
    <m/>
    <x v="0"/>
    <x v="0"/>
    <m/>
    <n v="452000000"/>
    <n v="0"/>
    <n v="0"/>
    <n v="452000000"/>
    <n v="452000000"/>
    <m/>
    <x v="1"/>
    <n v="452000000"/>
  </r>
  <r>
    <x v="2"/>
    <x v="30"/>
    <x v="30"/>
    <x v="1"/>
    <s v="Específicos"/>
    <x v="11"/>
    <x v="702"/>
    <x v="56"/>
    <x v="176"/>
    <n v="3"/>
    <s v="Desarrollo Económico"/>
    <n v="7"/>
    <s v="Ciencia y Tecnología"/>
    <n v="4"/>
    <x v="76"/>
    <x v="5"/>
    <x v="191"/>
    <n v="2"/>
    <s v="Gasto de capital"/>
    <x v="0"/>
    <x v="0"/>
    <x v="0"/>
    <x v="0"/>
    <x v="0"/>
    <x v="0"/>
    <x v="0"/>
    <m/>
    <x v="0"/>
    <x v="0"/>
    <m/>
    <n v="3027000000"/>
    <n v="189200000"/>
    <n v="0"/>
    <n v="3216200000"/>
    <n v="4084300000"/>
    <m/>
    <x v="1"/>
    <n v="4084300000"/>
  </r>
  <r>
    <x v="2"/>
    <x v="30"/>
    <x v="30"/>
    <x v="1"/>
    <s v="Específicos"/>
    <x v="12"/>
    <x v="703"/>
    <x v="56"/>
    <x v="176"/>
    <n v="1"/>
    <s v="Gobierno"/>
    <n v="8"/>
    <s v="Administración Pública"/>
    <n v="3"/>
    <x v="6"/>
    <x v="5"/>
    <x v="191"/>
    <n v="1"/>
    <s v="Gasto corriente"/>
    <x v="0"/>
    <x v="0"/>
    <x v="0"/>
    <x v="0"/>
    <x v="0"/>
    <x v="0"/>
    <x v="0"/>
    <m/>
    <x v="0"/>
    <x v="0"/>
    <m/>
    <n v="24200000"/>
    <n v="1400000"/>
    <n v="0"/>
    <n v="25600000"/>
    <n v="25800000"/>
    <m/>
    <x v="123"/>
    <n v="208700000"/>
  </r>
  <r>
    <x v="2"/>
    <x v="30"/>
    <x v="30"/>
    <x v="1"/>
    <s v="Específicos"/>
    <x v="152"/>
    <x v="704"/>
    <x v="56"/>
    <x v="176"/>
    <n v="3"/>
    <s v="Desarrollo Económico"/>
    <n v="0"/>
    <s v="Energía"/>
    <n v="2"/>
    <x v="68"/>
    <x v="5"/>
    <x v="191"/>
    <n v="2"/>
    <s v="Gasto de capital"/>
    <x v="0"/>
    <x v="0"/>
    <x v="0"/>
    <x v="0"/>
    <x v="0"/>
    <x v="0"/>
    <x v="0"/>
    <m/>
    <x v="0"/>
    <x v="0"/>
    <m/>
    <n v="2506200000"/>
    <n v="552600000"/>
    <n v="0"/>
    <n v="3058800000"/>
    <n v="2351200000"/>
    <m/>
    <x v="1"/>
    <n v="2351200000"/>
  </r>
  <r>
    <x v="2"/>
    <x v="30"/>
    <x v="30"/>
    <x v="1"/>
    <s v="Específicos"/>
    <x v="129"/>
    <x v="705"/>
    <x v="56"/>
    <x v="176"/>
    <n v="1"/>
    <s v="Gobierno"/>
    <n v="8"/>
    <s v="Administración Pública"/>
    <n v="4"/>
    <x v="5"/>
    <x v="22"/>
    <x v="192"/>
    <n v="1"/>
    <s v="Gasto corriente"/>
    <x v="0"/>
    <x v="1"/>
    <x v="0"/>
    <x v="0"/>
    <x v="0"/>
    <x v="0"/>
    <x v="0"/>
    <m/>
    <x v="0"/>
    <x v="0"/>
    <m/>
    <n v="1122800"/>
    <n v="0"/>
    <n v="0"/>
    <n v="1122800"/>
    <m/>
    <m/>
    <x v="1"/>
    <n v="0"/>
  </r>
  <r>
    <x v="2"/>
    <x v="30"/>
    <x v="30"/>
    <x v="1"/>
    <s v="Específicos"/>
    <x v="129"/>
    <x v="705"/>
    <x v="56"/>
    <x v="176"/>
    <n v="1"/>
    <s v="Gobierno"/>
    <n v="8"/>
    <s v="Administración Pública"/>
    <n v="4"/>
    <x v="5"/>
    <x v="22"/>
    <x v="192"/>
    <n v="1"/>
    <s v="Gasto corriente"/>
    <x v="0"/>
    <x v="0"/>
    <x v="0"/>
    <x v="0"/>
    <x v="0"/>
    <x v="0"/>
    <x v="0"/>
    <m/>
    <x v="0"/>
    <x v="0"/>
    <m/>
    <n v="27496162"/>
    <n v="0"/>
    <n v="0"/>
    <n v="27496162"/>
    <m/>
    <m/>
    <x v="1"/>
    <n v="0"/>
  </r>
  <r>
    <x v="2"/>
    <x v="30"/>
    <x v="30"/>
    <x v="1"/>
    <s v="Específicos"/>
    <x v="153"/>
    <x v="706"/>
    <x v="56"/>
    <x v="176"/>
    <n v="1"/>
    <s v="Gobierno"/>
    <n v="4"/>
    <s v="Gobernación"/>
    <n v="2"/>
    <x v="8"/>
    <x v="22"/>
    <x v="192"/>
    <n v="1"/>
    <s v="Gasto corriente"/>
    <x v="0"/>
    <x v="1"/>
    <x v="0"/>
    <x v="0"/>
    <x v="0"/>
    <x v="0"/>
    <x v="0"/>
    <m/>
    <x v="0"/>
    <x v="0"/>
    <m/>
    <n v="8111400"/>
    <n v="0"/>
    <n v="0"/>
    <n v="8111400"/>
    <m/>
    <m/>
    <x v="1"/>
    <n v="0"/>
  </r>
  <r>
    <x v="2"/>
    <x v="30"/>
    <x v="30"/>
    <x v="1"/>
    <s v="Específicos"/>
    <x v="153"/>
    <x v="706"/>
    <x v="56"/>
    <x v="176"/>
    <n v="1"/>
    <s v="Gobierno"/>
    <n v="4"/>
    <s v="Gobernación"/>
    <n v="2"/>
    <x v="8"/>
    <x v="22"/>
    <x v="192"/>
    <n v="1"/>
    <s v="Gasto corriente"/>
    <x v="0"/>
    <x v="0"/>
    <x v="0"/>
    <x v="0"/>
    <x v="0"/>
    <x v="0"/>
    <x v="0"/>
    <m/>
    <x v="0"/>
    <x v="0"/>
    <m/>
    <n v="196655985"/>
    <n v="0"/>
    <n v="0"/>
    <n v="196655985"/>
    <m/>
    <m/>
    <x v="1"/>
    <n v="0"/>
  </r>
  <r>
    <x v="2"/>
    <x v="30"/>
    <x v="30"/>
    <x v="1"/>
    <s v="Específicos"/>
    <x v="154"/>
    <x v="707"/>
    <x v="56"/>
    <x v="176"/>
    <n v="1"/>
    <s v="Gobierno"/>
    <n v="2"/>
    <s v="Relaciones Exteriores"/>
    <n v="1"/>
    <x v="13"/>
    <x v="22"/>
    <x v="192"/>
    <n v="1"/>
    <s v="Gasto corriente"/>
    <x v="0"/>
    <x v="1"/>
    <x v="0"/>
    <x v="0"/>
    <x v="0"/>
    <x v="0"/>
    <x v="0"/>
    <m/>
    <x v="0"/>
    <x v="0"/>
    <m/>
    <n v="1753100"/>
    <n v="0"/>
    <n v="0"/>
    <n v="1753100"/>
    <m/>
    <m/>
    <x v="1"/>
    <n v="0"/>
  </r>
  <r>
    <x v="2"/>
    <x v="30"/>
    <x v="30"/>
    <x v="1"/>
    <s v="Específicos"/>
    <x v="154"/>
    <x v="707"/>
    <x v="56"/>
    <x v="176"/>
    <n v="1"/>
    <s v="Gobierno"/>
    <n v="2"/>
    <s v="Relaciones Exteriores"/>
    <n v="1"/>
    <x v="13"/>
    <x v="22"/>
    <x v="192"/>
    <n v="1"/>
    <s v="Gasto corriente"/>
    <x v="0"/>
    <x v="0"/>
    <x v="0"/>
    <x v="0"/>
    <x v="0"/>
    <x v="0"/>
    <x v="0"/>
    <m/>
    <x v="0"/>
    <x v="0"/>
    <m/>
    <n v="35263880"/>
    <n v="0"/>
    <n v="0"/>
    <n v="35263880"/>
    <m/>
    <m/>
    <x v="1"/>
    <n v="0"/>
  </r>
  <r>
    <x v="2"/>
    <x v="30"/>
    <x v="30"/>
    <x v="1"/>
    <s v="Específicos"/>
    <x v="155"/>
    <x v="708"/>
    <x v="56"/>
    <x v="176"/>
    <n v="1"/>
    <s v="Gobierno"/>
    <n v="3"/>
    <s v="Hacienda"/>
    <n v="3"/>
    <x v="22"/>
    <x v="22"/>
    <x v="192"/>
    <n v="1"/>
    <s v="Gasto corriente"/>
    <x v="0"/>
    <x v="1"/>
    <x v="0"/>
    <x v="0"/>
    <x v="0"/>
    <x v="0"/>
    <x v="0"/>
    <m/>
    <x v="0"/>
    <x v="0"/>
    <m/>
    <n v="23205200"/>
    <n v="0"/>
    <n v="0"/>
    <n v="23205200"/>
    <m/>
    <m/>
    <x v="1"/>
    <n v="0"/>
  </r>
  <r>
    <x v="2"/>
    <x v="30"/>
    <x v="30"/>
    <x v="1"/>
    <s v="Específicos"/>
    <x v="155"/>
    <x v="708"/>
    <x v="56"/>
    <x v="176"/>
    <n v="1"/>
    <s v="Gobierno"/>
    <n v="3"/>
    <s v="Hacienda"/>
    <n v="3"/>
    <x v="22"/>
    <x v="22"/>
    <x v="192"/>
    <n v="1"/>
    <s v="Gasto corriente"/>
    <x v="0"/>
    <x v="0"/>
    <x v="0"/>
    <x v="0"/>
    <x v="0"/>
    <x v="0"/>
    <x v="0"/>
    <m/>
    <x v="0"/>
    <x v="0"/>
    <m/>
    <n v="562101409"/>
    <n v="0"/>
    <n v="0"/>
    <n v="562101409"/>
    <m/>
    <m/>
    <x v="1"/>
    <n v="0"/>
  </r>
  <r>
    <x v="2"/>
    <x v="30"/>
    <x v="30"/>
    <x v="1"/>
    <s v="Específicos"/>
    <x v="156"/>
    <x v="709"/>
    <x v="56"/>
    <x v="176"/>
    <n v="2"/>
    <s v="Desarrollo Social"/>
    <n v="5"/>
    <s v="Asistencia Social"/>
    <n v="2"/>
    <x v="21"/>
    <x v="22"/>
    <x v="192"/>
    <n v="1"/>
    <s v="Gasto corriente"/>
    <x v="0"/>
    <x v="1"/>
    <x v="0"/>
    <x v="0"/>
    <x v="0"/>
    <x v="0"/>
    <x v="0"/>
    <m/>
    <x v="0"/>
    <x v="0"/>
    <m/>
    <n v="2069700"/>
    <n v="0"/>
    <n v="0"/>
    <n v="2069700"/>
    <m/>
    <m/>
    <x v="1"/>
    <n v="0"/>
  </r>
  <r>
    <x v="2"/>
    <x v="30"/>
    <x v="30"/>
    <x v="1"/>
    <s v="Específicos"/>
    <x v="156"/>
    <x v="709"/>
    <x v="56"/>
    <x v="176"/>
    <n v="2"/>
    <s v="Desarrollo Social"/>
    <n v="5"/>
    <s v="Asistencia Social"/>
    <n v="2"/>
    <x v="21"/>
    <x v="22"/>
    <x v="192"/>
    <n v="1"/>
    <s v="Gasto corriente"/>
    <x v="0"/>
    <x v="0"/>
    <x v="0"/>
    <x v="0"/>
    <x v="0"/>
    <x v="0"/>
    <x v="0"/>
    <m/>
    <x v="0"/>
    <x v="0"/>
    <m/>
    <n v="78350901"/>
    <n v="0"/>
    <n v="0"/>
    <n v="78350901"/>
    <m/>
    <m/>
    <x v="1"/>
    <n v="0"/>
  </r>
  <r>
    <x v="2"/>
    <x v="30"/>
    <x v="30"/>
    <x v="1"/>
    <s v="Específicos"/>
    <x v="81"/>
    <x v="710"/>
    <x v="56"/>
    <x v="176"/>
    <n v="1"/>
    <s v="Gobierno"/>
    <n v="1"/>
    <s v="Seguridad Nacional"/>
    <n v="1"/>
    <x v="26"/>
    <x v="22"/>
    <x v="192"/>
    <n v="1"/>
    <s v="Gasto corriente"/>
    <x v="0"/>
    <x v="1"/>
    <x v="0"/>
    <x v="0"/>
    <x v="0"/>
    <x v="0"/>
    <x v="0"/>
    <m/>
    <x v="0"/>
    <x v="0"/>
    <m/>
    <n v="299300"/>
    <n v="0"/>
    <n v="0"/>
    <n v="299300"/>
    <m/>
    <m/>
    <x v="1"/>
    <n v="0"/>
  </r>
  <r>
    <x v="2"/>
    <x v="30"/>
    <x v="30"/>
    <x v="1"/>
    <s v="Específicos"/>
    <x v="81"/>
    <x v="710"/>
    <x v="56"/>
    <x v="176"/>
    <n v="1"/>
    <s v="Gobierno"/>
    <n v="1"/>
    <s v="Seguridad Nacional"/>
    <n v="1"/>
    <x v="26"/>
    <x v="22"/>
    <x v="192"/>
    <n v="1"/>
    <s v="Gasto corriente"/>
    <x v="0"/>
    <x v="0"/>
    <x v="0"/>
    <x v="0"/>
    <x v="0"/>
    <x v="0"/>
    <x v="0"/>
    <m/>
    <x v="0"/>
    <x v="0"/>
    <m/>
    <n v="862909867"/>
    <n v="0"/>
    <n v="0"/>
    <n v="862909867"/>
    <m/>
    <m/>
    <x v="1"/>
    <n v="0"/>
  </r>
  <r>
    <x v="2"/>
    <x v="30"/>
    <x v="30"/>
    <x v="1"/>
    <s v="Específicos"/>
    <x v="157"/>
    <x v="711"/>
    <x v="56"/>
    <x v="176"/>
    <n v="3"/>
    <s v="Desarrollo Económico"/>
    <n v="2"/>
    <s v="Desarrollo Agropecuario y Forestal"/>
    <n v="1"/>
    <x v="35"/>
    <x v="22"/>
    <x v="192"/>
    <n v="1"/>
    <s v="Gasto corriente"/>
    <x v="0"/>
    <x v="1"/>
    <x v="0"/>
    <x v="0"/>
    <x v="0"/>
    <x v="0"/>
    <x v="0"/>
    <m/>
    <x v="0"/>
    <x v="0"/>
    <m/>
    <n v="15727000"/>
    <n v="0"/>
    <n v="0"/>
    <n v="15727000"/>
    <m/>
    <m/>
    <x v="1"/>
    <n v="0"/>
  </r>
  <r>
    <x v="2"/>
    <x v="30"/>
    <x v="30"/>
    <x v="1"/>
    <s v="Específicos"/>
    <x v="157"/>
    <x v="711"/>
    <x v="56"/>
    <x v="176"/>
    <n v="3"/>
    <s v="Desarrollo Económico"/>
    <n v="2"/>
    <s v="Desarrollo Agropecuario y Forestal"/>
    <n v="1"/>
    <x v="35"/>
    <x v="22"/>
    <x v="192"/>
    <n v="1"/>
    <s v="Gasto corriente"/>
    <x v="0"/>
    <x v="0"/>
    <x v="0"/>
    <x v="0"/>
    <x v="0"/>
    <x v="0"/>
    <x v="0"/>
    <m/>
    <x v="0"/>
    <x v="0"/>
    <m/>
    <n v="468563135"/>
    <n v="0"/>
    <n v="0"/>
    <n v="468563135"/>
    <m/>
    <m/>
    <x v="1"/>
    <n v="0"/>
  </r>
  <r>
    <x v="2"/>
    <x v="30"/>
    <x v="30"/>
    <x v="1"/>
    <s v="Específicos"/>
    <x v="158"/>
    <x v="712"/>
    <x v="56"/>
    <x v="176"/>
    <n v="3"/>
    <s v="Desarrollo Económico"/>
    <n v="1"/>
    <s v="Comunicaciones y Transportes"/>
    <n v="6"/>
    <x v="14"/>
    <x v="22"/>
    <x v="192"/>
    <n v="1"/>
    <s v="Gasto corriente"/>
    <x v="0"/>
    <x v="1"/>
    <x v="0"/>
    <x v="0"/>
    <x v="0"/>
    <x v="0"/>
    <x v="0"/>
    <m/>
    <x v="0"/>
    <x v="0"/>
    <m/>
    <n v="14387300"/>
    <n v="0"/>
    <n v="0"/>
    <n v="14387300"/>
    <m/>
    <m/>
    <x v="1"/>
    <n v="0"/>
  </r>
  <r>
    <x v="2"/>
    <x v="30"/>
    <x v="30"/>
    <x v="1"/>
    <s v="Específicos"/>
    <x v="158"/>
    <x v="712"/>
    <x v="56"/>
    <x v="176"/>
    <n v="3"/>
    <s v="Desarrollo Económico"/>
    <n v="1"/>
    <s v="Comunicaciones y Transportes"/>
    <n v="6"/>
    <x v="14"/>
    <x v="22"/>
    <x v="192"/>
    <n v="1"/>
    <s v="Gasto corriente"/>
    <x v="0"/>
    <x v="0"/>
    <x v="0"/>
    <x v="0"/>
    <x v="0"/>
    <x v="0"/>
    <x v="0"/>
    <m/>
    <x v="0"/>
    <x v="0"/>
    <m/>
    <n v="255517168"/>
    <n v="0"/>
    <n v="0"/>
    <n v="255517168"/>
    <m/>
    <m/>
    <x v="1"/>
    <n v="0"/>
  </r>
  <r>
    <x v="2"/>
    <x v="30"/>
    <x v="30"/>
    <x v="1"/>
    <s v="Específicos"/>
    <x v="159"/>
    <x v="713"/>
    <x v="56"/>
    <x v="176"/>
    <n v="3"/>
    <s v="Desarrollo Económico"/>
    <n v="4"/>
    <s v="Temas Empresariales"/>
    <n v="1"/>
    <x v="44"/>
    <x v="22"/>
    <x v="192"/>
    <n v="1"/>
    <s v="Gasto corriente"/>
    <x v="0"/>
    <x v="1"/>
    <x v="0"/>
    <x v="0"/>
    <x v="0"/>
    <x v="0"/>
    <x v="0"/>
    <m/>
    <x v="0"/>
    <x v="0"/>
    <m/>
    <n v="5624600"/>
    <n v="0"/>
    <n v="0"/>
    <n v="5624600"/>
    <m/>
    <m/>
    <x v="1"/>
    <n v="0"/>
  </r>
  <r>
    <x v="2"/>
    <x v="30"/>
    <x v="30"/>
    <x v="1"/>
    <s v="Específicos"/>
    <x v="159"/>
    <x v="713"/>
    <x v="56"/>
    <x v="176"/>
    <n v="3"/>
    <s v="Desarrollo Económico"/>
    <n v="4"/>
    <s v="Temas Empresariales"/>
    <n v="1"/>
    <x v="44"/>
    <x v="22"/>
    <x v="192"/>
    <n v="1"/>
    <s v="Gasto corriente"/>
    <x v="0"/>
    <x v="0"/>
    <x v="0"/>
    <x v="0"/>
    <x v="0"/>
    <x v="0"/>
    <x v="0"/>
    <m/>
    <x v="0"/>
    <x v="0"/>
    <m/>
    <n v="112172622"/>
    <n v="0"/>
    <n v="0"/>
    <n v="112172622"/>
    <m/>
    <m/>
    <x v="1"/>
    <n v="0"/>
  </r>
  <r>
    <x v="2"/>
    <x v="30"/>
    <x v="30"/>
    <x v="1"/>
    <s v="Específicos"/>
    <x v="116"/>
    <x v="714"/>
    <x v="56"/>
    <x v="176"/>
    <n v="2"/>
    <s v="Desarrollo Social"/>
    <n v="0"/>
    <s v="Educación"/>
    <n v="9"/>
    <x v="47"/>
    <x v="22"/>
    <x v="192"/>
    <n v="1"/>
    <s v="Gasto corriente"/>
    <x v="0"/>
    <x v="1"/>
    <x v="0"/>
    <x v="0"/>
    <x v="0"/>
    <x v="0"/>
    <x v="0"/>
    <m/>
    <x v="0"/>
    <x v="0"/>
    <m/>
    <n v="303522900"/>
    <n v="0"/>
    <n v="0"/>
    <n v="303522900"/>
    <m/>
    <m/>
    <x v="1"/>
    <n v="0"/>
  </r>
  <r>
    <x v="2"/>
    <x v="30"/>
    <x v="30"/>
    <x v="1"/>
    <s v="Específicos"/>
    <x v="116"/>
    <x v="714"/>
    <x v="56"/>
    <x v="176"/>
    <n v="2"/>
    <s v="Desarrollo Social"/>
    <n v="0"/>
    <s v="Educación"/>
    <n v="9"/>
    <x v="47"/>
    <x v="22"/>
    <x v="192"/>
    <n v="1"/>
    <s v="Gasto corriente"/>
    <x v="0"/>
    <x v="0"/>
    <x v="0"/>
    <x v="0"/>
    <x v="0"/>
    <x v="0"/>
    <x v="0"/>
    <m/>
    <x v="0"/>
    <x v="0"/>
    <m/>
    <n v="3352767896"/>
    <n v="0"/>
    <n v="0"/>
    <n v="3352767896"/>
    <m/>
    <m/>
    <x v="1"/>
    <n v="0"/>
  </r>
  <r>
    <x v="2"/>
    <x v="30"/>
    <x v="30"/>
    <x v="1"/>
    <s v="Específicos"/>
    <x v="117"/>
    <x v="715"/>
    <x v="56"/>
    <x v="176"/>
    <n v="2"/>
    <s v="Desarrollo Social"/>
    <n v="1"/>
    <s v="Salud"/>
    <n v="4"/>
    <x v="57"/>
    <x v="22"/>
    <x v="192"/>
    <n v="1"/>
    <s v="Gasto corriente"/>
    <x v="0"/>
    <x v="1"/>
    <x v="0"/>
    <x v="0"/>
    <x v="0"/>
    <x v="0"/>
    <x v="0"/>
    <m/>
    <x v="0"/>
    <x v="0"/>
    <m/>
    <n v="41023800"/>
    <n v="0"/>
    <n v="0"/>
    <n v="41023800"/>
    <m/>
    <m/>
    <x v="1"/>
    <n v="0"/>
  </r>
  <r>
    <x v="2"/>
    <x v="30"/>
    <x v="30"/>
    <x v="1"/>
    <s v="Específicos"/>
    <x v="117"/>
    <x v="715"/>
    <x v="56"/>
    <x v="176"/>
    <n v="2"/>
    <s v="Desarrollo Social"/>
    <n v="1"/>
    <s v="Salud"/>
    <n v="4"/>
    <x v="57"/>
    <x v="22"/>
    <x v="192"/>
    <n v="1"/>
    <s v="Gasto corriente"/>
    <x v="0"/>
    <x v="0"/>
    <x v="0"/>
    <x v="0"/>
    <x v="0"/>
    <x v="0"/>
    <x v="0"/>
    <m/>
    <x v="0"/>
    <x v="0"/>
    <m/>
    <n v="732512658"/>
    <n v="0"/>
    <n v="0"/>
    <n v="732512658"/>
    <m/>
    <m/>
    <x v="1"/>
    <n v="0"/>
  </r>
  <r>
    <x v="2"/>
    <x v="30"/>
    <x v="30"/>
    <x v="1"/>
    <s v="Específicos"/>
    <x v="160"/>
    <x v="716"/>
    <x v="56"/>
    <x v="176"/>
    <n v="1"/>
    <s v="Gobierno"/>
    <n v="1"/>
    <s v="Seguridad Nacional"/>
    <n v="2"/>
    <x v="58"/>
    <x v="22"/>
    <x v="192"/>
    <n v="1"/>
    <s v="Gasto corriente"/>
    <x v="0"/>
    <x v="1"/>
    <x v="0"/>
    <x v="0"/>
    <x v="0"/>
    <x v="0"/>
    <x v="0"/>
    <m/>
    <x v="0"/>
    <x v="0"/>
    <m/>
    <n v="588500"/>
    <n v="0"/>
    <n v="0"/>
    <n v="588500"/>
    <m/>
    <m/>
    <x v="1"/>
    <n v="0"/>
  </r>
  <r>
    <x v="2"/>
    <x v="30"/>
    <x v="30"/>
    <x v="1"/>
    <s v="Específicos"/>
    <x v="160"/>
    <x v="716"/>
    <x v="56"/>
    <x v="176"/>
    <n v="1"/>
    <s v="Gobierno"/>
    <n v="1"/>
    <s v="Seguridad Nacional"/>
    <n v="2"/>
    <x v="58"/>
    <x v="22"/>
    <x v="192"/>
    <n v="1"/>
    <s v="Gasto corriente"/>
    <x v="0"/>
    <x v="0"/>
    <x v="0"/>
    <x v="0"/>
    <x v="0"/>
    <x v="0"/>
    <x v="0"/>
    <m/>
    <x v="0"/>
    <x v="0"/>
    <m/>
    <n v="407346794"/>
    <n v="0"/>
    <n v="0"/>
    <n v="407346794"/>
    <m/>
    <m/>
    <x v="1"/>
    <n v="0"/>
  </r>
  <r>
    <x v="2"/>
    <x v="30"/>
    <x v="30"/>
    <x v="1"/>
    <s v="Específicos"/>
    <x v="161"/>
    <x v="717"/>
    <x v="56"/>
    <x v="176"/>
    <n v="3"/>
    <s v="Desarrollo Económico"/>
    <n v="3"/>
    <s v="Temas Laborales"/>
    <n v="3"/>
    <x v="14"/>
    <x v="22"/>
    <x v="192"/>
    <n v="1"/>
    <s v="Gasto corriente"/>
    <x v="0"/>
    <x v="1"/>
    <x v="0"/>
    <x v="0"/>
    <x v="0"/>
    <x v="0"/>
    <x v="0"/>
    <m/>
    <x v="0"/>
    <x v="0"/>
    <m/>
    <n v="2904300"/>
    <n v="0"/>
    <n v="0"/>
    <n v="2904300"/>
    <m/>
    <m/>
    <x v="1"/>
    <n v="0"/>
  </r>
  <r>
    <x v="2"/>
    <x v="30"/>
    <x v="30"/>
    <x v="1"/>
    <s v="Específicos"/>
    <x v="161"/>
    <x v="717"/>
    <x v="56"/>
    <x v="176"/>
    <n v="3"/>
    <s v="Desarrollo Económico"/>
    <n v="3"/>
    <s v="Temas Laborales"/>
    <n v="3"/>
    <x v="14"/>
    <x v="22"/>
    <x v="192"/>
    <n v="1"/>
    <s v="Gasto corriente"/>
    <x v="0"/>
    <x v="0"/>
    <x v="0"/>
    <x v="0"/>
    <x v="0"/>
    <x v="0"/>
    <x v="0"/>
    <m/>
    <x v="0"/>
    <x v="0"/>
    <m/>
    <n v="69632822"/>
    <n v="0"/>
    <n v="0"/>
    <n v="69632822"/>
    <m/>
    <m/>
    <x v="1"/>
    <n v="0"/>
  </r>
  <r>
    <x v="2"/>
    <x v="30"/>
    <x v="30"/>
    <x v="1"/>
    <s v="Específicos"/>
    <x v="162"/>
    <x v="718"/>
    <x v="56"/>
    <x v="176"/>
    <n v="3"/>
    <s v="Desarrollo Económico"/>
    <n v="8"/>
    <s v="Temas Agrarios"/>
    <n v="1"/>
    <x v="61"/>
    <x v="22"/>
    <x v="192"/>
    <n v="1"/>
    <s v="Gasto corriente"/>
    <x v="0"/>
    <x v="1"/>
    <x v="0"/>
    <x v="0"/>
    <x v="0"/>
    <x v="0"/>
    <x v="0"/>
    <m/>
    <x v="0"/>
    <x v="0"/>
    <m/>
    <n v="3002300"/>
    <n v="0"/>
    <n v="0"/>
    <n v="3002300"/>
    <m/>
    <m/>
    <x v="1"/>
    <n v="0"/>
  </r>
  <r>
    <x v="2"/>
    <x v="30"/>
    <x v="30"/>
    <x v="1"/>
    <s v="Específicos"/>
    <x v="162"/>
    <x v="718"/>
    <x v="56"/>
    <x v="176"/>
    <n v="3"/>
    <s v="Desarrollo Económico"/>
    <n v="8"/>
    <s v="Temas Agrarios"/>
    <n v="1"/>
    <x v="61"/>
    <x v="22"/>
    <x v="192"/>
    <n v="1"/>
    <s v="Gasto corriente"/>
    <x v="0"/>
    <x v="0"/>
    <x v="0"/>
    <x v="0"/>
    <x v="0"/>
    <x v="0"/>
    <x v="0"/>
    <m/>
    <x v="0"/>
    <x v="0"/>
    <m/>
    <n v="57773180"/>
    <n v="0"/>
    <n v="0"/>
    <n v="57773180"/>
    <m/>
    <m/>
    <x v="1"/>
    <n v="0"/>
  </r>
  <r>
    <x v="2"/>
    <x v="30"/>
    <x v="30"/>
    <x v="1"/>
    <s v="Específicos"/>
    <x v="163"/>
    <x v="719"/>
    <x v="56"/>
    <x v="176"/>
    <n v="3"/>
    <s v="Desarrollo Económico"/>
    <n v="9"/>
    <s v="Desarrollo Sustentable"/>
    <n v="1"/>
    <x v="65"/>
    <x v="22"/>
    <x v="192"/>
    <n v="1"/>
    <s v="Gasto corriente"/>
    <x v="0"/>
    <x v="1"/>
    <x v="0"/>
    <x v="0"/>
    <x v="0"/>
    <x v="0"/>
    <x v="0"/>
    <m/>
    <x v="0"/>
    <x v="0"/>
    <m/>
    <n v="15643700"/>
    <n v="0"/>
    <n v="0"/>
    <n v="15643700"/>
    <m/>
    <m/>
    <x v="1"/>
    <n v="0"/>
  </r>
  <r>
    <x v="2"/>
    <x v="30"/>
    <x v="30"/>
    <x v="1"/>
    <s v="Específicos"/>
    <x v="163"/>
    <x v="719"/>
    <x v="56"/>
    <x v="176"/>
    <n v="3"/>
    <s v="Desarrollo Económico"/>
    <n v="9"/>
    <s v="Desarrollo Sustentable"/>
    <n v="1"/>
    <x v="65"/>
    <x v="22"/>
    <x v="192"/>
    <n v="1"/>
    <s v="Gasto corriente"/>
    <x v="0"/>
    <x v="0"/>
    <x v="0"/>
    <x v="0"/>
    <x v="0"/>
    <x v="0"/>
    <x v="0"/>
    <m/>
    <x v="0"/>
    <x v="0"/>
    <m/>
    <n v="275536413"/>
    <n v="0"/>
    <n v="0"/>
    <n v="275536413"/>
    <m/>
    <m/>
    <x v="1"/>
    <n v="0"/>
  </r>
  <r>
    <x v="2"/>
    <x v="30"/>
    <x v="30"/>
    <x v="1"/>
    <s v="Específicos"/>
    <x v="164"/>
    <x v="720"/>
    <x v="56"/>
    <x v="176"/>
    <n v="1"/>
    <s v="Gobierno"/>
    <n v="6"/>
    <s v="Orden, Seguridad y Justicia"/>
    <n v="3"/>
    <x v="27"/>
    <x v="22"/>
    <x v="192"/>
    <n v="1"/>
    <s v="Gasto corriente"/>
    <x v="0"/>
    <x v="1"/>
    <x v="0"/>
    <x v="0"/>
    <x v="0"/>
    <x v="0"/>
    <x v="0"/>
    <m/>
    <x v="0"/>
    <x v="0"/>
    <m/>
    <n v="15157500"/>
    <n v="0"/>
    <n v="0"/>
    <n v="15157500"/>
    <m/>
    <m/>
    <x v="1"/>
    <n v="0"/>
  </r>
  <r>
    <x v="2"/>
    <x v="30"/>
    <x v="30"/>
    <x v="1"/>
    <s v="Específicos"/>
    <x v="164"/>
    <x v="720"/>
    <x v="56"/>
    <x v="176"/>
    <n v="1"/>
    <s v="Gobierno"/>
    <n v="6"/>
    <s v="Orden, Seguridad y Justicia"/>
    <n v="3"/>
    <x v="27"/>
    <x v="22"/>
    <x v="192"/>
    <n v="1"/>
    <s v="Gasto corriente"/>
    <x v="0"/>
    <x v="0"/>
    <x v="0"/>
    <x v="0"/>
    <x v="0"/>
    <x v="0"/>
    <x v="0"/>
    <m/>
    <x v="0"/>
    <x v="0"/>
    <m/>
    <n v="389367645"/>
    <n v="0"/>
    <n v="0"/>
    <n v="389367645"/>
    <m/>
    <m/>
    <x v="1"/>
    <n v="0"/>
  </r>
  <r>
    <x v="2"/>
    <x v="30"/>
    <x v="30"/>
    <x v="1"/>
    <s v="Específicos"/>
    <x v="165"/>
    <x v="721"/>
    <x v="56"/>
    <x v="176"/>
    <n v="3"/>
    <s v="Desarrollo Económico"/>
    <n v="0"/>
    <s v="Energía"/>
    <n v="3"/>
    <x v="14"/>
    <x v="22"/>
    <x v="192"/>
    <n v="1"/>
    <s v="Gasto corriente"/>
    <x v="0"/>
    <x v="1"/>
    <x v="0"/>
    <x v="0"/>
    <x v="0"/>
    <x v="0"/>
    <x v="0"/>
    <m/>
    <x v="0"/>
    <x v="0"/>
    <m/>
    <n v="2476300"/>
    <n v="0"/>
    <n v="0"/>
    <n v="2476300"/>
    <m/>
    <m/>
    <x v="1"/>
    <n v="0"/>
  </r>
  <r>
    <x v="2"/>
    <x v="30"/>
    <x v="30"/>
    <x v="1"/>
    <s v="Específicos"/>
    <x v="165"/>
    <x v="721"/>
    <x v="56"/>
    <x v="176"/>
    <n v="3"/>
    <s v="Desarrollo Económico"/>
    <n v="0"/>
    <s v="Energía"/>
    <n v="3"/>
    <x v="14"/>
    <x v="22"/>
    <x v="192"/>
    <n v="1"/>
    <s v="Gasto corriente"/>
    <x v="0"/>
    <x v="0"/>
    <x v="0"/>
    <x v="0"/>
    <x v="0"/>
    <x v="0"/>
    <x v="0"/>
    <m/>
    <x v="0"/>
    <x v="0"/>
    <m/>
    <n v="56369922"/>
    <n v="0"/>
    <n v="0"/>
    <n v="56369922"/>
    <m/>
    <m/>
    <x v="1"/>
    <n v="0"/>
  </r>
  <r>
    <x v="2"/>
    <x v="30"/>
    <x v="30"/>
    <x v="1"/>
    <s v="Específicos"/>
    <x v="166"/>
    <x v="722"/>
    <x v="56"/>
    <x v="176"/>
    <n v="2"/>
    <s v="Desarrollo Social"/>
    <n v="5"/>
    <s v="Asistencia Social"/>
    <n v="3"/>
    <x v="54"/>
    <x v="22"/>
    <x v="192"/>
    <n v="1"/>
    <s v="Gasto corriente"/>
    <x v="0"/>
    <x v="1"/>
    <x v="0"/>
    <x v="0"/>
    <x v="0"/>
    <x v="0"/>
    <x v="0"/>
    <m/>
    <x v="0"/>
    <x v="0"/>
    <m/>
    <n v="3971400"/>
    <n v="0"/>
    <n v="0"/>
    <n v="3971400"/>
    <m/>
    <m/>
    <x v="1"/>
    <n v="0"/>
  </r>
  <r>
    <x v="2"/>
    <x v="30"/>
    <x v="30"/>
    <x v="1"/>
    <s v="Específicos"/>
    <x v="166"/>
    <x v="722"/>
    <x v="56"/>
    <x v="176"/>
    <n v="2"/>
    <s v="Desarrollo Social"/>
    <n v="5"/>
    <s v="Asistencia Social"/>
    <n v="3"/>
    <x v="54"/>
    <x v="22"/>
    <x v="192"/>
    <n v="1"/>
    <s v="Gasto corriente"/>
    <x v="0"/>
    <x v="0"/>
    <x v="0"/>
    <x v="0"/>
    <x v="0"/>
    <x v="0"/>
    <x v="0"/>
    <m/>
    <x v="0"/>
    <x v="0"/>
    <m/>
    <n v="80386359"/>
    <n v="0"/>
    <n v="0"/>
    <n v="80386359"/>
    <m/>
    <m/>
    <x v="1"/>
    <n v="0"/>
  </r>
  <r>
    <x v="2"/>
    <x v="30"/>
    <x v="30"/>
    <x v="1"/>
    <s v="Específicos"/>
    <x v="167"/>
    <x v="723"/>
    <x v="56"/>
    <x v="176"/>
    <n v="3"/>
    <s v="Desarrollo Económico"/>
    <n v="6"/>
    <s v="Turismo"/>
    <n v="1"/>
    <x v="71"/>
    <x v="22"/>
    <x v="192"/>
    <n v="1"/>
    <s v="Gasto corriente"/>
    <x v="0"/>
    <x v="1"/>
    <x v="0"/>
    <x v="0"/>
    <x v="0"/>
    <x v="0"/>
    <x v="0"/>
    <m/>
    <x v="0"/>
    <x v="0"/>
    <m/>
    <n v="1041500"/>
    <n v="0"/>
    <n v="0"/>
    <n v="1041500"/>
    <m/>
    <m/>
    <x v="1"/>
    <n v="0"/>
  </r>
  <r>
    <x v="2"/>
    <x v="30"/>
    <x v="30"/>
    <x v="1"/>
    <s v="Específicos"/>
    <x v="167"/>
    <x v="723"/>
    <x v="56"/>
    <x v="176"/>
    <n v="3"/>
    <s v="Desarrollo Económico"/>
    <n v="6"/>
    <s v="Turismo"/>
    <n v="1"/>
    <x v="71"/>
    <x v="22"/>
    <x v="192"/>
    <n v="1"/>
    <s v="Gasto corriente"/>
    <x v="0"/>
    <x v="0"/>
    <x v="0"/>
    <x v="0"/>
    <x v="0"/>
    <x v="0"/>
    <x v="0"/>
    <m/>
    <x v="0"/>
    <x v="0"/>
    <m/>
    <n v="23612247"/>
    <n v="0"/>
    <n v="0"/>
    <n v="23612247"/>
    <m/>
    <m/>
    <x v="1"/>
    <n v="0"/>
  </r>
  <r>
    <x v="2"/>
    <x v="30"/>
    <x v="30"/>
    <x v="1"/>
    <s v="Específicos"/>
    <x v="168"/>
    <x v="724"/>
    <x v="56"/>
    <x v="176"/>
    <n v="1"/>
    <s v="Gobierno"/>
    <n v="8"/>
    <s v="Administración Pública"/>
    <n v="3"/>
    <x v="6"/>
    <x v="22"/>
    <x v="192"/>
    <n v="1"/>
    <s v="Gasto corriente"/>
    <x v="0"/>
    <x v="1"/>
    <x v="0"/>
    <x v="0"/>
    <x v="0"/>
    <x v="0"/>
    <x v="0"/>
    <m/>
    <x v="0"/>
    <x v="0"/>
    <m/>
    <n v="1478500"/>
    <n v="0"/>
    <n v="0"/>
    <n v="1478500"/>
    <m/>
    <m/>
    <x v="1"/>
    <n v="0"/>
  </r>
  <r>
    <x v="2"/>
    <x v="30"/>
    <x v="30"/>
    <x v="1"/>
    <s v="Específicos"/>
    <x v="168"/>
    <x v="724"/>
    <x v="56"/>
    <x v="176"/>
    <n v="1"/>
    <s v="Gobierno"/>
    <n v="8"/>
    <s v="Administración Pública"/>
    <n v="3"/>
    <x v="6"/>
    <x v="22"/>
    <x v="192"/>
    <n v="1"/>
    <s v="Gasto corriente"/>
    <x v="0"/>
    <x v="0"/>
    <x v="0"/>
    <x v="0"/>
    <x v="0"/>
    <x v="0"/>
    <x v="0"/>
    <m/>
    <x v="0"/>
    <x v="0"/>
    <m/>
    <n v="52086618"/>
    <n v="0"/>
    <n v="0"/>
    <n v="52086618"/>
    <m/>
    <m/>
    <x v="1"/>
    <n v="0"/>
  </r>
  <r>
    <x v="2"/>
    <x v="30"/>
    <x v="30"/>
    <x v="1"/>
    <s v="Específicos"/>
    <x v="32"/>
    <x v="725"/>
    <x v="56"/>
    <x v="176"/>
    <n v="1"/>
    <s v="Gobierno"/>
    <n v="6"/>
    <s v="Orden, Seguridad y Justicia"/>
    <n v="4"/>
    <x v="1"/>
    <x v="22"/>
    <x v="192"/>
    <n v="1"/>
    <s v="Gasto corriente"/>
    <x v="0"/>
    <x v="1"/>
    <x v="0"/>
    <x v="0"/>
    <x v="0"/>
    <x v="0"/>
    <x v="0"/>
    <m/>
    <x v="0"/>
    <x v="0"/>
    <m/>
    <n v="819100"/>
    <n v="0"/>
    <n v="0"/>
    <n v="819100"/>
    <m/>
    <m/>
    <x v="1"/>
    <n v="0"/>
  </r>
  <r>
    <x v="2"/>
    <x v="30"/>
    <x v="30"/>
    <x v="1"/>
    <s v="Específicos"/>
    <x v="32"/>
    <x v="725"/>
    <x v="56"/>
    <x v="176"/>
    <n v="1"/>
    <s v="Gobierno"/>
    <n v="6"/>
    <s v="Orden, Seguridad y Justicia"/>
    <n v="4"/>
    <x v="1"/>
    <x v="22"/>
    <x v="192"/>
    <n v="1"/>
    <s v="Gasto corriente"/>
    <x v="0"/>
    <x v="0"/>
    <x v="0"/>
    <x v="0"/>
    <x v="0"/>
    <x v="0"/>
    <x v="0"/>
    <m/>
    <x v="0"/>
    <x v="0"/>
    <m/>
    <n v="24021848"/>
    <n v="0"/>
    <n v="0"/>
    <n v="24021848"/>
    <m/>
    <m/>
    <x v="1"/>
    <n v="0"/>
  </r>
  <r>
    <x v="2"/>
    <x v="30"/>
    <x v="30"/>
    <x v="1"/>
    <s v="Específicos"/>
    <x v="169"/>
    <x v="726"/>
    <x v="56"/>
    <x v="176"/>
    <n v="1"/>
    <s v="Gobierno"/>
    <n v="6"/>
    <s v="Orden, Seguridad y Justicia"/>
    <n v="4"/>
    <x v="1"/>
    <x v="22"/>
    <x v="192"/>
    <n v="1"/>
    <s v="Gasto corriente"/>
    <x v="0"/>
    <x v="1"/>
    <x v="0"/>
    <x v="0"/>
    <x v="0"/>
    <x v="0"/>
    <x v="0"/>
    <m/>
    <x v="0"/>
    <x v="0"/>
    <m/>
    <n v="1061200"/>
    <n v="0"/>
    <n v="0"/>
    <n v="1061200"/>
    <m/>
    <m/>
    <x v="1"/>
    <n v="0"/>
  </r>
  <r>
    <x v="2"/>
    <x v="30"/>
    <x v="30"/>
    <x v="1"/>
    <s v="Específicos"/>
    <x v="169"/>
    <x v="726"/>
    <x v="56"/>
    <x v="176"/>
    <n v="1"/>
    <s v="Gobierno"/>
    <n v="6"/>
    <s v="Orden, Seguridad y Justicia"/>
    <n v="4"/>
    <x v="1"/>
    <x v="22"/>
    <x v="192"/>
    <n v="1"/>
    <s v="Gasto corriente"/>
    <x v="0"/>
    <x v="0"/>
    <x v="0"/>
    <x v="0"/>
    <x v="0"/>
    <x v="0"/>
    <x v="0"/>
    <m/>
    <x v="0"/>
    <x v="0"/>
    <m/>
    <n v="39495708"/>
    <n v="0"/>
    <n v="0"/>
    <n v="39495708"/>
    <m/>
    <m/>
    <x v="1"/>
    <n v="0"/>
  </r>
  <r>
    <x v="2"/>
    <x v="30"/>
    <x v="30"/>
    <x v="1"/>
    <s v="Específicos"/>
    <x v="170"/>
    <x v="727"/>
    <x v="56"/>
    <x v="176"/>
    <n v="1"/>
    <s v="Gobierno"/>
    <n v="6"/>
    <s v="Orden, Seguridad y Justicia"/>
    <n v="1"/>
    <x v="73"/>
    <x v="22"/>
    <x v="192"/>
    <n v="1"/>
    <s v="Gasto corriente"/>
    <x v="0"/>
    <x v="1"/>
    <x v="0"/>
    <x v="0"/>
    <x v="0"/>
    <x v="0"/>
    <x v="0"/>
    <m/>
    <x v="0"/>
    <x v="0"/>
    <m/>
    <n v="47962700"/>
    <n v="0"/>
    <n v="0"/>
    <n v="47962700"/>
    <m/>
    <m/>
    <x v="1"/>
    <n v="0"/>
  </r>
  <r>
    <x v="2"/>
    <x v="30"/>
    <x v="30"/>
    <x v="1"/>
    <s v="Específicos"/>
    <x v="170"/>
    <x v="727"/>
    <x v="56"/>
    <x v="176"/>
    <n v="1"/>
    <s v="Gobierno"/>
    <n v="6"/>
    <s v="Orden, Seguridad y Justicia"/>
    <n v="1"/>
    <x v="73"/>
    <x v="22"/>
    <x v="192"/>
    <n v="1"/>
    <s v="Gasto corriente"/>
    <x v="0"/>
    <x v="0"/>
    <x v="0"/>
    <x v="0"/>
    <x v="0"/>
    <x v="0"/>
    <x v="0"/>
    <m/>
    <x v="0"/>
    <x v="0"/>
    <m/>
    <n v="667465141"/>
    <n v="0"/>
    <n v="0"/>
    <n v="667465141"/>
    <m/>
    <m/>
    <x v="1"/>
    <n v="0"/>
  </r>
  <r>
    <x v="2"/>
    <x v="30"/>
    <x v="30"/>
    <x v="1"/>
    <s v="Específicos"/>
    <x v="171"/>
    <x v="728"/>
    <x v="56"/>
    <x v="176"/>
    <n v="1"/>
    <s v="Gobierno"/>
    <n v="8"/>
    <s v="Administración Pública"/>
    <n v="5"/>
    <x v="75"/>
    <x v="22"/>
    <x v="192"/>
    <n v="1"/>
    <s v="Gasto corriente"/>
    <x v="0"/>
    <x v="1"/>
    <x v="0"/>
    <x v="0"/>
    <x v="0"/>
    <x v="0"/>
    <x v="0"/>
    <m/>
    <x v="0"/>
    <x v="0"/>
    <m/>
    <n v="89200"/>
    <n v="0"/>
    <n v="0"/>
    <n v="89200"/>
    <m/>
    <m/>
    <x v="1"/>
    <n v="0"/>
  </r>
  <r>
    <x v="2"/>
    <x v="30"/>
    <x v="30"/>
    <x v="1"/>
    <s v="Específicos"/>
    <x v="171"/>
    <x v="728"/>
    <x v="56"/>
    <x v="176"/>
    <n v="1"/>
    <s v="Gobierno"/>
    <n v="8"/>
    <s v="Administración Pública"/>
    <n v="5"/>
    <x v="75"/>
    <x v="22"/>
    <x v="192"/>
    <n v="1"/>
    <s v="Gasto corriente"/>
    <x v="0"/>
    <x v="0"/>
    <x v="0"/>
    <x v="0"/>
    <x v="0"/>
    <x v="0"/>
    <x v="0"/>
    <m/>
    <x v="0"/>
    <x v="0"/>
    <m/>
    <n v="3777509"/>
    <n v="0"/>
    <n v="0"/>
    <n v="3777509"/>
    <m/>
    <m/>
    <x v="1"/>
    <n v="0"/>
  </r>
  <r>
    <x v="2"/>
    <x v="30"/>
    <x v="30"/>
    <x v="1"/>
    <s v="Específicos"/>
    <x v="172"/>
    <x v="729"/>
    <x v="56"/>
    <x v="176"/>
    <n v="1"/>
    <s v="Gobierno"/>
    <n v="9"/>
    <s v="Otros Bienes y Servicios Públicos"/>
    <n v="1"/>
    <x v="77"/>
    <x v="22"/>
    <x v="192"/>
    <n v="1"/>
    <s v="Gasto corriente"/>
    <x v="0"/>
    <x v="1"/>
    <x v="0"/>
    <x v="0"/>
    <x v="0"/>
    <x v="0"/>
    <x v="0"/>
    <m/>
    <x v="0"/>
    <x v="0"/>
    <m/>
    <n v="12241100"/>
    <n v="0"/>
    <n v="0"/>
    <n v="12241100"/>
    <m/>
    <m/>
    <x v="1"/>
    <n v="0"/>
  </r>
  <r>
    <x v="2"/>
    <x v="30"/>
    <x v="30"/>
    <x v="1"/>
    <s v="Específicos"/>
    <x v="172"/>
    <x v="729"/>
    <x v="56"/>
    <x v="176"/>
    <n v="1"/>
    <s v="Gobierno"/>
    <n v="9"/>
    <s v="Otros Bienes y Servicios Públicos"/>
    <n v="1"/>
    <x v="77"/>
    <x v="22"/>
    <x v="192"/>
    <n v="1"/>
    <s v="Gasto corriente"/>
    <x v="0"/>
    <x v="0"/>
    <x v="0"/>
    <x v="0"/>
    <x v="0"/>
    <x v="0"/>
    <x v="0"/>
    <m/>
    <x v="0"/>
    <x v="0"/>
    <m/>
    <n v="142633415"/>
    <n v="0"/>
    <n v="0"/>
    <n v="142633415"/>
    <m/>
    <m/>
    <x v="1"/>
    <n v="0"/>
  </r>
  <r>
    <x v="2"/>
    <x v="30"/>
    <x v="30"/>
    <x v="1"/>
    <s v="Específicos"/>
    <x v="173"/>
    <x v="730"/>
    <x v="56"/>
    <x v="176"/>
    <n v="1"/>
    <s v="Gobierno"/>
    <n v="3"/>
    <s v="Hacienda"/>
    <n v="2"/>
    <x v="24"/>
    <x v="9"/>
    <x v="190"/>
    <n v="1"/>
    <s v="Gasto corriente"/>
    <x v="0"/>
    <x v="0"/>
    <x v="0"/>
    <x v="0"/>
    <x v="0"/>
    <x v="0"/>
    <x v="0"/>
    <m/>
    <x v="0"/>
    <x v="0"/>
    <m/>
    <m/>
    <m/>
    <m/>
    <m/>
    <n v="50000000"/>
    <m/>
    <x v="1"/>
    <n v="50000000"/>
  </r>
  <r>
    <x v="2"/>
    <x v="30"/>
    <x v="30"/>
    <x v="1"/>
    <s v="Específicos"/>
    <x v="140"/>
    <x v="731"/>
    <x v="56"/>
    <x v="176"/>
    <n v="1"/>
    <s v="Gobierno"/>
    <n v="3"/>
    <s v="Hacienda"/>
    <n v="2"/>
    <x v="24"/>
    <x v="9"/>
    <x v="190"/>
    <n v="2"/>
    <s v="Gasto de capital"/>
    <x v="0"/>
    <x v="0"/>
    <x v="0"/>
    <x v="0"/>
    <x v="0"/>
    <x v="0"/>
    <x v="0"/>
    <m/>
    <x v="0"/>
    <x v="0"/>
    <m/>
    <m/>
    <m/>
    <m/>
    <m/>
    <n v="250000000"/>
    <m/>
    <x v="1"/>
    <n v="250000000"/>
  </r>
  <r>
    <x v="2"/>
    <x v="30"/>
    <x v="30"/>
    <x v="7"/>
    <s v="Otros Subsidios"/>
    <x v="2"/>
    <x v="732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1011400000"/>
    <n v="586214389"/>
    <n v="0"/>
    <n v="1597614389"/>
    <m/>
    <m/>
    <x v="1"/>
    <n v="0"/>
  </r>
  <r>
    <x v="2"/>
    <x v="30"/>
    <x v="30"/>
    <x v="7"/>
    <s v="Otros Subsidios"/>
    <x v="3"/>
    <x v="733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1011400000"/>
    <n v="586214389"/>
    <n v="0"/>
    <n v="1597614389"/>
    <m/>
    <m/>
    <x v="1"/>
    <n v="0"/>
  </r>
  <r>
    <x v="2"/>
    <x v="30"/>
    <x v="30"/>
    <x v="7"/>
    <s v="Otros Subsidios"/>
    <x v="4"/>
    <x v="734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674300000"/>
    <n v="245539183"/>
    <n v="0"/>
    <n v="919839183"/>
    <m/>
    <m/>
    <x v="1"/>
    <n v="0"/>
  </r>
  <r>
    <x v="2"/>
    <x v="30"/>
    <x v="30"/>
    <x v="7"/>
    <s v="Otros Subsidios"/>
    <x v="5"/>
    <x v="735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92000000"/>
    <n v="683231066"/>
    <n v="0"/>
    <n v="775231066"/>
    <m/>
    <m/>
    <x v="1"/>
    <n v="0"/>
  </r>
  <r>
    <x v="2"/>
    <x v="30"/>
    <x v="30"/>
    <x v="7"/>
    <s v="Otros Subsidios"/>
    <x v="6"/>
    <x v="736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183900000"/>
    <n v="159020126"/>
    <n v="0"/>
    <n v="342920126"/>
    <m/>
    <m/>
    <x v="1"/>
    <n v="0"/>
  </r>
  <r>
    <x v="2"/>
    <x v="30"/>
    <x v="30"/>
    <x v="7"/>
    <s v="Otros Subsidios"/>
    <x v="7"/>
    <x v="737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92000000"/>
    <n v="223623081"/>
    <n v="0"/>
    <n v="315623081"/>
    <m/>
    <m/>
    <x v="1"/>
    <n v="0"/>
  </r>
  <r>
    <x v="2"/>
    <x v="30"/>
    <x v="30"/>
    <x v="7"/>
    <s v="Otros Subsidios"/>
    <x v="8"/>
    <x v="738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61300000"/>
    <n v="107850530"/>
    <n v="0"/>
    <n v="169150530"/>
    <m/>
    <m/>
    <x v="1"/>
    <n v="0"/>
  </r>
  <r>
    <x v="2"/>
    <x v="30"/>
    <x v="30"/>
    <x v="7"/>
    <s v="Otros Subsidios"/>
    <x v="9"/>
    <x v="739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76600000"/>
    <n v="118989061"/>
    <n v="0"/>
    <n v="195589061"/>
    <m/>
    <m/>
    <x v="1"/>
    <n v="0"/>
  </r>
  <r>
    <x v="2"/>
    <x v="30"/>
    <x v="30"/>
    <x v="7"/>
    <s v="Otros Subsidios"/>
    <x v="10"/>
    <x v="740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76600000"/>
    <n v="118989061"/>
    <n v="0"/>
    <n v="195589061"/>
    <m/>
    <m/>
    <x v="1"/>
    <n v="0"/>
  </r>
  <r>
    <x v="2"/>
    <x v="30"/>
    <x v="30"/>
    <x v="7"/>
    <s v="Otros Subsidios"/>
    <x v="11"/>
    <x v="741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42305061"/>
    <n v="0"/>
    <n v="66805061"/>
    <m/>
    <m/>
    <x v="1"/>
    <n v="0"/>
  </r>
  <r>
    <x v="2"/>
    <x v="30"/>
    <x v="30"/>
    <x v="7"/>
    <s v="Otros Subsidios"/>
    <x v="12"/>
    <x v="742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71360989"/>
    <n v="0"/>
    <n v="95860989"/>
    <m/>
    <m/>
    <x v="1"/>
    <n v="0"/>
  </r>
  <r>
    <x v="2"/>
    <x v="30"/>
    <x v="30"/>
    <x v="7"/>
    <s v="Otros Subsidios"/>
    <x v="13"/>
    <x v="743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71360989"/>
    <n v="0"/>
    <n v="95860989"/>
    <m/>
    <m/>
    <x v="1"/>
    <n v="0"/>
  </r>
  <r>
    <x v="2"/>
    <x v="30"/>
    <x v="30"/>
    <x v="7"/>
    <s v="Otros Subsidios"/>
    <x v="14"/>
    <x v="744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43277521"/>
    <n v="0"/>
    <n v="67777521"/>
    <m/>
    <m/>
    <x v="1"/>
    <n v="0"/>
  </r>
  <r>
    <x v="2"/>
    <x v="30"/>
    <x v="30"/>
    <x v="7"/>
    <s v="Otros Subsidios"/>
    <x v="15"/>
    <x v="745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31657114"/>
    <n v="0"/>
    <n v="56157114"/>
    <m/>
    <m/>
    <x v="1"/>
    <n v="0"/>
  </r>
  <r>
    <x v="2"/>
    <x v="30"/>
    <x v="30"/>
    <x v="7"/>
    <s v="Otros Subsidios"/>
    <x v="16"/>
    <x v="746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61657114"/>
    <n v="0"/>
    <n v="86157114"/>
    <m/>
    <m/>
    <x v="1"/>
    <n v="0"/>
  </r>
  <r>
    <x v="2"/>
    <x v="30"/>
    <x v="30"/>
    <x v="7"/>
    <s v="Otros Subsidios"/>
    <x v="17"/>
    <x v="747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31657114"/>
    <n v="0"/>
    <n v="56157114"/>
    <m/>
    <m/>
    <x v="1"/>
    <n v="0"/>
  </r>
  <r>
    <x v="2"/>
    <x v="30"/>
    <x v="30"/>
    <x v="7"/>
    <s v="Otros Subsidios"/>
    <x v="18"/>
    <x v="748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24879362"/>
    <n v="0"/>
    <n v="49379362"/>
    <m/>
    <m/>
    <x v="1"/>
    <n v="0"/>
  </r>
  <r>
    <x v="2"/>
    <x v="30"/>
    <x v="30"/>
    <x v="7"/>
    <s v="Otros Subsidios"/>
    <x v="19"/>
    <x v="749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24500000"/>
    <n v="20036707"/>
    <n v="0"/>
    <n v="44536707"/>
    <m/>
    <m/>
    <x v="1"/>
    <n v="0"/>
  </r>
  <r>
    <x v="2"/>
    <x v="30"/>
    <x v="30"/>
    <x v="7"/>
    <s v="Otros Subsidios"/>
    <x v="22"/>
    <x v="750"/>
    <x v="56"/>
    <x v="176"/>
    <n v="2"/>
    <s v="Desarrollo Social"/>
    <n v="3"/>
    <s v="Urbanización, Vivienda y Desarrollo Regional"/>
    <n v="3"/>
    <x v="70"/>
    <x v="0"/>
    <x v="194"/>
    <n v="2"/>
    <s v="Gasto de capital"/>
    <x v="0"/>
    <x v="0"/>
    <x v="0"/>
    <x v="0"/>
    <x v="0"/>
    <x v="0"/>
    <x v="0"/>
    <m/>
    <x v="0"/>
    <x v="0"/>
    <m/>
    <n v="1500000000"/>
    <n v="1250000000"/>
    <n v="0"/>
    <n v="2750000000"/>
    <n v="2000000000"/>
    <m/>
    <x v="124"/>
    <n v="3735000000"/>
  </r>
  <r>
    <x v="2"/>
    <x v="30"/>
    <x v="30"/>
    <x v="7"/>
    <s v="Otros Subsidios"/>
    <x v="23"/>
    <x v="751"/>
    <x v="56"/>
    <x v="176"/>
    <n v="2"/>
    <s v="Desarrollo Social"/>
    <n v="4"/>
    <s v="Agua Potable y Alcantarillado"/>
    <n v="1"/>
    <x v="62"/>
    <x v="0"/>
    <x v="194"/>
    <n v="2"/>
    <s v="Gasto de capital"/>
    <x v="0"/>
    <x v="0"/>
    <x v="0"/>
    <x v="0"/>
    <x v="0"/>
    <x v="0"/>
    <x v="0"/>
    <m/>
    <x v="0"/>
    <x v="0"/>
    <m/>
    <n v="2000000000"/>
    <n v="750000000"/>
    <n v="0"/>
    <n v="2750000000"/>
    <n v="1250000000"/>
    <m/>
    <x v="125"/>
    <n v="2485000000"/>
  </r>
  <r>
    <x v="2"/>
    <x v="30"/>
    <x v="30"/>
    <x v="7"/>
    <s v="Otros Subsidios"/>
    <x v="20"/>
    <x v="752"/>
    <x v="56"/>
    <x v="176"/>
    <n v="2"/>
    <s v="Desarrollo Social"/>
    <n v="3"/>
    <s v="Urbanización, Vivienda y Desarrollo Regional"/>
    <n v="3"/>
    <x v="70"/>
    <x v="0"/>
    <x v="194"/>
    <n v="2"/>
    <s v="Gasto de capital"/>
    <x v="0"/>
    <x v="0"/>
    <x v="0"/>
    <x v="0"/>
    <x v="0"/>
    <x v="0"/>
    <x v="0"/>
    <m/>
    <x v="0"/>
    <x v="0"/>
    <m/>
    <n v="550000000"/>
    <n v="0"/>
    <n v="0"/>
    <n v="550000000"/>
    <n v="300000000"/>
    <m/>
    <x v="1"/>
    <n v="300000000"/>
  </r>
  <r>
    <x v="2"/>
    <x v="30"/>
    <x v="30"/>
    <x v="7"/>
    <s v="Otros Subsidios"/>
    <x v="21"/>
    <x v="753"/>
    <x v="56"/>
    <x v="176"/>
    <n v="3"/>
    <s v="Desarrollo Económico"/>
    <n v="2"/>
    <s v="Desarrollo Agropecuario y Forestal"/>
    <n v="7"/>
    <x v="14"/>
    <x v="0"/>
    <x v="194"/>
    <n v="2"/>
    <s v="Gasto de capital"/>
    <x v="0"/>
    <x v="0"/>
    <x v="0"/>
    <x v="0"/>
    <x v="1"/>
    <x v="0"/>
    <x v="0"/>
    <m/>
    <x v="0"/>
    <x v="0"/>
    <m/>
    <n v="420000000"/>
    <n v="0"/>
    <n v="0"/>
    <n v="420000000"/>
    <n v="300000000"/>
    <m/>
    <x v="1"/>
    <n v="300000000"/>
  </r>
  <r>
    <x v="2"/>
    <x v="30"/>
    <x v="30"/>
    <x v="7"/>
    <s v="Otros Subsidios"/>
    <x v="47"/>
    <x v="754"/>
    <x v="56"/>
    <x v="176"/>
    <n v="2"/>
    <s v="Desarrollo Social"/>
    <n v="4"/>
    <s v="Agua Potable y Alcantarillado"/>
    <n v="1"/>
    <x v="62"/>
    <x v="0"/>
    <x v="194"/>
    <n v="2"/>
    <s v="Gasto de capital"/>
    <x v="0"/>
    <x v="0"/>
    <x v="0"/>
    <x v="0"/>
    <x v="0"/>
    <x v="0"/>
    <x v="0"/>
    <m/>
    <x v="0"/>
    <x v="0"/>
    <m/>
    <n v="500000000"/>
    <n v="0"/>
    <n v="0"/>
    <n v="500000000"/>
    <n v="300000000"/>
    <m/>
    <x v="1"/>
    <n v="300000000"/>
  </r>
  <r>
    <x v="2"/>
    <x v="30"/>
    <x v="30"/>
    <x v="7"/>
    <s v="Otros Subsidios"/>
    <x v="30"/>
    <x v="755"/>
    <x v="56"/>
    <x v="176"/>
    <n v="2"/>
    <s v="Desarrollo Social"/>
    <n v="3"/>
    <s v="Urbanización, Vivienda y Desarrollo Regional"/>
    <n v="3"/>
    <x v="70"/>
    <x v="0"/>
    <x v="194"/>
    <n v="1"/>
    <s v="Gasto corriente"/>
    <x v="0"/>
    <x v="0"/>
    <x v="0"/>
    <x v="0"/>
    <x v="0"/>
    <x v="0"/>
    <x v="0"/>
    <m/>
    <x v="0"/>
    <x v="0"/>
    <m/>
    <n v="100000000"/>
    <n v="0"/>
    <n v="0"/>
    <n v="100000000"/>
    <n v="100000000"/>
    <m/>
    <x v="1"/>
    <n v="100000000"/>
  </r>
  <r>
    <x v="2"/>
    <x v="30"/>
    <x v="30"/>
    <x v="7"/>
    <s v="Otros Subsidios"/>
    <x v="56"/>
    <x v="756"/>
    <x v="56"/>
    <x v="176"/>
    <n v="1"/>
    <s v="Gobierno"/>
    <n v="3"/>
    <s v="Hacienda"/>
    <n v="2"/>
    <x v="24"/>
    <x v="4"/>
    <x v="195"/>
    <n v="1"/>
    <s v="Gasto corriente"/>
    <x v="0"/>
    <x v="0"/>
    <x v="0"/>
    <x v="0"/>
    <x v="0"/>
    <x v="0"/>
    <x v="0"/>
    <m/>
    <x v="0"/>
    <x v="0"/>
    <m/>
    <n v="330000000"/>
    <n v="0"/>
    <n v="0"/>
    <n v="330000000"/>
    <n v="330000000"/>
    <m/>
    <x v="1"/>
    <n v="330000000"/>
  </r>
  <r>
    <x v="2"/>
    <x v="30"/>
    <x v="30"/>
    <x v="7"/>
    <s v="Otros Subsidios"/>
    <x v="57"/>
    <x v="757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41953663"/>
    <n v="0"/>
    <n v="41953663"/>
    <m/>
    <m/>
    <x v="1"/>
    <n v="0"/>
  </r>
  <r>
    <x v="2"/>
    <x v="30"/>
    <x v="30"/>
    <x v="7"/>
    <s v="Otros Subsidios"/>
    <x v="58"/>
    <x v="758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49379362"/>
    <n v="0"/>
    <n v="49379362"/>
    <m/>
    <m/>
    <x v="1"/>
    <n v="0"/>
  </r>
  <r>
    <x v="2"/>
    <x v="30"/>
    <x v="30"/>
    <x v="7"/>
    <s v="Otros Subsidios"/>
    <x v="59"/>
    <x v="759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31953663"/>
    <n v="0"/>
    <n v="31953663"/>
    <m/>
    <m/>
    <x v="1"/>
    <n v="0"/>
  </r>
  <r>
    <x v="2"/>
    <x v="30"/>
    <x v="30"/>
    <x v="7"/>
    <s v="Otros Subsidios"/>
    <x v="60"/>
    <x v="760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60999769"/>
    <n v="0"/>
    <n v="60999769"/>
    <m/>
    <m/>
    <x v="1"/>
    <n v="0"/>
  </r>
  <r>
    <x v="2"/>
    <x v="30"/>
    <x v="30"/>
    <x v="7"/>
    <s v="Otros Subsidios"/>
    <x v="66"/>
    <x v="761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49379362"/>
    <n v="0"/>
    <n v="49379362"/>
    <m/>
    <m/>
    <x v="1"/>
    <n v="0"/>
  </r>
  <r>
    <x v="2"/>
    <x v="30"/>
    <x v="30"/>
    <x v="7"/>
    <s v="Otros Subsidios"/>
    <x v="67"/>
    <x v="762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49379362"/>
    <n v="0"/>
    <n v="49379362"/>
    <m/>
    <m/>
    <x v="1"/>
    <n v="0"/>
  </r>
  <r>
    <x v="2"/>
    <x v="30"/>
    <x v="30"/>
    <x v="7"/>
    <s v="Otros Subsidios"/>
    <x v="76"/>
    <x v="763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31953663"/>
    <n v="0"/>
    <n v="31953663"/>
    <m/>
    <m/>
    <x v="1"/>
    <n v="0"/>
  </r>
  <r>
    <x v="2"/>
    <x v="30"/>
    <x v="30"/>
    <x v="7"/>
    <s v="Otros Subsidios"/>
    <x v="61"/>
    <x v="764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31953663"/>
    <n v="0"/>
    <n v="31953663"/>
    <m/>
    <m/>
    <x v="1"/>
    <n v="0"/>
  </r>
  <r>
    <x v="2"/>
    <x v="30"/>
    <x v="30"/>
    <x v="7"/>
    <s v="Otros Subsidios"/>
    <x v="68"/>
    <x v="765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40666512"/>
    <n v="0"/>
    <n v="40666512"/>
    <m/>
    <m/>
    <x v="1"/>
    <n v="0"/>
  </r>
  <r>
    <x v="2"/>
    <x v="30"/>
    <x v="30"/>
    <x v="7"/>
    <s v="Otros Subsidios"/>
    <x v="69"/>
    <x v="766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31953663"/>
    <n v="0"/>
    <n v="31953663"/>
    <m/>
    <m/>
    <x v="1"/>
    <n v="0"/>
  </r>
  <r>
    <x v="2"/>
    <x v="30"/>
    <x v="30"/>
    <x v="7"/>
    <s v="Otros Subsidios"/>
    <x v="70"/>
    <x v="767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18398159"/>
    <n v="0"/>
    <n v="18398159"/>
    <m/>
    <m/>
    <x v="1"/>
    <n v="0"/>
  </r>
  <r>
    <x v="2"/>
    <x v="30"/>
    <x v="30"/>
    <x v="7"/>
    <s v="Otros Subsidios"/>
    <x v="71"/>
    <x v="768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31953663"/>
    <n v="0"/>
    <n v="31953663"/>
    <m/>
    <m/>
    <x v="1"/>
    <n v="0"/>
  </r>
  <r>
    <x v="2"/>
    <x v="30"/>
    <x v="30"/>
    <x v="7"/>
    <s v="Otros Subsidios"/>
    <x v="72"/>
    <x v="769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111351590"/>
    <n v="0"/>
    <n v="111351590"/>
    <m/>
    <m/>
    <x v="1"/>
    <n v="0"/>
  </r>
  <r>
    <x v="2"/>
    <x v="30"/>
    <x v="30"/>
    <x v="7"/>
    <s v="Otros Subsidios"/>
    <x v="73"/>
    <x v="770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51953683"/>
    <n v="0"/>
    <n v="51953683"/>
    <m/>
    <m/>
    <x v="1"/>
    <n v="0"/>
  </r>
  <r>
    <x v="2"/>
    <x v="30"/>
    <x v="30"/>
    <x v="7"/>
    <s v="Otros Subsidios"/>
    <x v="134"/>
    <x v="771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41953683"/>
    <n v="0"/>
    <n v="41953683"/>
    <m/>
    <m/>
    <x v="1"/>
    <n v="0"/>
  </r>
  <r>
    <x v="2"/>
    <x v="30"/>
    <x v="30"/>
    <x v="7"/>
    <s v="Otros Subsidios"/>
    <x v="136"/>
    <x v="772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n v="0"/>
    <n v="51953683"/>
    <n v="0"/>
    <n v="51953683"/>
    <m/>
    <m/>
    <x v="1"/>
    <n v="0"/>
  </r>
  <r>
    <x v="2"/>
    <x v="30"/>
    <x v="30"/>
    <x v="7"/>
    <m/>
    <x v="102"/>
    <x v="773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74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75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76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77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78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79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80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81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82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83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m/>
    <x v="102"/>
    <x v="784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"/>
    <n v="0"/>
  </r>
  <r>
    <x v="2"/>
    <x v="30"/>
    <x v="30"/>
    <x v="7"/>
    <s v="Otros Subsidios"/>
    <x v="137"/>
    <x v="785"/>
    <x v="56"/>
    <x v="176"/>
    <n v="2"/>
    <s v="Desarrollo Social"/>
    <n v="3"/>
    <s v="Urbanización, Vivienda y Desarrollo Regional"/>
    <n v="1"/>
    <x v="69"/>
    <x v="0"/>
    <x v="194"/>
    <n v="2"/>
    <s v="Gasto de capital"/>
    <x v="0"/>
    <x v="0"/>
    <x v="0"/>
    <x v="0"/>
    <x v="0"/>
    <x v="0"/>
    <x v="0"/>
    <m/>
    <x v="0"/>
    <x v="0"/>
    <m/>
    <n v="0"/>
    <n v="2085030000"/>
    <n v="0"/>
    <n v="2085030000"/>
    <n v="0"/>
    <m/>
    <x v="126"/>
    <n v="2200000000"/>
  </r>
  <r>
    <x v="2"/>
    <x v="30"/>
    <x v="30"/>
    <x v="7"/>
    <s v="Otros Subsidios"/>
    <x v="103"/>
    <x v="786"/>
    <x v="56"/>
    <x v="176"/>
    <n v="2"/>
    <s v="Desarrollo Social"/>
    <n v="3"/>
    <s v="Urbanización, Vivienda y Desarrollo Regional"/>
    <n v="3"/>
    <x v="70"/>
    <x v="0"/>
    <x v="194"/>
    <n v="2"/>
    <s v="Gasto de capital"/>
    <x v="0"/>
    <x v="0"/>
    <x v="0"/>
    <x v="0"/>
    <x v="0"/>
    <x v="0"/>
    <x v="0"/>
    <m/>
    <x v="0"/>
    <x v="0"/>
    <m/>
    <n v="0"/>
    <n v="13500000000"/>
    <n v="0"/>
    <n v="13500000000"/>
    <m/>
    <m/>
    <x v="1"/>
    <n v="0"/>
  </r>
  <r>
    <x v="2"/>
    <x v="30"/>
    <x v="30"/>
    <x v="7"/>
    <s v="Otros Subsidios"/>
    <x v="174"/>
    <x v="787"/>
    <x v="56"/>
    <x v="176"/>
    <n v="2"/>
    <s v="Desarrollo Social"/>
    <n v="4"/>
    <s v="Agua Potable y Alcantarillado"/>
    <n v="1"/>
    <x v="62"/>
    <x v="0"/>
    <x v="194"/>
    <n v="2"/>
    <s v="Gasto de capital"/>
    <x v="0"/>
    <x v="0"/>
    <x v="0"/>
    <x v="0"/>
    <x v="0"/>
    <x v="0"/>
    <x v="0"/>
    <m/>
    <x v="0"/>
    <x v="0"/>
    <m/>
    <n v="0"/>
    <n v="300000000"/>
    <n v="0"/>
    <n v="300000000"/>
    <m/>
    <m/>
    <x v="1"/>
    <n v="0"/>
  </r>
  <r>
    <x v="2"/>
    <x v="30"/>
    <x v="30"/>
    <x v="14"/>
    <m/>
    <x v="102"/>
    <x v="788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27"/>
    <n v="6000000000"/>
  </r>
  <r>
    <x v="2"/>
    <x v="30"/>
    <x v="30"/>
    <x v="14"/>
    <m/>
    <x v="102"/>
    <x v="789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28"/>
    <n v="220000000"/>
  </r>
  <r>
    <x v="2"/>
    <x v="30"/>
    <x v="30"/>
    <x v="14"/>
    <m/>
    <x v="102"/>
    <x v="790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29"/>
    <n v="330000000"/>
  </r>
  <r>
    <x v="2"/>
    <x v="30"/>
    <x v="30"/>
    <x v="14"/>
    <m/>
    <x v="102"/>
    <x v="791"/>
    <x v="56"/>
    <x v="176"/>
    <m/>
    <m/>
    <m/>
    <m/>
    <m/>
    <x v="52"/>
    <x v="21"/>
    <x v="99"/>
    <m/>
    <m/>
    <x v="0"/>
    <x v="0"/>
    <x v="0"/>
    <x v="0"/>
    <x v="0"/>
    <x v="0"/>
    <x v="0"/>
    <m/>
    <x v="0"/>
    <x v="0"/>
    <m/>
    <m/>
    <m/>
    <m/>
    <m/>
    <m/>
    <m/>
    <x v="10"/>
    <n v="100000000"/>
  </r>
  <r>
    <x v="2"/>
    <x v="30"/>
    <x v="30"/>
    <x v="14"/>
    <m/>
    <x v="102"/>
    <x v="792"/>
    <x v="56"/>
    <x v="176"/>
    <m/>
    <m/>
    <m/>
    <m/>
    <m/>
    <x v="52"/>
    <x v="21"/>
    <x v="99"/>
    <m/>
    <m/>
    <x v="0"/>
    <x v="0"/>
    <x v="0"/>
    <x v="0"/>
    <x v="0"/>
    <x v="1"/>
    <x v="0"/>
    <m/>
    <x v="0"/>
    <x v="0"/>
    <m/>
    <m/>
    <m/>
    <m/>
    <m/>
    <m/>
    <m/>
    <x v="130"/>
    <n v="445000000"/>
  </r>
  <r>
    <x v="2"/>
    <x v="30"/>
    <x v="30"/>
    <x v="7"/>
    <s v="Otros Subsidios"/>
    <x v="74"/>
    <x v="793"/>
    <x v="56"/>
    <x v="176"/>
    <n v="2"/>
    <s v="Desarrollo Social"/>
    <n v="3"/>
    <s v="Urbanización, Vivienda y Desarrollo Regional"/>
    <n v="3"/>
    <x v="70"/>
    <x v="11"/>
    <x v="193"/>
    <n v="2"/>
    <s v="Gasto de capital"/>
    <x v="0"/>
    <x v="0"/>
    <x v="0"/>
    <x v="0"/>
    <x v="0"/>
    <x v="0"/>
    <x v="0"/>
    <m/>
    <x v="0"/>
    <x v="0"/>
    <m/>
    <m/>
    <m/>
    <m/>
    <m/>
    <n v="3000000000"/>
    <m/>
    <x v="131"/>
    <n v="7760000000"/>
  </r>
  <r>
    <x v="2"/>
    <x v="31"/>
    <x v="31"/>
    <x v="18"/>
    <s v="Costo financiero, deuda o apoyos a deudores y ahorradores de la banca"/>
    <x v="2"/>
    <x v="794"/>
    <x v="4"/>
    <x v="182"/>
    <n v="4"/>
    <s v="Otras"/>
    <n v="0"/>
    <s v="Costo Financiero de la Deuda"/>
    <n v="1"/>
    <x v="80"/>
    <x v="1"/>
    <x v="196"/>
    <n v="1"/>
    <s v="Gasto corriente"/>
    <x v="2"/>
    <x v="0"/>
    <x v="0"/>
    <x v="0"/>
    <x v="0"/>
    <x v="0"/>
    <x v="0"/>
    <m/>
    <x v="0"/>
    <x v="0"/>
    <m/>
    <n v="187805346500"/>
    <n v="0"/>
    <n v="-5000000000"/>
    <n v="182805346500"/>
    <n v="198972777190"/>
    <n v="1604600000"/>
    <x v="1"/>
    <n v="197368177190"/>
  </r>
  <r>
    <x v="2"/>
    <x v="31"/>
    <x v="31"/>
    <x v="18"/>
    <s v="Costo financiero, deuda o apoyos a deudores y ahorradores de la banca"/>
    <x v="3"/>
    <x v="795"/>
    <x v="4"/>
    <x v="182"/>
    <n v="4"/>
    <s v="Otras"/>
    <n v="0"/>
    <s v="Costo Financiero de la Deuda"/>
    <n v="1"/>
    <x v="80"/>
    <x v="1"/>
    <x v="196"/>
    <n v="1"/>
    <s v="Gasto corriente"/>
    <x v="2"/>
    <x v="0"/>
    <x v="0"/>
    <x v="0"/>
    <x v="0"/>
    <x v="0"/>
    <x v="0"/>
    <m/>
    <x v="0"/>
    <x v="0"/>
    <m/>
    <n v="2556694400"/>
    <n v="0"/>
    <n v="0"/>
    <n v="2556694400"/>
    <n v="2410689400"/>
    <m/>
    <x v="1"/>
    <n v="2410689400"/>
  </r>
  <r>
    <x v="2"/>
    <x v="31"/>
    <x v="31"/>
    <x v="18"/>
    <s v="Costo financiero, deuda o apoyos a deudores y ahorradores de la banca"/>
    <x v="4"/>
    <x v="796"/>
    <x v="4"/>
    <x v="182"/>
    <n v="4"/>
    <s v="Otras"/>
    <n v="0"/>
    <s v="Costo Financiero de la Deuda"/>
    <n v="1"/>
    <x v="80"/>
    <x v="1"/>
    <x v="196"/>
    <n v="1"/>
    <s v="Gasto corriente"/>
    <x v="2"/>
    <x v="0"/>
    <x v="0"/>
    <x v="0"/>
    <x v="0"/>
    <x v="0"/>
    <x v="0"/>
    <m/>
    <x v="0"/>
    <x v="0"/>
    <m/>
    <n v="205645200"/>
    <n v="0"/>
    <n v="0"/>
    <n v="205645200"/>
    <n v="53794300"/>
    <m/>
    <x v="1"/>
    <n v="53794300"/>
  </r>
  <r>
    <x v="2"/>
    <x v="31"/>
    <x v="31"/>
    <x v="18"/>
    <s v="Costo financiero, deuda o apoyos a deudores y ahorradores de la banca"/>
    <x v="5"/>
    <x v="797"/>
    <x v="4"/>
    <x v="182"/>
    <n v="4"/>
    <s v="Otras"/>
    <n v="0"/>
    <s v="Costo Financiero de la Deuda"/>
    <n v="1"/>
    <x v="80"/>
    <x v="1"/>
    <x v="196"/>
    <n v="1"/>
    <s v="Gasto corriente"/>
    <x v="2"/>
    <x v="0"/>
    <x v="0"/>
    <x v="0"/>
    <x v="0"/>
    <x v="0"/>
    <x v="0"/>
    <m/>
    <x v="0"/>
    <x v="0"/>
    <m/>
    <n v="1353195800"/>
    <n v="0"/>
    <n v="0"/>
    <n v="1353195800"/>
    <n v="3349246600"/>
    <m/>
    <x v="1"/>
    <n v="3349246600"/>
  </r>
  <r>
    <x v="2"/>
    <x v="31"/>
    <x v="31"/>
    <x v="18"/>
    <s v="Costo financiero, deuda o apoyos a deudores y ahorradores de la banca"/>
    <x v="6"/>
    <x v="798"/>
    <x v="4"/>
    <x v="182"/>
    <n v="4"/>
    <s v="Otras"/>
    <n v="0"/>
    <s v="Costo Financiero de la Deuda"/>
    <n v="2"/>
    <x v="81"/>
    <x v="1"/>
    <x v="196"/>
    <n v="1"/>
    <s v="Gasto corriente"/>
    <x v="2"/>
    <x v="0"/>
    <x v="0"/>
    <x v="0"/>
    <x v="0"/>
    <x v="0"/>
    <x v="0"/>
    <m/>
    <x v="0"/>
    <x v="0"/>
    <m/>
    <n v="33125569233"/>
    <n v="0"/>
    <n v="0"/>
    <n v="33125569233"/>
    <n v="31149047553"/>
    <m/>
    <x v="1"/>
    <n v="31149047553"/>
  </r>
  <r>
    <x v="2"/>
    <x v="31"/>
    <x v="31"/>
    <x v="18"/>
    <s v="Costo financiero, deuda o apoyos a deudores y ahorradores de la banca"/>
    <x v="7"/>
    <x v="799"/>
    <x v="4"/>
    <x v="182"/>
    <n v="4"/>
    <s v="Otras"/>
    <n v="0"/>
    <s v="Costo Financiero de la Deuda"/>
    <n v="2"/>
    <x v="81"/>
    <x v="1"/>
    <x v="196"/>
    <n v="1"/>
    <s v="Gasto corriente"/>
    <x v="2"/>
    <x v="0"/>
    <x v="0"/>
    <x v="0"/>
    <x v="0"/>
    <x v="0"/>
    <x v="0"/>
    <m/>
    <x v="0"/>
    <x v="0"/>
    <m/>
    <n v="4062"/>
    <n v="0"/>
    <n v="0"/>
    <n v="4062"/>
    <n v="300"/>
    <m/>
    <x v="1"/>
    <n v="300"/>
  </r>
  <r>
    <x v="2"/>
    <x v="31"/>
    <x v="31"/>
    <x v="18"/>
    <s v="Costo financiero, deuda o apoyos a deudores y ahorradores de la banca"/>
    <x v="8"/>
    <x v="800"/>
    <x v="4"/>
    <x v="182"/>
    <n v="4"/>
    <s v="Otras"/>
    <n v="0"/>
    <s v="Costo Financiero de la Deuda"/>
    <n v="2"/>
    <x v="81"/>
    <x v="1"/>
    <x v="196"/>
    <n v="1"/>
    <s v="Gasto corriente"/>
    <x v="2"/>
    <x v="0"/>
    <x v="0"/>
    <x v="0"/>
    <x v="0"/>
    <x v="0"/>
    <x v="0"/>
    <m/>
    <x v="0"/>
    <x v="0"/>
    <m/>
    <n v="82615500"/>
    <n v="0"/>
    <n v="0"/>
    <n v="82615500"/>
    <n v="77400050"/>
    <m/>
    <x v="1"/>
    <n v="77400050"/>
  </r>
  <r>
    <x v="2"/>
    <x v="31"/>
    <x v="31"/>
    <x v="18"/>
    <s v="Costo financiero, deuda o apoyos a deudores y ahorradores de la banca"/>
    <x v="9"/>
    <x v="801"/>
    <x v="4"/>
    <x v="182"/>
    <n v="4"/>
    <s v="Otras"/>
    <n v="0"/>
    <s v="Costo Financiero de la Deuda"/>
    <n v="2"/>
    <x v="81"/>
    <x v="1"/>
    <x v="196"/>
    <n v="1"/>
    <s v="Gasto corriente"/>
    <x v="2"/>
    <x v="0"/>
    <x v="0"/>
    <x v="0"/>
    <x v="0"/>
    <x v="0"/>
    <x v="0"/>
    <m/>
    <x v="0"/>
    <x v="0"/>
    <m/>
    <n v="2231031692"/>
    <n v="0"/>
    <n v="0"/>
    <n v="2231031692"/>
    <n v="194892635"/>
    <m/>
    <x v="1"/>
    <n v="194892635"/>
  </r>
  <r>
    <x v="2"/>
    <x v="31"/>
    <x v="31"/>
    <x v="18"/>
    <s v="Costo financiero, deuda o apoyos a deudores y ahorradores de la banca"/>
    <x v="10"/>
    <x v="802"/>
    <x v="4"/>
    <x v="182"/>
    <n v="4"/>
    <s v="Otras"/>
    <n v="0"/>
    <s v="Costo Financiero de la Deuda"/>
    <n v="2"/>
    <x v="81"/>
    <x v="1"/>
    <x v="196"/>
    <n v="1"/>
    <s v="Gasto corriente"/>
    <x v="2"/>
    <x v="0"/>
    <x v="0"/>
    <x v="0"/>
    <x v="0"/>
    <x v="0"/>
    <x v="0"/>
    <m/>
    <x v="0"/>
    <x v="0"/>
    <m/>
    <n v="10550878475"/>
    <n v="0"/>
    <n v="0"/>
    <n v="10550878475"/>
    <n v="9574866725"/>
    <m/>
    <x v="1"/>
    <n v="9574866725"/>
  </r>
  <r>
    <x v="2"/>
    <x v="32"/>
    <x v="32"/>
    <x v="4"/>
    <s v="Prestación de Servicios Públicos"/>
    <x v="4"/>
    <x v="803"/>
    <x v="32"/>
    <x v="1051"/>
    <n v="2"/>
    <s v="Desarrollo Social"/>
    <n v="0"/>
    <s v="Educación"/>
    <n v="1"/>
    <x v="31"/>
    <x v="4"/>
    <x v="197"/>
    <n v="1"/>
    <s v="Gasto corriente"/>
    <x v="0"/>
    <x v="1"/>
    <x v="0"/>
    <x v="0"/>
    <x v="0"/>
    <x v="0"/>
    <x v="0"/>
    <m/>
    <x v="0"/>
    <x v="0"/>
    <m/>
    <n v="2172521847"/>
    <n v="0"/>
    <n v="0"/>
    <n v="2172521847"/>
    <n v="2119668708"/>
    <m/>
    <x v="1"/>
    <n v="2119668708"/>
  </r>
  <r>
    <x v="2"/>
    <x v="32"/>
    <x v="32"/>
    <x v="4"/>
    <s v="Prestación de Servicios Públicos"/>
    <x v="4"/>
    <x v="803"/>
    <x v="32"/>
    <x v="1051"/>
    <n v="2"/>
    <s v="Desarrollo Social"/>
    <n v="0"/>
    <s v="Educación"/>
    <n v="1"/>
    <x v="31"/>
    <x v="4"/>
    <x v="197"/>
    <n v="1"/>
    <s v="Gasto corriente"/>
    <x v="0"/>
    <x v="0"/>
    <x v="0"/>
    <x v="0"/>
    <x v="0"/>
    <x v="0"/>
    <x v="0"/>
    <m/>
    <x v="0"/>
    <x v="0"/>
    <m/>
    <n v="25101909170"/>
    <n v="0"/>
    <n v="-6975944"/>
    <n v="25094933226"/>
    <n v="25362566798"/>
    <m/>
    <x v="1"/>
    <n v="25362566798"/>
  </r>
  <r>
    <x v="2"/>
    <x v="32"/>
    <x v="32"/>
    <x v="4"/>
    <s v="Prestación de Servicios Públicos"/>
    <x v="5"/>
    <x v="804"/>
    <x v="32"/>
    <x v="1051"/>
    <n v="2"/>
    <s v="Desarrollo Social"/>
    <n v="0"/>
    <s v="Educación"/>
    <n v="3"/>
    <x v="29"/>
    <x v="11"/>
    <x v="198"/>
    <n v="1"/>
    <s v="Gasto corriente"/>
    <x v="0"/>
    <x v="1"/>
    <x v="0"/>
    <x v="0"/>
    <x v="0"/>
    <x v="0"/>
    <x v="0"/>
    <m/>
    <x v="0"/>
    <x v="0"/>
    <m/>
    <n v="50543605"/>
    <n v="0"/>
    <n v="0"/>
    <n v="50543605"/>
    <n v="50517694"/>
    <m/>
    <x v="1"/>
    <n v="50517694"/>
  </r>
  <r>
    <x v="2"/>
    <x v="32"/>
    <x v="32"/>
    <x v="4"/>
    <s v="Prestación de Servicios Públicos"/>
    <x v="5"/>
    <x v="804"/>
    <x v="32"/>
    <x v="1051"/>
    <n v="2"/>
    <s v="Desarrollo Social"/>
    <n v="0"/>
    <s v="Educación"/>
    <n v="3"/>
    <x v="29"/>
    <x v="11"/>
    <x v="198"/>
    <n v="1"/>
    <s v="Gasto corriente"/>
    <x v="0"/>
    <x v="0"/>
    <x v="0"/>
    <x v="0"/>
    <x v="0"/>
    <x v="0"/>
    <x v="0"/>
    <m/>
    <x v="0"/>
    <x v="0"/>
    <m/>
    <n v="738911207"/>
    <n v="0"/>
    <n v="0"/>
    <n v="738911207"/>
    <n v="687436207"/>
    <m/>
    <x v="1"/>
    <n v="687436207"/>
  </r>
  <r>
    <x v="2"/>
    <x v="32"/>
    <x v="32"/>
    <x v="15"/>
    <s v="Gasto Federalizado"/>
    <x v="2"/>
    <x v="805"/>
    <x v="32"/>
    <x v="1051"/>
    <n v="2"/>
    <s v="Desarrollo Social"/>
    <n v="0"/>
    <s v="Educación"/>
    <n v="8"/>
    <x v="51"/>
    <x v="0"/>
    <x v="199"/>
    <n v="1"/>
    <s v="Gasto corriente"/>
    <x v="0"/>
    <x v="1"/>
    <x v="0"/>
    <x v="0"/>
    <x v="0"/>
    <x v="0"/>
    <x v="0"/>
    <m/>
    <x v="0"/>
    <x v="0"/>
    <m/>
    <n v="49903500"/>
    <n v="0"/>
    <n v="0"/>
    <n v="49903500"/>
    <m/>
    <m/>
    <x v="1"/>
    <n v="0"/>
  </r>
  <r>
    <x v="2"/>
    <x v="32"/>
    <x v="32"/>
    <x v="15"/>
    <s v="Gasto Federalizado"/>
    <x v="2"/>
    <x v="805"/>
    <x v="32"/>
    <x v="1051"/>
    <n v="2"/>
    <s v="Desarrollo Social"/>
    <n v="0"/>
    <s v="Educación"/>
    <n v="8"/>
    <x v="51"/>
    <x v="0"/>
    <x v="199"/>
    <n v="1"/>
    <s v="Gasto corriente"/>
    <x v="0"/>
    <x v="0"/>
    <x v="0"/>
    <x v="0"/>
    <x v="0"/>
    <x v="0"/>
    <x v="0"/>
    <m/>
    <x v="0"/>
    <x v="0"/>
    <m/>
    <n v="1364447400"/>
    <n v="0"/>
    <n v="0"/>
    <n v="1364447400"/>
    <m/>
    <m/>
    <x v="1"/>
    <n v="0"/>
  </r>
  <r>
    <x v="2"/>
    <x v="32"/>
    <x v="32"/>
    <x v="15"/>
    <s v="Gasto Federalizado"/>
    <x v="3"/>
    <x v="806"/>
    <x v="61"/>
    <x v="39"/>
    <n v="2"/>
    <s v="Desarrollo Social"/>
    <n v="0"/>
    <s v="Educación"/>
    <n v="8"/>
    <x v="51"/>
    <x v="0"/>
    <x v="199"/>
    <n v="1"/>
    <s v="Gasto corriente"/>
    <x v="0"/>
    <x v="1"/>
    <x v="0"/>
    <x v="0"/>
    <x v="0"/>
    <x v="0"/>
    <x v="0"/>
    <n v="1"/>
    <x v="0"/>
    <x v="0"/>
    <m/>
    <n v="326820000"/>
    <n v="0"/>
    <n v="0"/>
    <n v="326820000"/>
    <n v="385934700"/>
    <m/>
    <x v="1"/>
    <n v="385934700"/>
  </r>
  <r>
    <x v="2"/>
    <x v="32"/>
    <x v="32"/>
    <x v="15"/>
    <s v="Gasto Federalizado"/>
    <x v="3"/>
    <x v="806"/>
    <x v="61"/>
    <x v="39"/>
    <n v="2"/>
    <s v="Desarrollo Social"/>
    <n v="0"/>
    <s v="Educación"/>
    <n v="8"/>
    <x v="51"/>
    <x v="0"/>
    <x v="199"/>
    <n v="1"/>
    <s v="Gasto corriente"/>
    <x v="0"/>
    <x v="0"/>
    <x v="0"/>
    <x v="0"/>
    <x v="0"/>
    <x v="0"/>
    <x v="0"/>
    <n v="1"/>
    <x v="0"/>
    <x v="0"/>
    <m/>
    <n v="9338722700"/>
    <n v="750000000"/>
    <n v="0"/>
    <n v="10088722700"/>
    <n v="13350181608"/>
    <m/>
    <x v="132"/>
    <n v="14080181608"/>
  </r>
  <r>
    <x v="2"/>
    <x v="32"/>
    <x v="32"/>
    <x v="15"/>
    <s v="Gasto Federalizado"/>
    <x v="4"/>
    <x v="807"/>
    <x v="61"/>
    <x v="39"/>
    <n v="2"/>
    <s v="Desarrollo Social"/>
    <n v="0"/>
    <s v="Educación"/>
    <n v="8"/>
    <x v="51"/>
    <x v="0"/>
    <x v="199"/>
    <n v="1"/>
    <s v="Gasto corriente"/>
    <x v="0"/>
    <x v="1"/>
    <x v="0"/>
    <x v="0"/>
    <x v="0"/>
    <x v="0"/>
    <x v="0"/>
    <m/>
    <x v="0"/>
    <x v="0"/>
    <m/>
    <n v="9173500"/>
    <n v="0"/>
    <n v="0"/>
    <n v="9173500"/>
    <n v="10423200"/>
    <m/>
    <x v="1"/>
    <n v="10423200"/>
  </r>
  <r>
    <x v="2"/>
    <x v="32"/>
    <x v="32"/>
    <x v="15"/>
    <s v="Gasto Federalizado"/>
    <x v="4"/>
    <x v="807"/>
    <x v="61"/>
    <x v="39"/>
    <n v="2"/>
    <s v="Desarrollo Social"/>
    <n v="0"/>
    <s v="Educación"/>
    <n v="8"/>
    <x v="51"/>
    <x v="0"/>
    <x v="199"/>
    <n v="1"/>
    <s v="Gasto corriente"/>
    <x v="0"/>
    <x v="0"/>
    <x v="0"/>
    <x v="0"/>
    <x v="0"/>
    <x v="0"/>
    <x v="0"/>
    <m/>
    <x v="0"/>
    <x v="0"/>
    <m/>
    <n v="162547300"/>
    <n v="0"/>
    <n v="0"/>
    <n v="162547300"/>
    <n v="179845644"/>
    <m/>
    <x v="1"/>
    <n v="179845644"/>
  </r>
  <r>
    <x v="2"/>
    <x v="32"/>
    <x v="32"/>
    <x v="15"/>
    <s v="Gasto Federalizado"/>
    <x v="5"/>
    <x v="808"/>
    <x v="61"/>
    <x v="39"/>
    <n v="2"/>
    <s v="Desarrollo Social"/>
    <n v="0"/>
    <s v="Educación"/>
    <n v="8"/>
    <x v="51"/>
    <x v="0"/>
    <x v="199"/>
    <n v="1"/>
    <s v="Gasto corriente"/>
    <x v="0"/>
    <x v="0"/>
    <x v="0"/>
    <x v="0"/>
    <x v="0"/>
    <x v="0"/>
    <x v="0"/>
    <m/>
    <x v="0"/>
    <x v="0"/>
    <m/>
    <n v="3500000000"/>
    <n v="0"/>
    <n v="0"/>
    <n v="3500000000"/>
    <n v="0"/>
    <m/>
    <x v="1"/>
    <n v="0"/>
  </r>
  <r>
    <x v="2"/>
    <x v="32"/>
    <x v="32"/>
    <x v="2"/>
    <s v="Apoyo al proceso presupuestario y para mejorar la eficiencia institucional"/>
    <x v="2"/>
    <x v="34"/>
    <x v="32"/>
    <x v="1051"/>
    <n v="2"/>
    <s v="Desarrollo Social"/>
    <n v="0"/>
    <s v="Educación"/>
    <n v="8"/>
    <x v="51"/>
    <x v="3"/>
    <x v="12"/>
    <n v="1"/>
    <s v="Gasto corriente"/>
    <x v="0"/>
    <x v="1"/>
    <x v="0"/>
    <x v="0"/>
    <x v="0"/>
    <x v="0"/>
    <x v="0"/>
    <m/>
    <x v="0"/>
    <x v="0"/>
    <m/>
    <n v="1143310"/>
    <n v="0"/>
    <n v="0"/>
    <n v="1143310"/>
    <n v="59812920"/>
    <m/>
    <x v="1"/>
    <n v="59812920"/>
  </r>
  <r>
    <x v="2"/>
    <x v="32"/>
    <x v="32"/>
    <x v="2"/>
    <s v="Apoyo al proceso presupuestario y para mejorar la eficiencia institucional"/>
    <x v="2"/>
    <x v="34"/>
    <x v="32"/>
    <x v="1051"/>
    <n v="2"/>
    <s v="Desarrollo Social"/>
    <n v="0"/>
    <s v="Educación"/>
    <n v="8"/>
    <x v="51"/>
    <x v="3"/>
    <x v="12"/>
    <n v="1"/>
    <s v="Gasto corriente"/>
    <x v="0"/>
    <x v="0"/>
    <x v="0"/>
    <x v="0"/>
    <x v="0"/>
    <x v="0"/>
    <x v="0"/>
    <m/>
    <x v="0"/>
    <x v="0"/>
    <m/>
    <n v="79445831"/>
    <n v="0"/>
    <n v="0"/>
    <n v="79445831"/>
    <n v="1573750962"/>
    <m/>
    <x v="1"/>
    <n v="1573750962"/>
  </r>
  <r>
    <x v="2"/>
    <x v="32"/>
    <x v="32"/>
    <x v="3"/>
    <s v="Apoyo a la función pública y al mejoramiento de la gestión"/>
    <x v="2"/>
    <x v="42"/>
    <x v="32"/>
    <x v="1051"/>
    <n v="1"/>
    <s v="Gobierno"/>
    <n v="8"/>
    <s v="Administración Pública"/>
    <n v="3"/>
    <x v="6"/>
    <x v="2"/>
    <x v="13"/>
    <n v="1"/>
    <s v="Gasto corriente"/>
    <x v="0"/>
    <x v="1"/>
    <x v="0"/>
    <x v="0"/>
    <x v="0"/>
    <x v="0"/>
    <x v="0"/>
    <m/>
    <x v="0"/>
    <x v="0"/>
    <m/>
    <n v="178192"/>
    <n v="0"/>
    <n v="0"/>
    <n v="178192"/>
    <n v="206908"/>
    <m/>
    <x v="1"/>
    <n v="206908"/>
  </r>
  <r>
    <x v="2"/>
    <x v="32"/>
    <x v="32"/>
    <x v="3"/>
    <s v="Apoyo a la función pública y al mejoramiento de la gestión"/>
    <x v="2"/>
    <x v="42"/>
    <x v="32"/>
    <x v="1051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10529277"/>
    <n v="0"/>
    <n v="0"/>
    <n v="10529277"/>
    <n v="9372590"/>
    <m/>
    <x v="1"/>
    <n v="9372590"/>
  </r>
  <r>
    <x v="2"/>
    <x v="32"/>
    <x v="32"/>
    <x v="3"/>
    <s v="Apoyo a la función pública y al mejoramiento de la gestión"/>
    <x v="32"/>
    <x v="121"/>
    <x v="32"/>
    <x v="1051"/>
    <n v="1"/>
    <s v="Gobierno"/>
    <n v="8"/>
    <s v="Administración Pública"/>
    <n v="3"/>
    <x v="6"/>
    <x v="3"/>
    <x v="12"/>
    <n v="1"/>
    <s v="Gasto corriente"/>
    <x v="0"/>
    <x v="0"/>
    <x v="0"/>
    <x v="0"/>
    <x v="0"/>
    <x v="0"/>
    <x v="0"/>
    <m/>
    <x v="0"/>
    <x v="0"/>
    <m/>
    <n v="3562409"/>
    <n v="0"/>
    <n v="0"/>
    <n v="3562409"/>
    <n v="3348664"/>
    <m/>
    <x v="1"/>
    <n v="3348664"/>
  </r>
  <r>
    <x v="2"/>
    <x v="32"/>
    <x v="32"/>
    <x v="7"/>
    <s v="Otros Subsidios"/>
    <x v="2"/>
    <x v="809"/>
    <x v="32"/>
    <x v="1051"/>
    <n v="2"/>
    <s v="Desarrollo Social"/>
    <n v="0"/>
    <s v="Educación"/>
    <n v="1"/>
    <x v="31"/>
    <x v="4"/>
    <x v="197"/>
    <n v="1"/>
    <s v="Gasto corriente"/>
    <x v="0"/>
    <x v="0"/>
    <x v="0"/>
    <x v="0"/>
    <x v="0"/>
    <x v="0"/>
    <x v="0"/>
    <m/>
    <x v="0"/>
    <x v="0"/>
    <m/>
    <n v="168746497"/>
    <n v="0"/>
    <n v="0"/>
    <n v="168746497"/>
    <n v="168746497"/>
    <m/>
    <x v="1"/>
    <n v="168746497"/>
  </r>
  <r>
    <x v="2"/>
    <x v="32"/>
    <x v="32"/>
    <x v="7"/>
    <s v="Otros Subsidios"/>
    <x v="3"/>
    <x v="810"/>
    <x v="32"/>
    <x v="1051"/>
    <n v="2"/>
    <s v="Desarrollo Social"/>
    <n v="0"/>
    <s v="Educación"/>
    <n v="1"/>
    <x v="31"/>
    <x v="4"/>
    <x v="197"/>
    <n v="1"/>
    <s v="Gasto corriente"/>
    <x v="0"/>
    <x v="0"/>
    <x v="0"/>
    <x v="0"/>
    <x v="0"/>
    <x v="0"/>
    <x v="0"/>
    <m/>
    <x v="0"/>
    <x v="0"/>
    <m/>
    <n v="21929002"/>
    <n v="0"/>
    <n v="0"/>
    <n v="21929002"/>
    <n v="21929002"/>
    <m/>
    <x v="1"/>
    <n v="21929002"/>
  </r>
  <r>
    <x v="2"/>
    <x v="33"/>
    <x v="33"/>
    <x v="19"/>
    <s v="Participaciones a entidades federativas y municipios"/>
    <x v="2"/>
    <x v="811"/>
    <x v="21"/>
    <x v="190"/>
    <n v="4"/>
    <s v="Otras"/>
    <n v="1"/>
    <s v="Recursos a Entidades Federativas"/>
    <n v="1"/>
    <x v="82"/>
    <x v="1"/>
    <x v="200"/>
    <n v="3"/>
    <s v="Participaciones"/>
    <x v="2"/>
    <x v="0"/>
    <x v="0"/>
    <x v="0"/>
    <x v="0"/>
    <x v="0"/>
    <x v="0"/>
    <m/>
    <x v="0"/>
    <x v="0"/>
    <m/>
    <n v="342340833746"/>
    <n v="0"/>
    <n v="-10851425727"/>
    <n v="331489408019"/>
    <n v="375543067390"/>
    <m/>
    <x v="133"/>
    <n v="378824432937"/>
  </r>
  <r>
    <x v="2"/>
    <x v="33"/>
    <x v="33"/>
    <x v="19"/>
    <s v="Participaciones a entidades federativas y municipios"/>
    <x v="3"/>
    <x v="812"/>
    <x v="21"/>
    <x v="190"/>
    <n v="4"/>
    <s v="Otras"/>
    <n v="1"/>
    <s v="Recursos a Entidades Federativas"/>
    <n v="1"/>
    <x v="82"/>
    <x v="1"/>
    <x v="200"/>
    <n v="3"/>
    <s v="Participaciones"/>
    <x v="2"/>
    <x v="0"/>
    <x v="0"/>
    <x v="0"/>
    <x v="0"/>
    <x v="0"/>
    <x v="0"/>
    <m/>
    <x v="0"/>
    <x v="0"/>
    <m/>
    <n v="17092482466"/>
    <n v="0"/>
    <n v="-537864968"/>
    <n v="16554617498"/>
    <n v="18490362696"/>
    <m/>
    <x v="1"/>
    <n v="18490362696"/>
  </r>
  <r>
    <x v="2"/>
    <x v="33"/>
    <x v="33"/>
    <x v="19"/>
    <s v="Participaciones a entidades federativas y municipios"/>
    <x v="4"/>
    <x v="813"/>
    <x v="21"/>
    <x v="190"/>
    <n v="4"/>
    <s v="Otras"/>
    <n v="1"/>
    <s v="Recursos a Entidades Federativas"/>
    <n v="1"/>
    <x v="82"/>
    <x v="1"/>
    <x v="200"/>
    <n v="3"/>
    <s v="Participaciones"/>
    <x v="2"/>
    <x v="0"/>
    <x v="0"/>
    <x v="0"/>
    <x v="0"/>
    <x v="0"/>
    <x v="0"/>
    <m/>
    <x v="0"/>
    <x v="0"/>
    <m/>
    <n v="92339727457"/>
    <n v="0"/>
    <n v="-643797253"/>
    <n v="91695930204"/>
    <n v="94442541353"/>
    <m/>
    <x v="1"/>
    <n v="94442541353"/>
  </r>
  <r>
    <x v="2"/>
    <x v="33"/>
    <x v="33"/>
    <x v="19"/>
    <s v="Participaciones a entidades federativas y municipios"/>
    <x v="5"/>
    <x v="814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8761664"/>
    <n v="0"/>
    <n v="0"/>
    <n v="18761664"/>
    <n v="19453968"/>
    <m/>
    <x v="1"/>
    <n v="19453968"/>
  </r>
  <r>
    <x v="2"/>
    <x v="33"/>
    <x v="33"/>
    <x v="19"/>
    <s v="Participaciones a entidades federativas y municipios"/>
    <x v="6"/>
    <x v="815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45487055"/>
    <n v="0"/>
    <n v="0"/>
    <n v="45487055"/>
    <n v="47165527"/>
    <m/>
    <x v="1"/>
    <n v="47165527"/>
  </r>
  <r>
    <x v="2"/>
    <x v="33"/>
    <x v="33"/>
    <x v="19"/>
    <s v="Participaciones a entidades federativas y municipios"/>
    <x v="7"/>
    <x v="816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8509971"/>
    <n v="0"/>
    <n v="0"/>
    <n v="8509971"/>
    <n v="8823989"/>
    <m/>
    <x v="1"/>
    <n v="8823989"/>
  </r>
  <r>
    <x v="2"/>
    <x v="33"/>
    <x v="33"/>
    <x v="19"/>
    <s v="Participaciones a entidades federativas y municipios"/>
    <x v="8"/>
    <x v="817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9265881"/>
    <n v="0"/>
    <n v="0"/>
    <n v="9265881"/>
    <n v="9607793"/>
    <m/>
    <x v="1"/>
    <n v="9607793"/>
  </r>
  <r>
    <x v="2"/>
    <x v="33"/>
    <x v="33"/>
    <x v="19"/>
    <s v="Participaciones a entidades federativas y municipios"/>
    <x v="9"/>
    <x v="818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60145466"/>
    <n v="0"/>
    <n v="0"/>
    <n v="60145466"/>
    <n v="62364833"/>
    <m/>
    <x v="1"/>
    <n v="62364833"/>
  </r>
  <r>
    <x v="2"/>
    <x v="33"/>
    <x v="33"/>
    <x v="19"/>
    <s v="Participaciones a entidades federativas y municipios"/>
    <x v="10"/>
    <x v="819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0987371"/>
    <n v="0"/>
    <n v="0"/>
    <n v="10987371"/>
    <n v="11392805"/>
    <m/>
    <x v="1"/>
    <n v="11392805"/>
  </r>
  <r>
    <x v="2"/>
    <x v="33"/>
    <x v="33"/>
    <x v="19"/>
    <s v="Participaciones a entidades federativas y municipios"/>
    <x v="11"/>
    <x v="820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29129224"/>
    <n v="0"/>
    <n v="0"/>
    <n v="29129224"/>
    <n v="30204093"/>
    <m/>
    <x v="1"/>
    <n v="30204093"/>
  </r>
  <r>
    <x v="2"/>
    <x v="33"/>
    <x v="33"/>
    <x v="19"/>
    <s v="Participaciones a entidades federativas y municipios"/>
    <x v="12"/>
    <x v="821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62488604"/>
    <n v="0"/>
    <n v="0"/>
    <n v="62488604"/>
    <n v="64794434"/>
    <m/>
    <x v="1"/>
    <n v="64794434"/>
  </r>
  <r>
    <x v="2"/>
    <x v="33"/>
    <x v="33"/>
    <x v="19"/>
    <s v="Participaciones a entidades federativas y municipios"/>
    <x v="13"/>
    <x v="822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421702442"/>
    <n v="0"/>
    <n v="0"/>
    <n v="421702442"/>
    <n v="437263262"/>
    <m/>
    <x v="1"/>
    <n v="437263262"/>
  </r>
  <r>
    <x v="2"/>
    <x v="33"/>
    <x v="33"/>
    <x v="19"/>
    <s v="Participaciones a entidades federativas y municipios"/>
    <x v="14"/>
    <x v="823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4009174"/>
    <n v="0"/>
    <n v="0"/>
    <n v="14009174"/>
    <n v="14526113"/>
    <m/>
    <x v="1"/>
    <n v="14526113"/>
  </r>
  <r>
    <x v="2"/>
    <x v="33"/>
    <x v="33"/>
    <x v="19"/>
    <s v="Participaciones a entidades federativas y municipios"/>
    <x v="15"/>
    <x v="824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58927916"/>
    <n v="0"/>
    <n v="0"/>
    <n v="58927916"/>
    <n v="61102356"/>
    <m/>
    <x v="1"/>
    <n v="61102356"/>
  </r>
  <r>
    <x v="2"/>
    <x v="33"/>
    <x v="33"/>
    <x v="19"/>
    <s v="Participaciones a entidades federativas y municipios"/>
    <x v="16"/>
    <x v="825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5872282"/>
    <n v="0"/>
    <n v="0"/>
    <n v="15872282"/>
    <n v="16457969"/>
    <m/>
    <x v="1"/>
    <n v="16457969"/>
  </r>
  <r>
    <x v="2"/>
    <x v="33"/>
    <x v="33"/>
    <x v="19"/>
    <s v="Participaciones a entidades federativas y municipios"/>
    <x v="17"/>
    <x v="826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6607961"/>
    <n v="0"/>
    <n v="0"/>
    <n v="16607961"/>
    <n v="17220795"/>
    <m/>
    <x v="1"/>
    <n v="17220795"/>
  </r>
  <r>
    <x v="2"/>
    <x v="33"/>
    <x v="33"/>
    <x v="19"/>
    <s v="Participaciones a entidades federativas y municipios"/>
    <x v="18"/>
    <x v="827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44584903"/>
    <n v="0"/>
    <n v="0"/>
    <n v="144584903"/>
    <n v="149920086"/>
    <m/>
    <x v="1"/>
    <n v="149920086"/>
  </r>
  <r>
    <x v="2"/>
    <x v="33"/>
    <x v="33"/>
    <x v="19"/>
    <s v="Participaciones a entidades federativas y municipios"/>
    <x v="19"/>
    <x v="828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99164954"/>
    <n v="0"/>
    <n v="0"/>
    <n v="199164954"/>
    <n v="206514141"/>
    <m/>
    <x v="1"/>
    <n v="206514141"/>
  </r>
  <r>
    <x v="2"/>
    <x v="33"/>
    <x v="33"/>
    <x v="19"/>
    <s v="Participaciones a entidades federativas y municipios"/>
    <x v="22"/>
    <x v="829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51810219"/>
    <n v="0"/>
    <n v="0"/>
    <n v="51810219"/>
    <n v="53722016"/>
    <m/>
    <x v="1"/>
    <n v="53722016"/>
  </r>
  <r>
    <x v="2"/>
    <x v="33"/>
    <x v="33"/>
    <x v="19"/>
    <s v="Participaciones a entidades federativas y municipios"/>
    <x v="23"/>
    <x v="830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8151049"/>
    <n v="0"/>
    <n v="0"/>
    <n v="18151049"/>
    <n v="18820823"/>
    <m/>
    <x v="1"/>
    <n v="18820823"/>
  </r>
  <r>
    <x v="2"/>
    <x v="33"/>
    <x v="33"/>
    <x v="19"/>
    <s v="Participaciones a entidades federativas y municipios"/>
    <x v="24"/>
    <x v="831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7240924"/>
    <n v="0"/>
    <n v="0"/>
    <n v="7240924"/>
    <n v="7508114"/>
    <m/>
    <x v="1"/>
    <n v="7508114"/>
  </r>
  <r>
    <x v="2"/>
    <x v="33"/>
    <x v="33"/>
    <x v="19"/>
    <s v="Participaciones a entidades federativas y municipios"/>
    <x v="20"/>
    <x v="832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128962752"/>
    <n v="0"/>
    <n v="0"/>
    <n v="128962752"/>
    <n v="133721477"/>
    <m/>
    <x v="1"/>
    <n v="133721477"/>
  </r>
  <r>
    <x v="2"/>
    <x v="33"/>
    <x v="33"/>
    <x v="19"/>
    <s v="Participaciones a entidades federativas y municipios"/>
    <x v="21"/>
    <x v="833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22921930"/>
    <n v="0"/>
    <n v="0"/>
    <n v="22921930"/>
    <n v="23767749"/>
    <m/>
    <x v="1"/>
    <n v="23767749"/>
  </r>
  <r>
    <x v="2"/>
    <x v="33"/>
    <x v="33"/>
    <x v="19"/>
    <s v="Participaciones a entidades federativas y municipios"/>
    <x v="47"/>
    <x v="834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81687996"/>
    <n v="0"/>
    <n v="0"/>
    <n v="81687996"/>
    <n v="84702284"/>
    <m/>
    <x v="1"/>
    <n v="84702284"/>
  </r>
  <r>
    <x v="2"/>
    <x v="33"/>
    <x v="33"/>
    <x v="19"/>
    <s v="Participaciones a entidades federativas y municipios"/>
    <x v="0"/>
    <x v="835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26460547"/>
    <n v="0"/>
    <n v="0"/>
    <n v="26460547"/>
    <n v="27436941"/>
    <m/>
    <x v="1"/>
    <n v="27436941"/>
  </r>
  <r>
    <x v="2"/>
    <x v="33"/>
    <x v="33"/>
    <x v="19"/>
    <s v="Participaciones a entidades federativas y municipios"/>
    <x v="25"/>
    <x v="836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39796575"/>
    <n v="0"/>
    <n v="0"/>
    <n v="39796575"/>
    <n v="41265068"/>
    <m/>
    <x v="1"/>
    <n v="41265068"/>
  </r>
  <r>
    <x v="2"/>
    <x v="33"/>
    <x v="33"/>
    <x v="19"/>
    <s v="Participaciones a entidades federativas y municipios"/>
    <x v="1"/>
    <x v="837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32242987"/>
    <n v="0"/>
    <n v="0"/>
    <n v="32242987"/>
    <n v="33432753"/>
    <m/>
    <x v="1"/>
    <n v="33432753"/>
  </r>
  <r>
    <x v="2"/>
    <x v="33"/>
    <x v="33"/>
    <x v="19"/>
    <s v="Participaciones a entidades federativas y municipios"/>
    <x v="31"/>
    <x v="838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50611061"/>
    <n v="0"/>
    <n v="0"/>
    <n v="50611061"/>
    <n v="52478609"/>
    <m/>
    <x v="1"/>
    <n v="52478609"/>
  </r>
  <r>
    <x v="2"/>
    <x v="33"/>
    <x v="33"/>
    <x v="19"/>
    <s v="Participaciones a entidades federativas y municipios"/>
    <x v="26"/>
    <x v="839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49413743"/>
    <n v="0"/>
    <n v="0"/>
    <n v="49413743"/>
    <n v="51237110"/>
    <m/>
    <x v="1"/>
    <n v="51237110"/>
  </r>
  <r>
    <x v="2"/>
    <x v="33"/>
    <x v="33"/>
    <x v="19"/>
    <s v="Participaciones a entidades federativas y municipios"/>
    <x v="27"/>
    <x v="840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29725124"/>
    <n v="0"/>
    <n v="0"/>
    <n v="29725124"/>
    <n v="30821981"/>
    <m/>
    <x v="1"/>
    <n v="30821981"/>
  </r>
  <r>
    <x v="2"/>
    <x v="33"/>
    <x v="33"/>
    <x v="19"/>
    <s v="Participaciones a entidades federativas y municipios"/>
    <x v="28"/>
    <x v="841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75355636"/>
    <n v="0"/>
    <n v="0"/>
    <n v="75355636"/>
    <n v="78136259"/>
    <m/>
    <x v="1"/>
    <n v="78136259"/>
  </r>
  <r>
    <x v="2"/>
    <x v="33"/>
    <x v="33"/>
    <x v="19"/>
    <s v="Participaciones a entidades federativas y municipios"/>
    <x v="29"/>
    <x v="842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6724109"/>
    <n v="0"/>
    <n v="0"/>
    <n v="6724109"/>
    <n v="6972229"/>
    <m/>
    <x v="1"/>
    <n v="6972229"/>
  </r>
  <r>
    <x v="2"/>
    <x v="33"/>
    <x v="33"/>
    <x v="19"/>
    <s v="Participaciones a entidades federativas y municipios"/>
    <x v="30"/>
    <x v="843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69841720"/>
    <n v="0"/>
    <n v="0"/>
    <n v="69841720"/>
    <n v="72418879"/>
    <m/>
    <x v="1"/>
    <n v="72418879"/>
  </r>
  <r>
    <x v="2"/>
    <x v="33"/>
    <x v="33"/>
    <x v="19"/>
    <s v="Participaciones a entidades federativas y municipios"/>
    <x v="53"/>
    <x v="844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24522032"/>
    <n v="0"/>
    <n v="0"/>
    <n v="24522032"/>
    <n v="25426895"/>
    <m/>
    <x v="1"/>
    <n v="25426895"/>
  </r>
  <r>
    <x v="2"/>
    <x v="33"/>
    <x v="33"/>
    <x v="19"/>
    <s v="Participaciones a entidades federativas y municipios"/>
    <x v="54"/>
    <x v="845"/>
    <x v="21"/>
    <x v="190"/>
    <n v="4"/>
    <s v="Otras"/>
    <n v="1"/>
    <s v="Recursos a Entidades Federativas"/>
    <n v="1"/>
    <x v="82"/>
    <x v="0"/>
    <x v="201"/>
    <n v="1"/>
    <s v="Gasto corriente"/>
    <x v="2"/>
    <x v="0"/>
    <x v="0"/>
    <x v="0"/>
    <x v="0"/>
    <x v="0"/>
    <x v="0"/>
    <m/>
    <x v="0"/>
    <x v="0"/>
    <m/>
    <n v="8085116"/>
    <n v="0"/>
    <n v="0"/>
    <n v="8085116"/>
    <n v="8383457"/>
    <m/>
    <x v="1"/>
    <n v="8383457"/>
  </r>
  <r>
    <x v="2"/>
    <x v="34"/>
    <x v="34"/>
    <x v="20"/>
    <s v="Adeudos de Ejercicios Fiscales Anteriores (ADEFAS)"/>
    <x v="2"/>
    <x v="846"/>
    <x v="56"/>
    <x v="176"/>
    <n v="4"/>
    <s v="Otras"/>
    <n v="2"/>
    <s v="Adeudos de Ejercicios Fiscales Anteriores"/>
    <n v="1"/>
    <x v="83"/>
    <x v="1"/>
    <x v="202"/>
    <n v="1"/>
    <s v="Gasto corriente"/>
    <x v="2"/>
    <x v="0"/>
    <x v="0"/>
    <x v="0"/>
    <x v="0"/>
    <x v="0"/>
    <x v="0"/>
    <m/>
    <x v="0"/>
    <x v="0"/>
    <m/>
    <n v="20000000000"/>
    <n v="0"/>
    <n v="-6676400000"/>
    <n v="13323600000"/>
    <n v="21632000000"/>
    <n v="8000000000"/>
    <x v="1"/>
    <n v="13632000000"/>
  </r>
  <r>
    <x v="2"/>
    <x v="35"/>
    <x v="35"/>
    <x v="15"/>
    <s v="Gasto Federalizado"/>
    <x v="170"/>
    <x v="847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203804574"/>
    <n v="0"/>
    <n v="0"/>
    <n v="203804574"/>
    <n v="200923513"/>
    <m/>
    <x v="1"/>
    <n v="200923513"/>
  </r>
  <r>
    <x v="2"/>
    <x v="35"/>
    <x v="35"/>
    <x v="15"/>
    <s v="Gasto Federalizado"/>
    <x v="170"/>
    <x v="847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2784320522"/>
    <n v="0"/>
    <n v="0"/>
    <n v="2784320522"/>
    <n v="2938810039"/>
    <m/>
    <x v="1"/>
    <n v="2938810039"/>
  </r>
  <r>
    <x v="2"/>
    <x v="35"/>
    <x v="35"/>
    <x v="15"/>
    <s v="Gasto Federalizado"/>
    <x v="170"/>
    <x v="847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4490359"/>
    <n v="0"/>
    <n v="0"/>
    <n v="14490359"/>
    <n v="14925026"/>
    <m/>
    <x v="1"/>
    <n v="14925026"/>
  </r>
  <r>
    <x v="2"/>
    <x v="35"/>
    <x v="35"/>
    <x v="15"/>
    <s v="Gasto Federalizado"/>
    <x v="171"/>
    <x v="848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404163094"/>
    <n v="0"/>
    <n v="0"/>
    <n v="404163094"/>
    <n v="420897302"/>
    <m/>
    <x v="1"/>
    <n v="420897302"/>
  </r>
  <r>
    <x v="2"/>
    <x v="35"/>
    <x v="35"/>
    <x v="15"/>
    <s v="Gasto Federalizado"/>
    <x v="171"/>
    <x v="848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6550949266"/>
    <n v="0"/>
    <n v="0"/>
    <n v="6550949266"/>
    <n v="7034885497"/>
    <m/>
    <x v="1"/>
    <n v="7034885497"/>
  </r>
  <r>
    <x v="2"/>
    <x v="35"/>
    <x v="35"/>
    <x v="15"/>
    <s v="Gasto Federalizado"/>
    <x v="171"/>
    <x v="848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75382905"/>
    <n v="0"/>
    <n v="0"/>
    <n v="75382905"/>
    <n v="77644165"/>
    <m/>
    <x v="1"/>
    <n v="77644165"/>
  </r>
  <r>
    <x v="2"/>
    <x v="35"/>
    <x v="35"/>
    <x v="15"/>
    <s v="Gasto Federalizado"/>
    <x v="172"/>
    <x v="849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149144323"/>
    <n v="0"/>
    <n v="0"/>
    <n v="149144323"/>
    <n v="146460492"/>
    <m/>
    <x v="1"/>
    <n v="146460492"/>
  </r>
  <r>
    <x v="2"/>
    <x v="35"/>
    <x v="35"/>
    <x v="15"/>
    <s v="Gasto Federalizado"/>
    <x v="172"/>
    <x v="849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999047929"/>
    <n v="0"/>
    <n v="0"/>
    <n v="1999047929"/>
    <n v="2090515070"/>
    <m/>
    <x v="1"/>
    <n v="2090515070"/>
  </r>
  <r>
    <x v="2"/>
    <x v="35"/>
    <x v="35"/>
    <x v="15"/>
    <s v="Gasto Federalizado"/>
    <x v="172"/>
    <x v="849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38496753"/>
    <n v="0"/>
    <n v="0"/>
    <n v="38496753"/>
    <n v="39651540"/>
    <m/>
    <x v="1"/>
    <n v="39651540"/>
  </r>
  <r>
    <x v="2"/>
    <x v="35"/>
    <x v="35"/>
    <x v="15"/>
    <s v="Gasto Federalizado"/>
    <x v="175"/>
    <x v="850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210043315"/>
    <n v="0"/>
    <n v="0"/>
    <n v="210043315"/>
    <n v="204482496"/>
    <m/>
    <x v="1"/>
    <n v="204482496"/>
  </r>
  <r>
    <x v="2"/>
    <x v="35"/>
    <x v="35"/>
    <x v="15"/>
    <s v="Gasto Federalizado"/>
    <x v="175"/>
    <x v="850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2673155989"/>
    <n v="0"/>
    <n v="0"/>
    <n v="2673155989"/>
    <n v="2794123841"/>
    <m/>
    <x v="1"/>
    <n v="2794123841"/>
  </r>
  <r>
    <x v="2"/>
    <x v="35"/>
    <x v="35"/>
    <x v="15"/>
    <s v="Gasto Federalizado"/>
    <x v="175"/>
    <x v="850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7903706"/>
    <n v="0"/>
    <n v="0"/>
    <n v="7903706"/>
    <n v="8140793"/>
    <m/>
    <x v="1"/>
    <n v="8140793"/>
  </r>
  <r>
    <x v="2"/>
    <x v="35"/>
    <x v="35"/>
    <x v="15"/>
    <s v="Gasto Federalizado"/>
    <x v="176"/>
    <x v="851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438666088"/>
    <n v="0"/>
    <n v="0"/>
    <n v="438666088"/>
    <n v="434441924"/>
    <m/>
    <x v="1"/>
    <n v="434441924"/>
  </r>
  <r>
    <x v="2"/>
    <x v="35"/>
    <x v="35"/>
    <x v="15"/>
    <s v="Gasto Federalizado"/>
    <x v="176"/>
    <x v="851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6302721804"/>
    <n v="0"/>
    <n v="0"/>
    <n v="6302721804"/>
    <n v="6647819282"/>
    <m/>
    <x v="1"/>
    <n v="6647819282"/>
  </r>
  <r>
    <x v="2"/>
    <x v="35"/>
    <x v="35"/>
    <x v="15"/>
    <s v="Gasto Federalizado"/>
    <x v="176"/>
    <x v="851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42807543"/>
    <n v="0"/>
    <n v="0"/>
    <n v="42807543"/>
    <n v="44091640"/>
    <m/>
    <x v="1"/>
    <n v="44091640"/>
  </r>
  <r>
    <x v="2"/>
    <x v="35"/>
    <x v="35"/>
    <x v="15"/>
    <s v="Gasto Federalizado"/>
    <x v="177"/>
    <x v="852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135348157"/>
    <n v="0"/>
    <n v="0"/>
    <n v="135348157"/>
    <n v="133233184"/>
    <m/>
    <x v="1"/>
    <n v="133233184"/>
  </r>
  <r>
    <x v="2"/>
    <x v="35"/>
    <x v="35"/>
    <x v="15"/>
    <s v="Gasto Federalizado"/>
    <x v="177"/>
    <x v="852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930612428"/>
    <n v="0"/>
    <n v="0"/>
    <n v="1930612428"/>
    <n v="2015549740"/>
    <m/>
    <x v="1"/>
    <n v="2015549740"/>
  </r>
  <r>
    <x v="2"/>
    <x v="35"/>
    <x v="35"/>
    <x v="15"/>
    <s v="Gasto Federalizado"/>
    <x v="177"/>
    <x v="852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8386035"/>
    <n v="0"/>
    <n v="0"/>
    <n v="18386035"/>
    <n v="18937561"/>
    <m/>
    <x v="1"/>
    <n v="18937561"/>
  </r>
  <r>
    <x v="2"/>
    <x v="35"/>
    <x v="35"/>
    <x v="15"/>
    <s v="Gasto Federalizado"/>
    <x v="178"/>
    <x v="853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757773856"/>
    <n v="0"/>
    <n v="0"/>
    <n v="757773856"/>
    <n v="746879732"/>
    <m/>
    <x v="1"/>
    <n v="746879732"/>
  </r>
  <r>
    <x v="2"/>
    <x v="35"/>
    <x v="35"/>
    <x v="15"/>
    <s v="Gasto Federalizado"/>
    <x v="178"/>
    <x v="853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1540931465"/>
    <n v="0"/>
    <n v="0"/>
    <n v="11540931465"/>
    <n v="12234611265"/>
    <m/>
    <x v="1"/>
    <n v="12234611265"/>
  </r>
  <r>
    <x v="2"/>
    <x v="35"/>
    <x v="35"/>
    <x v="15"/>
    <s v="Gasto Federalizado"/>
    <x v="178"/>
    <x v="853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1879734"/>
    <n v="0"/>
    <n v="0"/>
    <n v="11879734"/>
    <n v="12236090"/>
    <m/>
    <x v="1"/>
    <n v="12236090"/>
  </r>
  <r>
    <x v="2"/>
    <x v="35"/>
    <x v="35"/>
    <x v="15"/>
    <s v="Gasto Federalizado"/>
    <x v="82"/>
    <x v="854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467931489"/>
    <n v="0"/>
    <n v="0"/>
    <n v="467931489"/>
    <n v="456730833"/>
    <m/>
    <x v="1"/>
    <n v="456730833"/>
  </r>
  <r>
    <x v="2"/>
    <x v="35"/>
    <x v="35"/>
    <x v="15"/>
    <s v="Gasto Federalizado"/>
    <x v="82"/>
    <x v="854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6799478530"/>
    <n v="0"/>
    <n v="0"/>
    <n v="6799478530"/>
    <n v="7283967619"/>
    <m/>
    <x v="1"/>
    <n v="7283967619"/>
  </r>
  <r>
    <x v="2"/>
    <x v="35"/>
    <x v="35"/>
    <x v="15"/>
    <s v="Gasto Federalizado"/>
    <x v="82"/>
    <x v="854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8183443"/>
    <n v="0"/>
    <n v="0"/>
    <n v="8183443"/>
    <n v="8428921"/>
    <m/>
    <x v="1"/>
    <n v="8428921"/>
  </r>
  <r>
    <x v="2"/>
    <x v="35"/>
    <x v="35"/>
    <x v="15"/>
    <s v="Gasto Federalizado"/>
    <x v="130"/>
    <x v="855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322803786"/>
    <n v="0"/>
    <n v="0"/>
    <n v="322803786"/>
    <n v="322051573"/>
    <m/>
    <x v="1"/>
    <n v="322051573"/>
  </r>
  <r>
    <x v="2"/>
    <x v="35"/>
    <x v="35"/>
    <x v="15"/>
    <s v="Gasto Federalizado"/>
    <x v="130"/>
    <x v="855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4887667950"/>
    <n v="0"/>
    <n v="0"/>
    <n v="4887667950"/>
    <n v="5147776131"/>
    <m/>
    <x v="1"/>
    <n v="5147776131"/>
  </r>
  <r>
    <x v="2"/>
    <x v="35"/>
    <x v="35"/>
    <x v="15"/>
    <s v="Gasto Federalizado"/>
    <x v="130"/>
    <x v="855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6283549"/>
    <n v="0"/>
    <n v="0"/>
    <n v="6283549"/>
    <n v="6472037"/>
    <m/>
    <x v="1"/>
    <n v="6472037"/>
  </r>
  <r>
    <x v="2"/>
    <x v="35"/>
    <x v="35"/>
    <x v="15"/>
    <s v="Gasto Federalizado"/>
    <x v="83"/>
    <x v="856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570521009"/>
    <n v="0"/>
    <n v="0"/>
    <n v="570521009"/>
    <n v="571001399"/>
    <m/>
    <x v="1"/>
    <n v="571001399"/>
  </r>
  <r>
    <x v="2"/>
    <x v="35"/>
    <x v="35"/>
    <x v="15"/>
    <s v="Gasto Federalizado"/>
    <x v="83"/>
    <x v="856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9453536236"/>
    <n v="0"/>
    <n v="0"/>
    <n v="9453536236"/>
    <n v="10429356827"/>
    <m/>
    <x v="1"/>
    <n v="10429356827"/>
  </r>
  <r>
    <x v="2"/>
    <x v="35"/>
    <x v="35"/>
    <x v="15"/>
    <s v="Gasto Federalizado"/>
    <x v="83"/>
    <x v="856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1997730"/>
    <n v="0"/>
    <n v="0"/>
    <n v="11997730"/>
    <n v="12357626"/>
    <m/>
    <x v="1"/>
    <n v="12357626"/>
  </r>
  <r>
    <x v="2"/>
    <x v="35"/>
    <x v="35"/>
    <x v="15"/>
    <s v="Gasto Federalizado"/>
    <x v="179"/>
    <x v="857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724778110"/>
    <n v="0"/>
    <n v="0"/>
    <n v="724778110"/>
    <n v="713086960"/>
    <m/>
    <x v="1"/>
    <n v="713086960"/>
  </r>
  <r>
    <x v="2"/>
    <x v="35"/>
    <x v="35"/>
    <x v="15"/>
    <s v="Gasto Federalizado"/>
    <x v="179"/>
    <x v="857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0669322800"/>
    <n v="0"/>
    <n v="0"/>
    <n v="10669322800"/>
    <n v="11136904997"/>
    <m/>
    <x v="1"/>
    <n v="11136904997"/>
  </r>
  <r>
    <x v="2"/>
    <x v="35"/>
    <x v="35"/>
    <x v="15"/>
    <s v="Gasto Federalizado"/>
    <x v="179"/>
    <x v="857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2697295"/>
    <n v="0"/>
    <n v="0"/>
    <n v="12697295"/>
    <n v="13078176"/>
    <m/>
    <x v="1"/>
    <n v="13078176"/>
  </r>
  <r>
    <x v="2"/>
    <x v="35"/>
    <x v="35"/>
    <x v="15"/>
    <s v="Gasto Federalizado"/>
    <x v="180"/>
    <x v="858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501155290"/>
    <n v="0"/>
    <n v="0"/>
    <n v="501155290"/>
    <n v="488338635"/>
    <m/>
    <x v="1"/>
    <n v="488338635"/>
  </r>
  <r>
    <x v="2"/>
    <x v="35"/>
    <x v="35"/>
    <x v="15"/>
    <s v="Gasto Federalizado"/>
    <x v="180"/>
    <x v="858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6983668720"/>
    <n v="0"/>
    <n v="0"/>
    <n v="6983668720"/>
    <n v="7295987931"/>
    <m/>
    <x v="1"/>
    <n v="7295987931"/>
  </r>
  <r>
    <x v="2"/>
    <x v="35"/>
    <x v="35"/>
    <x v="15"/>
    <s v="Gasto Federalizado"/>
    <x v="180"/>
    <x v="858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0956265"/>
    <n v="0"/>
    <n v="0"/>
    <n v="10956265"/>
    <n v="11284920"/>
    <m/>
    <x v="1"/>
    <n v="11284920"/>
  </r>
  <r>
    <x v="2"/>
    <x v="35"/>
    <x v="35"/>
    <x v="15"/>
    <s v="Gasto Federalizado"/>
    <x v="181"/>
    <x v="859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763104409"/>
    <n v="0"/>
    <n v="0"/>
    <n v="763104409"/>
    <n v="758124218"/>
    <m/>
    <x v="1"/>
    <n v="758124218"/>
  </r>
  <r>
    <x v="2"/>
    <x v="35"/>
    <x v="35"/>
    <x v="15"/>
    <s v="Gasto Federalizado"/>
    <x v="181"/>
    <x v="859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1762501128"/>
    <n v="0"/>
    <n v="0"/>
    <n v="11762501128"/>
    <n v="12891241177"/>
    <m/>
    <x v="1"/>
    <n v="12891241177"/>
  </r>
  <r>
    <x v="2"/>
    <x v="35"/>
    <x v="35"/>
    <x v="15"/>
    <s v="Gasto Federalizado"/>
    <x v="181"/>
    <x v="859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4744766"/>
    <n v="0"/>
    <n v="0"/>
    <n v="14744766"/>
    <n v="15187065"/>
    <m/>
    <x v="1"/>
    <n v="15187065"/>
  </r>
  <r>
    <x v="2"/>
    <x v="35"/>
    <x v="35"/>
    <x v="15"/>
    <s v="Gasto Federalizado"/>
    <x v="182"/>
    <x v="860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1080462936"/>
    <n v="0"/>
    <n v="0"/>
    <n v="1080462936"/>
    <n v="1055367715"/>
    <m/>
    <x v="1"/>
    <n v="1055367715"/>
  </r>
  <r>
    <x v="2"/>
    <x v="35"/>
    <x v="35"/>
    <x v="15"/>
    <s v="Gasto Federalizado"/>
    <x v="182"/>
    <x v="860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22333046873"/>
    <n v="0"/>
    <n v="0"/>
    <n v="22333046873"/>
    <n v="24784825219"/>
    <m/>
    <x v="1"/>
    <n v="24784825219"/>
  </r>
  <r>
    <x v="2"/>
    <x v="35"/>
    <x v="35"/>
    <x v="15"/>
    <s v="Gasto Federalizado"/>
    <x v="182"/>
    <x v="860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99857226"/>
    <n v="0"/>
    <n v="0"/>
    <n v="199857226"/>
    <n v="205852340"/>
    <m/>
    <x v="1"/>
    <n v="205852340"/>
  </r>
  <r>
    <x v="2"/>
    <x v="35"/>
    <x v="35"/>
    <x v="15"/>
    <s v="Gasto Federalizado"/>
    <x v="173"/>
    <x v="861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705247016"/>
    <n v="0"/>
    <n v="0"/>
    <n v="705247016"/>
    <n v="681581215"/>
    <m/>
    <x v="1"/>
    <n v="681581215"/>
  </r>
  <r>
    <x v="2"/>
    <x v="35"/>
    <x v="35"/>
    <x v="15"/>
    <s v="Gasto Federalizado"/>
    <x v="173"/>
    <x v="861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0243654889"/>
    <n v="0"/>
    <n v="0"/>
    <n v="10243654889"/>
    <n v="10705438261"/>
    <m/>
    <x v="1"/>
    <n v="10705438261"/>
  </r>
  <r>
    <x v="2"/>
    <x v="35"/>
    <x v="35"/>
    <x v="15"/>
    <s v="Gasto Federalizado"/>
    <x v="173"/>
    <x v="861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6144590"/>
    <n v="0"/>
    <n v="0"/>
    <n v="16144590"/>
    <n v="16628879"/>
    <m/>
    <x v="1"/>
    <n v="16628879"/>
  </r>
  <r>
    <x v="2"/>
    <x v="35"/>
    <x v="35"/>
    <x v="15"/>
    <s v="Gasto Federalizado"/>
    <x v="140"/>
    <x v="862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288239340"/>
    <n v="0"/>
    <n v="0"/>
    <n v="288239340"/>
    <n v="283987262"/>
    <m/>
    <x v="1"/>
    <n v="283987262"/>
  </r>
  <r>
    <x v="2"/>
    <x v="35"/>
    <x v="35"/>
    <x v="15"/>
    <s v="Gasto Federalizado"/>
    <x v="140"/>
    <x v="862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4039084599"/>
    <n v="0"/>
    <n v="0"/>
    <n v="4039084599"/>
    <n v="4216493156"/>
    <m/>
    <x v="1"/>
    <n v="4216493156"/>
  </r>
  <r>
    <x v="2"/>
    <x v="35"/>
    <x v="35"/>
    <x v="15"/>
    <s v="Gasto Federalizado"/>
    <x v="140"/>
    <x v="862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6350201"/>
    <n v="0"/>
    <n v="0"/>
    <n v="6350201"/>
    <n v="6540688"/>
    <m/>
    <x v="1"/>
    <n v="6540688"/>
  </r>
  <r>
    <x v="2"/>
    <x v="35"/>
    <x v="35"/>
    <x v="15"/>
    <s v="Gasto Federalizado"/>
    <x v="141"/>
    <x v="863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223089210"/>
    <n v="0"/>
    <n v="0"/>
    <n v="223089210"/>
    <n v="219316892"/>
    <m/>
    <x v="1"/>
    <n v="219316892"/>
  </r>
  <r>
    <x v="2"/>
    <x v="35"/>
    <x v="35"/>
    <x v="15"/>
    <s v="Gasto Federalizado"/>
    <x v="141"/>
    <x v="863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3256036741"/>
    <n v="0"/>
    <n v="0"/>
    <n v="3256036741"/>
    <n v="3399071717"/>
    <m/>
    <x v="1"/>
    <n v="3399071717"/>
  </r>
  <r>
    <x v="2"/>
    <x v="35"/>
    <x v="35"/>
    <x v="15"/>
    <s v="Gasto Federalizado"/>
    <x v="141"/>
    <x v="863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9759049"/>
    <n v="0"/>
    <n v="0"/>
    <n v="9759049"/>
    <n v="10051791"/>
    <m/>
    <x v="1"/>
    <n v="10051791"/>
  </r>
  <r>
    <x v="2"/>
    <x v="35"/>
    <x v="35"/>
    <x v="15"/>
    <s v="Gasto Federalizado"/>
    <x v="84"/>
    <x v="864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452425896"/>
    <n v="0"/>
    <n v="0"/>
    <n v="452425896"/>
    <n v="466140947"/>
    <m/>
    <x v="1"/>
    <n v="466140947"/>
  </r>
  <r>
    <x v="2"/>
    <x v="35"/>
    <x v="35"/>
    <x v="15"/>
    <s v="Gasto Federalizado"/>
    <x v="84"/>
    <x v="864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7726165283"/>
    <n v="0"/>
    <n v="0"/>
    <n v="7726165283"/>
    <n v="8377328124"/>
    <m/>
    <x v="1"/>
    <n v="8377328124"/>
  </r>
  <r>
    <x v="2"/>
    <x v="35"/>
    <x v="35"/>
    <x v="15"/>
    <s v="Gasto Federalizado"/>
    <x v="84"/>
    <x v="864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8303164"/>
    <n v="0"/>
    <n v="0"/>
    <n v="8303164"/>
    <n v="8552234"/>
    <m/>
    <x v="1"/>
    <n v="8552234"/>
  </r>
  <r>
    <x v="2"/>
    <x v="35"/>
    <x v="35"/>
    <x v="15"/>
    <s v="Gasto Federalizado"/>
    <x v="183"/>
    <x v="865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818778605"/>
    <n v="0"/>
    <n v="0"/>
    <n v="818778605"/>
    <n v="788178645"/>
    <m/>
    <x v="1"/>
    <n v="788178645"/>
  </r>
  <r>
    <x v="2"/>
    <x v="35"/>
    <x v="35"/>
    <x v="15"/>
    <s v="Gasto Federalizado"/>
    <x v="183"/>
    <x v="865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1541285788"/>
    <n v="0"/>
    <n v="0"/>
    <n v="11541285788"/>
    <n v="12066970599"/>
    <m/>
    <x v="1"/>
    <n v="12066970599"/>
  </r>
  <r>
    <x v="2"/>
    <x v="35"/>
    <x v="35"/>
    <x v="15"/>
    <s v="Gasto Federalizado"/>
    <x v="183"/>
    <x v="865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68206967"/>
    <n v="0"/>
    <n v="0"/>
    <n v="68206967"/>
    <n v="70252970"/>
    <m/>
    <x v="1"/>
    <n v="70252970"/>
  </r>
  <r>
    <x v="2"/>
    <x v="35"/>
    <x v="35"/>
    <x v="15"/>
    <s v="Gasto Federalizado"/>
    <x v="184"/>
    <x v="866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631697762"/>
    <n v="0"/>
    <n v="0"/>
    <n v="631697762"/>
    <n v="626929228"/>
    <m/>
    <x v="1"/>
    <n v="626929228"/>
  </r>
  <r>
    <x v="2"/>
    <x v="35"/>
    <x v="35"/>
    <x v="15"/>
    <s v="Gasto Federalizado"/>
    <x v="184"/>
    <x v="866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0478634624"/>
    <n v="0"/>
    <n v="0"/>
    <n v="10478634624"/>
    <n v="11477621257"/>
    <m/>
    <x v="1"/>
    <n v="11477621257"/>
  </r>
  <r>
    <x v="2"/>
    <x v="35"/>
    <x v="35"/>
    <x v="15"/>
    <s v="Gasto Federalizado"/>
    <x v="184"/>
    <x v="866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48864541"/>
    <n v="0"/>
    <n v="0"/>
    <n v="48864541"/>
    <n v="50330330"/>
    <m/>
    <x v="1"/>
    <n v="50330330"/>
  </r>
  <r>
    <x v="2"/>
    <x v="35"/>
    <x v="35"/>
    <x v="15"/>
    <s v="Gasto Federalizado"/>
    <x v="131"/>
    <x v="867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251108937"/>
    <n v="0"/>
    <n v="0"/>
    <n v="251108937"/>
    <n v="246559257"/>
    <m/>
    <x v="1"/>
    <n v="246559257"/>
  </r>
  <r>
    <x v="2"/>
    <x v="35"/>
    <x v="35"/>
    <x v="15"/>
    <s v="Gasto Federalizado"/>
    <x v="131"/>
    <x v="867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3504800205"/>
    <n v="0"/>
    <n v="0"/>
    <n v="3504800205"/>
    <n v="3722653152"/>
    <m/>
    <x v="1"/>
    <n v="3722653152"/>
  </r>
  <r>
    <x v="2"/>
    <x v="35"/>
    <x v="35"/>
    <x v="15"/>
    <s v="Gasto Federalizado"/>
    <x v="131"/>
    <x v="867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6340073"/>
    <n v="0"/>
    <n v="0"/>
    <n v="6340073"/>
    <n v="6530256"/>
    <m/>
    <x v="1"/>
    <n v="6530256"/>
  </r>
  <r>
    <x v="2"/>
    <x v="35"/>
    <x v="35"/>
    <x v="15"/>
    <s v="Gasto Federalizado"/>
    <x v="185"/>
    <x v="868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224805658"/>
    <n v="0"/>
    <n v="0"/>
    <n v="224805658"/>
    <n v="221435215"/>
    <m/>
    <x v="1"/>
    <n v="221435215"/>
  </r>
  <r>
    <x v="2"/>
    <x v="35"/>
    <x v="35"/>
    <x v="15"/>
    <s v="Gasto Federalizado"/>
    <x v="185"/>
    <x v="868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2938981681"/>
    <n v="0"/>
    <n v="0"/>
    <n v="2938981681"/>
    <n v="3069012880"/>
    <m/>
    <x v="1"/>
    <n v="3069012880"/>
  </r>
  <r>
    <x v="2"/>
    <x v="35"/>
    <x v="35"/>
    <x v="15"/>
    <s v="Gasto Federalizado"/>
    <x v="185"/>
    <x v="868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10922881"/>
    <n v="0"/>
    <n v="0"/>
    <n v="10922881"/>
    <n v="11250534"/>
    <m/>
    <x v="1"/>
    <n v="11250534"/>
  </r>
  <r>
    <x v="2"/>
    <x v="35"/>
    <x v="35"/>
    <x v="15"/>
    <s v="Gasto Federalizado"/>
    <x v="186"/>
    <x v="869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453682478"/>
    <n v="0"/>
    <n v="0"/>
    <n v="453682478"/>
    <n v="453616252"/>
    <m/>
    <x v="1"/>
    <n v="453616252"/>
  </r>
  <r>
    <x v="2"/>
    <x v="35"/>
    <x v="35"/>
    <x v="15"/>
    <s v="Gasto Federalizado"/>
    <x v="186"/>
    <x v="869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6749371581"/>
    <n v="0"/>
    <n v="0"/>
    <n v="6749371581"/>
    <n v="7037654965"/>
    <m/>
    <x v="1"/>
    <n v="7037654965"/>
  </r>
  <r>
    <x v="2"/>
    <x v="35"/>
    <x v="35"/>
    <x v="15"/>
    <s v="Gasto Federalizado"/>
    <x v="186"/>
    <x v="869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9496696"/>
    <n v="0"/>
    <n v="0"/>
    <n v="9496696"/>
    <n v="9781568"/>
    <m/>
    <x v="1"/>
    <n v="9781568"/>
  </r>
  <r>
    <x v="2"/>
    <x v="35"/>
    <x v="35"/>
    <x v="15"/>
    <s v="Gasto Federalizado"/>
    <x v="187"/>
    <x v="870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426051597"/>
    <n v="0"/>
    <n v="0"/>
    <n v="426051597"/>
    <n v="428965953"/>
    <m/>
    <x v="1"/>
    <n v="428965953"/>
  </r>
  <r>
    <x v="2"/>
    <x v="35"/>
    <x v="35"/>
    <x v="15"/>
    <s v="Gasto Federalizado"/>
    <x v="187"/>
    <x v="870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5837757235"/>
    <n v="0"/>
    <n v="0"/>
    <n v="5837757235"/>
    <n v="6220366168"/>
    <m/>
    <x v="1"/>
    <n v="6220366168"/>
  </r>
  <r>
    <x v="2"/>
    <x v="35"/>
    <x v="35"/>
    <x v="15"/>
    <s v="Gasto Federalizado"/>
    <x v="187"/>
    <x v="870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9426359"/>
    <n v="0"/>
    <n v="0"/>
    <n v="9426359"/>
    <n v="9709122"/>
    <m/>
    <x v="1"/>
    <n v="9709122"/>
  </r>
  <r>
    <x v="2"/>
    <x v="35"/>
    <x v="35"/>
    <x v="15"/>
    <s v="Gasto Federalizado"/>
    <x v="85"/>
    <x v="871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378092898"/>
    <n v="0"/>
    <n v="0"/>
    <n v="378092898"/>
    <n v="372962205"/>
    <m/>
    <x v="1"/>
    <n v="372962205"/>
  </r>
  <r>
    <x v="2"/>
    <x v="35"/>
    <x v="35"/>
    <x v="15"/>
    <s v="Gasto Federalizado"/>
    <x v="85"/>
    <x v="871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5568344422"/>
    <n v="0"/>
    <n v="0"/>
    <n v="5568344422"/>
    <n v="5922234396"/>
    <m/>
    <x v="1"/>
    <n v="5922234396"/>
  </r>
  <r>
    <x v="2"/>
    <x v="35"/>
    <x v="35"/>
    <x v="15"/>
    <s v="Gasto Federalizado"/>
    <x v="85"/>
    <x v="871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8204739"/>
    <n v="0"/>
    <n v="0"/>
    <n v="8204739"/>
    <n v="8450856"/>
    <m/>
    <x v="1"/>
    <n v="8450856"/>
  </r>
  <r>
    <x v="2"/>
    <x v="35"/>
    <x v="35"/>
    <x v="15"/>
    <s v="Gasto Federalizado"/>
    <x v="86"/>
    <x v="872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354426235"/>
    <n v="0"/>
    <n v="0"/>
    <n v="354426235"/>
    <n v="351027722"/>
    <m/>
    <x v="1"/>
    <n v="351027722"/>
  </r>
  <r>
    <x v="2"/>
    <x v="35"/>
    <x v="35"/>
    <x v="15"/>
    <s v="Gasto Federalizado"/>
    <x v="86"/>
    <x v="872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5055981251"/>
    <n v="0"/>
    <n v="0"/>
    <n v="5055981251"/>
    <n v="5349568090"/>
    <m/>
    <x v="1"/>
    <n v="5349568090"/>
  </r>
  <r>
    <x v="2"/>
    <x v="35"/>
    <x v="35"/>
    <x v="15"/>
    <s v="Gasto Federalizado"/>
    <x v="86"/>
    <x v="872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8634699"/>
    <n v="0"/>
    <n v="0"/>
    <n v="8634699"/>
    <n v="8893714"/>
    <m/>
    <x v="1"/>
    <n v="8893714"/>
  </r>
  <r>
    <x v="2"/>
    <x v="35"/>
    <x v="35"/>
    <x v="15"/>
    <s v="Gasto Federalizado"/>
    <x v="87"/>
    <x v="873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582533273"/>
    <n v="0"/>
    <n v="0"/>
    <n v="582533273"/>
    <n v="575495213"/>
    <m/>
    <x v="1"/>
    <n v="575495213"/>
  </r>
  <r>
    <x v="2"/>
    <x v="35"/>
    <x v="35"/>
    <x v="15"/>
    <s v="Gasto Federalizado"/>
    <x v="87"/>
    <x v="873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7510524429"/>
    <n v="0"/>
    <n v="0"/>
    <n v="7510524429"/>
    <n v="7843748520"/>
    <m/>
    <x v="1"/>
    <n v="7843748520"/>
  </r>
  <r>
    <x v="2"/>
    <x v="35"/>
    <x v="35"/>
    <x v="15"/>
    <s v="Gasto Federalizado"/>
    <x v="87"/>
    <x v="873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43772223"/>
    <n v="0"/>
    <n v="0"/>
    <n v="43772223"/>
    <n v="45085258"/>
    <m/>
    <x v="1"/>
    <n v="45085258"/>
  </r>
  <r>
    <x v="2"/>
    <x v="35"/>
    <x v="35"/>
    <x v="15"/>
    <s v="Gasto Federalizado"/>
    <x v="119"/>
    <x v="874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190931877"/>
    <n v="0"/>
    <n v="0"/>
    <n v="190931877"/>
    <n v="191223228"/>
    <m/>
    <x v="1"/>
    <n v="191223228"/>
  </r>
  <r>
    <x v="2"/>
    <x v="35"/>
    <x v="35"/>
    <x v="15"/>
    <s v="Gasto Federalizado"/>
    <x v="119"/>
    <x v="874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2846659980"/>
    <n v="0"/>
    <n v="0"/>
    <n v="2846659980"/>
    <n v="3016778307"/>
    <m/>
    <x v="1"/>
    <n v="3016778307"/>
  </r>
  <r>
    <x v="2"/>
    <x v="35"/>
    <x v="35"/>
    <x v="15"/>
    <s v="Gasto Federalizado"/>
    <x v="119"/>
    <x v="874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7659313"/>
    <n v="0"/>
    <n v="0"/>
    <n v="7659313"/>
    <n v="7889069"/>
    <m/>
    <x v="1"/>
    <n v="7889069"/>
  </r>
  <r>
    <x v="2"/>
    <x v="35"/>
    <x v="35"/>
    <x v="15"/>
    <s v="Gasto Federalizado"/>
    <x v="188"/>
    <x v="875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1166932783"/>
    <n v="0"/>
    <n v="0"/>
    <n v="1166932783"/>
    <n v="1149131357"/>
    <m/>
    <x v="1"/>
    <n v="1149131357"/>
  </r>
  <r>
    <x v="2"/>
    <x v="35"/>
    <x v="35"/>
    <x v="15"/>
    <s v="Gasto Federalizado"/>
    <x v="188"/>
    <x v="875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16385246090"/>
    <n v="0"/>
    <n v="0"/>
    <n v="16385246090"/>
    <n v="17109047310"/>
    <m/>
    <x v="1"/>
    <n v="17109047310"/>
  </r>
  <r>
    <x v="2"/>
    <x v="35"/>
    <x v="35"/>
    <x v="15"/>
    <s v="Gasto Federalizado"/>
    <x v="188"/>
    <x v="875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20488763"/>
    <n v="0"/>
    <n v="0"/>
    <n v="20488763"/>
    <n v="21103364"/>
    <m/>
    <x v="1"/>
    <n v="21103364"/>
  </r>
  <r>
    <x v="2"/>
    <x v="35"/>
    <x v="35"/>
    <x v="15"/>
    <s v="Gasto Federalizado"/>
    <x v="120"/>
    <x v="876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287746789"/>
    <n v="0"/>
    <n v="0"/>
    <n v="287746789"/>
    <n v="287375620"/>
    <m/>
    <x v="1"/>
    <n v="287375620"/>
  </r>
  <r>
    <x v="2"/>
    <x v="35"/>
    <x v="35"/>
    <x v="15"/>
    <s v="Gasto Federalizado"/>
    <x v="120"/>
    <x v="876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4134205935"/>
    <n v="0"/>
    <n v="0"/>
    <n v="4134205935"/>
    <n v="4390414814"/>
    <m/>
    <x v="1"/>
    <n v="4390414814"/>
  </r>
  <r>
    <x v="2"/>
    <x v="35"/>
    <x v="35"/>
    <x v="15"/>
    <s v="Gasto Federalizado"/>
    <x v="120"/>
    <x v="876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5392661"/>
    <n v="0"/>
    <n v="0"/>
    <n v="5392661"/>
    <n v="5554425"/>
    <m/>
    <x v="1"/>
    <n v="5554425"/>
  </r>
  <r>
    <x v="2"/>
    <x v="35"/>
    <x v="35"/>
    <x v="15"/>
    <s v="Gasto Federalizado"/>
    <x v="121"/>
    <x v="877"/>
    <x v="102"/>
    <x v="179"/>
    <n v="2"/>
    <s v="Desarrollo Social"/>
    <n v="0"/>
    <s v="Educación"/>
    <n v="1"/>
    <x v="31"/>
    <x v="1"/>
    <x v="203"/>
    <n v="1"/>
    <s v="Gasto corriente"/>
    <x v="0"/>
    <x v="1"/>
    <x v="0"/>
    <x v="0"/>
    <x v="0"/>
    <x v="0"/>
    <x v="0"/>
    <m/>
    <x v="0"/>
    <x v="0"/>
    <m/>
    <n v="283483833"/>
    <n v="0"/>
    <n v="0"/>
    <n v="283483833"/>
    <n v="279953813"/>
    <m/>
    <x v="1"/>
    <n v="279953813"/>
  </r>
  <r>
    <x v="2"/>
    <x v="35"/>
    <x v="35"/>
    <x v="15"/>
    <s v="Gasto Federalizado"/>
    <x v="121"/>
    <x v="877"/>
    <x v="102"/>
    <x v="179"/>
    <n v="2"/>
    <s v="Desarrollo Social"/>
    <n v="0"/>
    <s v="Educación"/>
    <n v="1"/>
    <x v="31"/>
    <x v="1"/>
    <x v="203"/>
    <n v="1"/>
    <s v="Gasto corriente"/>
    <x v="0"/>
    <x v="0"/>
    <x v="0"/>
    <x v="0"/>
    <x v="0"/>
    <x v="0"/>
    <x v="0"/>
    <m/>
    <x v="0"/>
    <x v="0"/>
    <m/>
    <n v="4652497959"/>
    <n v="0"/>
    <n v="0"/>
    <n v="4652497959"/>
    <n v="4853532304"/>
    <m/>
    <x v="1"/>
    <n v="4853532304"/>
  </r>
  <r>
    <x v="2"/>
    <x v="35"/>
    <x v="35"/>
    <x v="15"/>
    <s v="Gasto Federalizado"/>
    <x v="121"/>
    <x v="877"/>
    <x v="102"/>
    <x v="179"/>
    <n v="2"/>
    <s v="Desarrollo Social"/>
    <n v="0"/>
    <s v="Educación"/>
    <n v="1"/>
    <x v="31"/>
    <x v="1"/>
    <x v="203"/>
    <n v="2"/>
    <s v="Gasto de capital"/>
    <x v="0"/>
    <x v="0"/>
    <x v="0"/>
    <x v="0"/>
    <x v="0"/>
    <x v="0"/>
    <x v="0"/>
    <m/>
    <x v="0"/>
    <x v="0"/>
    <m/>
    <n v="6503308"/>
    <n v="0"/>
    <n v="0"/>
    <n v="6503308"/>
    <n v="6698387"/>
    <m/>
    <x v="1"/>
    <n v="6698387"/>
  </r>
  <r>
    <x v="2"/>
    <x v="35"/>
    <x v="35"/>
    <x v="15"/>
    <s v="Gasto Federalizado"/>
    <x v="114"/>
    <x v="878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6971913"/>
    <n v="0"/>
    <n v="0"/>
    <n v="6971913"/>
    <n v="7451032"/>
    <m/>
    <x v="1"/>
    <n v="7451032"/>
  </r>
  <r>
    <x v="2"/>
    <x v="35"/>
    <x v="35"/>
    <x v="15"/>
    <s v="Gasto Federalizado"/>
    <x v="114"/>
    <x v="878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193061352"/>
    <n v="0"/>
    <n v="0"/>
    <n v="193061352"/>
    <n v="204279934"/>
    <m/>
    <x v="1"/>
    <n v="204279934"/>
  </r>
  <r>
    <x v="2"/>
    <x v="35"/>
    <x v="35"/>
    <x v="15"/>
    <s v="Gasto Federalizado"/>
    <x v="114"/>
    <x v="878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16774401"/>
    <n v="0"/>
    <n v="0"/>
    <n v="16774401"/>
    <n v="17983331"/>
    <m/>
    <x v="1"/>
    <n v="17983331"/>
  </r>
  <r>
    <x v="2"/>
    <x v="35"/>
    <x v="35"/>
    <x v="15"/>
    <s v="Gasto Federalizado"/>
    <x v="114"/>
    <x v="878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598485497"/>
    <n v="0"/>
    <n v="0"/>
    <n v="598485497"/>
    <n v="630814226"/>
    <m/>
    <x v="1"/>
    <n v="630814226"/>
  </r>
  <r>
    <x v="2"/>
    <x v="35"/>
    <x v="35"/>
    <x v="15"/>
    <s v="Gasto Federalizado"/>
    <x v="114"/>
    <x v="878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746991"/>
    <n v="0"/>
    <n v="0"/>
    <n v="746991"/>
    <n v="798325"/>
    <m/>
    <x v="1"/>
    <n v="798325"/>
  </r>
  <r>
    <x v="2"/>
    <x v="35"/>
    <x v="35"/>
    <x v="15"/>
    <s v="Gasto Federalizado"/>
    <x v="114"/>
    <x v="878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19703492"/>
    <n v="0"/>
    <n v="0"/>
    <n v="19703492"/>
    <n v="20994472"/>
    <m/>
    <x v="1"/>
    <n v="20994472"/>
  </r>
  <r>
    <x v="2"/>
    <x v="35"/>
    <x v="35"/>
    <x v="15"/>
    <s v="Gasto Federalizado"/>
    <x v="114"/>
    <x v="878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244985"/>
    <n v="0"/>
    <n v="0"/>
    <n v="1244985"/>
    <n v="1330541"/>
    <m/>
    <x v="1"/>
    <n v="1330541"/>
  </r>
  <r>
    <x v="2"/>
    <x v="35"/>
    <x v="35"/>
    <x v="15"/>
    <s v="Gasto Federalizado"/>
    <x v="114"/>
    <x v="878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33069065"/>
    <n v="0"/>
    <n v="0"/>
    <n v="33069065"/>
    <n v="35010119"/>
    <m/>
    <x v="1"/>
    <n v="35010119"/>
  </r>
  <r>
    <x v="2"/>
    <x v="35"/>
    <x v="35"/>
    <x v="15"/>
    <s v="Gasto Federalizado"/>
    <x v="115"/>
    <x v="879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3557238"/>
    <n v="0"/>
    <n v="0"/>
    <n v="13557238"/>
    <n v="14424663"/>
    <m/>
    <x v="1"/>
    <n v="14424663"/>
  </r>
  <r>
    <x v="2"/>
    <x v="35"/>
    <x v="35"/>
    <x v="15"/>
    <s v="Gasto Federalizado"/>
    <x v="115"/>
    <x v="879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77237838"/>
    <n v="0"/>
    <n v="0"/>
    <n v="277237838"/>
    <n v="294524955"/>
    <m/>
    <x v="1"/>
    <n v="294524955"/>
  </r>
  <r>
    <x v="2"/>
    <x v="35"/>
    <x v="35"/>
    <x v="15"/>
    <s v="Gasto Federalizado"/>
    <x v="115"/>
    <x v="879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2056819"/>
    <n v="0"/>
    <n v="0"/>
    <n v="2056819"/>
    <n v="393346"/>
    <m/>
    <x v="1"/>
    <n v="393346"/>
  </r>
  <r>
    <x v="2"/>
    <x v="35"/>
    <x v="35"/>
    <x v="15"/>
    <s v="Gasto Federalizado"/>
    <x v="115"/>
    <x v="879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32602673"/>
    <n v="0"/>
    <n v="0"/>
    <n v="32602673"/>
    <n v="34839558"/>
    <m/>
    <x v="1"/>
    <n v="34839558"/>
  </r>
  <r>
    <x v="2"/>
    <x v="35"/>
    <x v="35"/>
    <x v="15"/>
    <s v="Gasto Federalizado"/>
    <x v="115"/>
    <x v="879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705768964"/>
    <n v="0"/>
    <n v="0"/>
    <n v="705768964"/>
    <n v="745958911"/>
    <m/>
    <x v="1"/>
    <n v="745958911"/>
  </r>
  <r>
    <x v="2"/>
    <x v="35"/>
    <x v="35"/>
    <x v="15"/>
    <s v="Gasto Federalizado"/>
    <x v="115"/>
    <x v="879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260796"/>
    <n v="0"/>
    <n v="0"/>
    <n v="260796"/>
    <n v="213530"/>
    <m/>
    <x v="1"/>
    <n v="213530"/>
  </r>
  <r>
    <x v="2"/>
    <x v="35"/>
    <x v="35"/>
    <x v="15"/>
    <s v="Gasto Federalizado"/>
    <x v="115"/>
    <x v="879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452561"/>
    <n v="0"/>
    <n v="0"/>
    <n v="1452561"/>
    <n v="1545500"/>
    <m/>
    <x v="1"/>
    <n v="1545500"/>
  </r>
  <r>
    <x v="2"/>
    <x v="35"/>
    <x v="35"/>
    <x v="15"/>
    <s v="Gasto Federalizado"/>
    <x v="115"/>
    <x v="879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28164589"/>
    <n v="0"/>
    <n v="0"/>
    <n v="28164589"/>
    <n v="30114903"/>
    <m/>
    <x v="1"/>
    <n v="30114903"/>
  </r>
  <r>
    <x v="2"/>
    <x v="35"/>
    <x v="35"/>
    <x v="15"/>
    <s v="Gasto Federalizado"/>
    <x v="115"/>
    <x v="879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683763"/>
    <n v="0"/>
    <n v="0"/>
    <n v="683763"/>
    <n v="374333"/>
    <m/>
    <x v="1"/>
    <n v="374333"/>
  </r>
  <r>
    <x v="2"/>
    <x v="35"/>
    <x v="35"/>
    <x v="15"/>
    <s v="Gasto Federalizado"/>
    <x v="115"/>
    <x v="879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420935"/>
    <n v="0"/>
    <n v="0"/>
    <n v="2420935"/>
    <n v="2575832"/>
    <m/>
    <x v="1"/>
    <n v="2575832"/>
  </r>
  <r>
    <x v="2"/>
    <x v="35"/>
    <x v="35"/>
    <x v="15"/>
    <s v="Gasto Federalizado"/>
    <x v="115"/>
    <x v="879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81892532"/>
    <n v="0"/>
    <n v="0"/>
    <n v="81892532"/>
    <n v="85529425"/>
    <m/>
    <x v="1"/>
    <n v="85529425"/>
  </r>
  <r>
    <x v="2"/>
    <x v="35"/>
    <x v="35"/>
    <x v="15"/>
    <s v="Gasto Federalizado"/>
    <x v="115"/>
    <x v="879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123960"/>
    <n v="0"/>
    <n v="0"/>
    <n v="123960"/>
    <n v="121406"/>
    <m/>
    <x v="1"/>
    <n v="121406"/>
  </r>
  <r>
    <x v="2"/>
    <x v="35"/>
    <x v="35"/>
    <x v="15"/>
    <s v="Gasto Federalizado"/>
    <x v="118"/>
    <x v="880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6521475"/>
    <n v="0"/>
    <n v="0"/>
    <n v="6521475"/>
    <n v="6912320"/>
    <m/>
    <x v="1"/>
    <n v="6912320"/>
  </r>
  <r>
    <x v="2"/>
    <x v="35"/>
    <x v="35"/>
    <x v="15"/>
    <s v="Gasto Federalizado"/>
    <x v="118"/>
    <x v="880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133211559"/>
    <n v="0"/>
    <n v="0"/>
    <n v="133211559"/>
    <n v="140646098"/>
    <m/>
    <x v="1"/>
    <n v="140646098"/>
  </r>
  <r>
    <x v="2"/>
    <x v="35"/>
    <x v="35"/>
    <x v="15"/>
    <s v="Gasto Federalizado"/>
    <x v="118"/>
    <x v="880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371620"/>
    <n v="0"/>
    <n v="0"/>
    <n v="371620"/>
    <n v="480130"/>
    <m/>
    <x v="1"/>
    <n v="480130"/>
  </r>
  <r>
    <x v="2"/>
    <x v="35"/>
    <x v="35"/>
    <x v="15"/>
    <s v="Gasto Federalizado"/>
    <x v="118"/>
    <x v="880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15691328"/>
    <n v="0"/>
    <n v="0"/>
    <n v="15691328"/>
    <n v="16689187"/>
    <m/>
    <x v="1"/>
    <n v="16689187"/>
  </r>
  <r>
    <x v="2"/>
    <x v="35"/>
    <x v="35"/>
    <x v="15"/>
    <s v="Gasto Federalizado"/>
    <x v="118"/>
    <x v="880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358594786"/>
    <n v="0"/>
    <n v="0"/>
    <n v="358594786"/>
    <n v="373583161"/>
    <m/>
    <x v="1"/>
    <n v="373583161"/>
  </r>
  <r>
    <x v="2"/>
    <x v="35"/>
    <x v="35"/>
    <x v="15"/>
    <s v="Gasto Federalizado"/>
    <x v="118"/>
    <x v="880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181914"/>
    <n v="0"/>
    <n v="0"/>
    <n v="181914"/>
    <n v="502443"/>
    <m/>
    <x v="1"/>
    <n v="502443"/>
  </r>
  <r>
    <x v="2"/>
    <x v="35"/>
    <x v="35"/>
    <x v="15"/>
    <s v="Gasto Federalizado"/>
    <x v="118"/>
    <x v="880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698730"/>
    <n v="0"/>
    <n v="0"/>
    <n v="698730"/>
    <n v="740605"/>
    <m/>
    <x v="1"/>
    <n v="740605"/>
  </r>
  <r>
    <x v="2"/>
    <x v="35"/>
    <x v="35"/>
    <x v="15"/>
    <s v="Gasto Federalizado"/>
    <x v="118"/>
    <x v="880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15597277"/>
    <n v="0"/>
    <n v="0"/>
    <n v="15597277"/>
    <n v="16226703"/>
    <m/>
    <x v="1"/>
    <n v="16226703"/>
  </r>
  <r>
    <x v="2"/>
    <x v="35"/>
    <x v="35"/>
    <x v="15"/>
    <s v="Gasto Federalizado"/>
    <x v="118"/>
    <x v="880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120861"/>
    <n v="0"/>
    <n v="0"/>
    <n v="120861"/>
    <n v="212339"/>
    <m/>
    <x v="1"/>
    <n v="212339"/>
  </r>
  <r>
    <x v="2"/>
    <x v="35"/>
    <x v="35"/>
    <x v="15"/>
    <s v="Gasto Federalizado"/>
    <x v="118"/>
    <x v="880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164549"/>
    <n v="0"/>
    <n v="0"/>
    <n v="1164549"/>
    <n v="1234344"/>
    <m/>
    <x v="1"/>
    <n v="1234344"/>
  </r>
  <r>
    <x v="2"/>
    <x v="35"/>
    <x v="35"/>
    <x v="15"/>
    <s v="Gasto Federalizado"/>
    <x v="118"/>
    <x v="880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25199781"/>
    <n v="0"/>
    <n v="0"/>
    <n v="25199781"/>
    <n v="26385099"/>
    <m/>
    <x v="1"/>
    <n v="26385099"/>
  </r>
  <r>
    <x v="2"/>
    <x v="35"/>
    <x v="35"/>
    <x v="15"/>
    <s v="Gasto Federalizado"/>
    <x v="118"/>
    <x v="880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39254"/>
    <n v="0"/>
    <n v="0"/>
    <n v="39254"/>
    <n v="25293"/>
    <m/>
    <x v="1"/>
    <n v="25293"/>
  </r>
  <r>
    <x v="2"/>
    <x v="35"/>
    <x v="35"/>
    <x v="15"/>
    <s v="Gasto Federalizado"/>
    <x v="90"/>
    <x v="881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9209418"/>
    <n v="0"/>
    <n v="0"/>
    <n v="9209418"/>
    <n v="9811065"/>
    <m/>
    <x v="1"/>
    <n v="9811065"/>
  </r>
  <r>
    <x v="2"/>
    <x v="35"/>
    <x v="35"/>
    <x v="15"/>
    <s v="Gasto Federalizado"/>
    <x v="90"/>
    <x v="881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13336952"/>
    <n v="0"/>
    <n v="0"/>
    <n v="213336952"/>
    <n v="221142830"/>
    <m/>
    <x v="1"/>
    <n v="221142830"/>
  </r>
  <r>
    <x v="2"/>
    <x v="35"/>
    <x v="35"/>
    <x v="15"/>
    <s v="Gasto Federalizado"/>
    <x v="90"/>
    <x v="881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22152699"/>
    <n v="0"/>
    <n v="0"/>
    <n v="22152699"/>
    <n v="23690091"/>
    <m/>
    <x v="1"/>
    <n v="23690091"/>
  </r>
  <r>
    <x v="2"/>
    <x v="35"/>
    <x v="35"/>
    <x v="15"/>
    <s v="Gasto Federalizado"/>
    <x v="90"/>
    <x v="881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574167711"/>
    <n v="0"/>
    <n v="0"/>
    <n v="574167711"/>
    <n v="598686446"/>
    <m/>
    <x v="1"/>
    <n v="598686446"/>
  </r>
  <r>
    <x v="2"/>
    <x v="35"/>
    <x v="35"/>
    <x v="15"/>
    <s v="Gasto Federalizado"/>
    <x v="90"/>
    <x v="881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986723"/>
    <n v="0"/>
    <n v="0"/>
    <n v="986723"/>
    <n v="1051186"/>
    <m/>
    <x v="1"/>
    <n v="1051186"/>
  </r>
  <r>
    <x v="2"/>
    <x v="35"/>
    <x v="35"/>
    <x v="15"/>
    <s v="Gasto Federalizado"/>
    <x v="90"/>
    <x v="881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26455449"/>
    <n v="0"/>
    <n v="0"/>
    <n v="26455449"/>
    <n v="27274013"/>
    <m/>
    <x v="1"/>
    <n v="27274013"/>
  </r>
  <r>
    <x v="2"/>
    <x v="35"/>
    <x v="35"/>
    <x v="15"/>
    <s v="Gasto Federalizado"/>
    <x v="90"/>
    <x v="881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3378787"/>
    <n v="0"/>
    <n v="0"/>
    <n v="3378787"/>
    <n v="3410352"/>
    <m/>
    <x v="1"/>
    <n v="3410352"/>
  </r>
  <r>
    <x v="2"/>
    <x v="35"/>
    <x v="35"/>
    <x v="15"/>
    <s v="Gasto Federalizado"/>
    <x v="90"/>
    <x v="881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644540"/>
    <n v="0"/>
    <n v="0"/>
    <n v="1644540"/>
    <n v="1751976"/>
    <m/>
    <x v="1"/>
    <n v="1751976"/>
  </r>
  <r>
    <x v="2"/>
    <x v="35"/>
    <x v="35"/>
    <x v="15"/>
    <s v="Gasto Federalizado"/>
    <x v="90"/>
    <x v="881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40292838"/>
    <n v="0"/>
    <n v="0"/>
    <n v="40292838"/>
    <n v="42541858"/>
    <m/>
    <x v="1"/>
    <n v="42541858"/>
  </r>
  <r>
    <x v="2"/>
    <x v="35"/>
    <x v="35"/>
    <x v="15"/>
    <s v="Gasto Federalizado"/>
    <x v="90"/>
    <x v="881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165161"/>
    <n v="0"/>
    <n v="0"/>
    <n v="165161"/>
    <n v="151757"/>
    <m/>
    <x v="1"/>
    <n v="151757"/>
  </r>
  <r>
    <x v="2"/>
    <x v="35"/>
    <x v="35"/>
    <x v="15"/>
    <s v="Gasto Federalizado"/>
    <x v="91"/>
    <x v="882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1810885"/>
    <n v="0"/>
    <n v="0"/>
    <n v="11810885"/>
    <n v="12544877"/>
    <m/>
    <x v="1"/>
    <n v="12544877"/>
  </r>
  <r>
    <x v="2"/>
    <x v="35"/>
    <x v="35"/>
    <x v="15"/>
    <s v="Gasto Federalizado"/>
    <x v="91"/>
    <x v="882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63640580"/>
    <n v="0"/>
    <n v="0"/>
    <n v="263640580"/>
    <n v="280629424"/>
    <m/>
    <x v="1"/>
    <n v="280629424"/>
  </r>
  <r>
    <x v="2"/>
    <x v="35"/>
    <x v="35"/>
    <x v="15"/>
    <s v="Gasto Federalizado"/>
    <x v="91"/>
    <x v="882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324727"/>
    <n v="0"/>
    <n v="0"/>
    <n v="324727"/>
    <m/>
    <m/>
    <x v="1"/>
    <n v="0"/>
  </r>
  <r>
    <x v="2"/>
    <x v="35"/>
    <x v="35"/>
    <x v="15"/>
    <s v="Gasto Federalizado"/>
    <x v="91"/>
    <x v="882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28410611"/>
    <n v="0"/>
    <n v="0"/>
    <n v="28410611"/>
    <n v="30293706"/>
    <m/>
    <x v="1"/>
    <n v="30293706"/>
  </r>
  <r>
    <x v="2"/>
    <x v="35"/>
    <x v="35"/>
    <x v="15"/>
    <s v="Gasto Federalizado"/>
    <x v="91"/>
    <x v="882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616956096"/>
    <n v="0"/>
    <n v="0"/>
    <n v="616956096"/>
    <n v="645671080"/>
    <m/>
    <x v="1"/>
    <n v="645671080"/>
  </r>
  <r>
    <x v="2"/>
    <x v="35"/>
    <x v="35"/>
    <x v="15"/>
    <s v="Gasto Federalizado"/>
    <x v="91"/>
    <x v="882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314754"/>
    <n v="0"/>
    <n v="0"/>
    <n v="314754"/>
    <n v="318441"/>
    <m/>
    <x v="1"/>
    <n v="318441"/>
  </r>
  <r>
    <x v="2"/>
    <x v="35"/>
    <x v="35"/>
    <x v="15"/>
    <s v="Gasto Federalizado"/>
    <x v="91"/>
    <x v="882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265452"/>
    <n v="0"/>
    <n v="0"/>
    <n v="1265452"/>
    <n v="1344094"/>
    <m/>
    <x v="1"/>
    <n v="1344094"/>
  </r>
  <r>
    <x v="2"/>
    <x v="35"/>
    <x v="35"/>
    <x v="15"/>
    <s v="Gasto Federalizado"/>
    <x v="91"/>
    <x v="882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27658520"/>
    <n v="0"/>
    <n v="0"/>
    <n v="27658520"/>
    <n v="30108513"/>
    <m/>
    <x v="1"/>
    <n v="30108513"/>
  </r>
  <r>
    <x v="2"/>
    <x v="35"/>
    <x v="35"/>
    <x v="15"/>
    <s v="Gasto Federalizado"/>
    <x v="91"/>
    <x v="882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1505668"/>
    <n v="0"/>
    <n v="0"/>
    <n v="1505668"/>
    <n v="884077"/>
    <m/>
    <x v="1"/>
    <n v="884077"/>
  </r>
  <r>
    <x v="2"/>
    <x v="35"/>
    <x v="35"/>
    <x v="15"/>
    <s v="Gasto Federalizado"/>
    <x v="91"/>
    <x v="882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109087"/>
    <n v="0"/>
    <n v="0"/>
    <n v="2109087"/>
    <n v="2240158"/>
    <m/>
    <x v="1"/>
    <n v="2240158"/>
  </r>
  <r>
    <x v="2"/>
    <x v="35"/>
    <x v="35"/>
    <x v="15"/>
    <s v="Gasto Federalizado"/>
    <x v="91"/>
    <x v="882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48634941"/>
    <n v="0"/>
    <n v="0"/>
    <n v="48634941"/>
    <n v="51009157"/>
    <m/>
    <x v="1"/>
    <n v="51009157"/>
  </r>
  <r>
    <x v="2"/>
    <x v="35"/>
    <x v="35"/>
    <x v="15"/>
    <s v="Gasto Federalizado"/>
    <x v="92"/>
    <x v="883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7070408"/>
    <n v="0"/>
    <n v="0"/>
    <n v="7070408"/>
    <n v="7524492"/>
    <m/>
    <x v="1"/>
    <n v="7524492"/>
  </r>
  <r>
    <x v="2"/>
    <x v="35"/>
    <x v="35"/>
    <x v="15"/>
    <s v="Gasto Federalizado"/>
    <x v="92"/>
    <x v="883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165965385"/>
    <n v="0"/>
    <n v="0"/>
    <n v="165965385"/>
    <n v="173073419"/>
    <m/>
    <x v="1"/>
    <n v="173073419"/>
  </r>
  <r>
    <x v="2"/>
    <x v="35"/>
    <x v="35"/>
    <x v="15"/>
    <s v="Gasto Federalizado"/>
    <x v="92"/>
    <x v="883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17011033"/>
    <n v="0"/>
    <n v="0"/>
    <n v="17011033"/>
    <n v="18164039"/>
    <m/>
    <x v="1"/>
    <n v="18164039"/>
  </r>
  <r>
    <x v="2"/>
    <x v="35"/>
    <x v="35"/>
    <x v="15"/>
    <s v="Gasto Federalizado"/>
    <x v="92"/>
    <x v="883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507219123"/>
    <n v="0"/>
    <n v="0"/>
    <n v="507219123"/>
    <n v="533188800"/>
    <m/>
    <x v="1"/>
    <n v="533188800"/>
  </r>
  <r>
    <x v="2"/>
    <x v="35"/>
    <x v="35"/>
    <x v="15"/>
    <s v="Gasto Federalizado"/>
    <x v="92"/>
    <x v="883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757544"/>
    <n v="0"/>
    <n v="0"/>
    <n v="757544"/>
    <n v="806196"/>
    <m/>
    <x v="1"/>
    <n v="806196"/>
  </r>
  <r>
    <x v="2"/>
    <x v="35"/>
    <x v="35"/>
    <x v="15"/>
    <s v="Gasto Federalizado"/>
    <x v="92"/>
    <x v="883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21151045"/>
    <n v="0"/>
    <n v="0"/>
    <n v="21151045"/>
    <n v="20110260"/>
    <m/>
    <x v="1"/>
    <n v="20110260"/>
  </r>
  <r>
    <x v="2"/>
    <x v="35"/>
    <x v="35"/>
    <x v="15"/>
    <s v="Gasto Federalizado"/>
    <x v="92"/>
    <x v="883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262573"/>
    <n v="0"/>
    <n v="0"/>
    <n v="1262573"/>
    <n v="1343659"/>
    <m/>
    <x v="1"/>
    <n v="1343659"/>
  </r>
  <r>
    <x v="2"/>
    <x v="35"/>
    <x v="35"/>
    <x v="15"/>
    <s v="Gasto Federalizado"/>
    <x v="92"/>
    <x v="883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29085984"/>
    <n v="0"/>
    <n v="0"/>
    <n v="29085984"/>
    <n v="30567657"/>
    <m/>
    <x v="1"/>
    <n v="30567657"/>
  </r>
  <r>
    <x v="2"/>
    <x v="35"/>
    <x v="35"/>
    <x v="15"/>
    <s v="Gasto Federalizado"/>
    <x v="93"/>
    <x v="884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28074217"/>
    <n v="0"/>
    <n v="0"/>
    <n v="28074217"/>
    <n v="29923837"/>
    <m/>
    <x v="1"/>
    <n v="29923837"/>
  </r>
  <r>
    <x v="2"/>
    <x v="35"/>
    <x v="35"/>
    <x v="15"/>
    <s v="Gasto Federalizado"/>
    <x v="93"/>
    <x v="884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671328902"/>
    <n v="0"/>
    <n v="0"/>
    <n v="671328902"/>
    <n v="703801634"/>
    <m/>
    <x v="1"/>
    <n v="703801634"/>
  </r>
  <r>
    <x v="2"/>
    <x v="35"/>
    <x v="35"/>
    <x v="15"/>
    <s v="Gasto Federalizado"/>
    <x v="93"/>
    <x v="884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27827"/>
    <n v="0"/>
    <n v="0"/>
    <n v="27827"/>
    <n v="58216"/>
    <m/>
    <x v="1"/>
    <n v="58216"/>
  </r>
  <r>
    <x v="2"/>
    <x v="35"/>
    <x v="35"/>
    <x v="15"/>
    <s v="Gasto Federalizado"/>
    <x v="93"/>
    <x v="884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67502938"/>
    <n v="0"/>
    <n v="0"/>
    <n v="67502938"/>
    <n v="72281043"/>
    <m/>
    <x v="1"/>
    <n v="72281043"/>
  </r>
  <r>
    <x v="2"/>
    <x v="35"/>
    <x v="35"/>
    <x v="15"/>
    <s v="Gasto Federalizado"/>
    <x v="93"/>
    <x v="884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501007989"/>
    <n v="0"/>
    <n v="0"/>
    <n v="1501007989"/>
    <n v="1555431853"/>
    <m/>
    <x v="1"/>
    <n v="1555431853"/>
  </r>
  <r>
    <x v="2"/>
    <x v="35"/>
    <x v="35"/>
    <x v="15"/>
    <s v="Gasto Federalizado"/>
    <x v="93"/>
    <x v="884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15495"/>
    <n v="0"/>
    <n v="0"/>
    <n v="15495"/>
    <n v="62911"/>
    <m/>
    <x v="1"/>
    <n v="62911"/>
  </r>
  <r>
    <x v="2"/>
    <x v="35"/>
    <x v="35"/>
    <x v="15"/>
    <s v="Gasto Federalizado"/>
    <x v="93"/>
    <x v="884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3007952"/>
    <n v="0"/>
    <n v="0"/>
    <n v="3007952"/>
    <n v="3206125"/>
    <m/>
    <x v="1"/>
    <n v="3206125"/>
  </r>
  <r>
    <x v="2"/>
    <x v="35"/>
    <x v="35"/>
    <x v="15"/>
    <s v="Gasto Federalizado"/>
    <x v="93"/>
    <x v="884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70060623"/>
    <n v="0"/>
    <n v="0"/>
    <n v="70060623"/>
    <n v="72353899"/>
    <m/>
    <x v="1"/>
    <n v="72353899"/>
  </r>
  <r>
    <x v="2"/>
    <x v="35"/>
    <x v="35"/>
    <x v="15"/>
    <s v="Gasto Federalizado"/>
    <x v="93"/>
    <x v="884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2238"/>
    <m/>
    <x v="1"/>
    <n v="2238"/>
  </r>
  <r>
    <x v="2"/>
    <x v="35"/>
    <x v="35"/>
    <x v="15"/>
    <s v="Gasto Federalizado"/>
    <x v="93"/>
    <x v="884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5013252"/>
    <n v="0"/>
    <n v="0"/>
    <n v="5013252"/>
    <n v="5343542"/>
    <m/>
    <x v="1"/>
    <n v="5343542"/>
  </r>
  <r>
    <x v="2"/>
    <x v="35"/>
    <x v="35"/>
    <x v="15"/>
    <s v="Gasto Federalizado"/>
    <x v="93"/>
    <x v="884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30056991"/>
    <n v="0"/>
    <n v="0"/>
    <n v="130056991"/>
    <n v="147895144"/>
    <m/>
    <x v="1"/>
    <n v="147895144"/>
  </r>
  <r>
    <x v="2"/>
    <x v="35"/>
    <x v="35"/>
    <x v="15"/>
    <s v="Gasto Federalizado"/>
    <x v="93"/>
    <x v="884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45544"/>
    <n v="0"/>
    <n v="0"/>
    <n v="45544"/>
    <n v="6367"/>
    <m/>
    <x v="1"/>
    <n v="6367"/>
  </r>
  <r>
    <x v="2"/>
    <x v="35"/>
    <x v="35"/>
    <x v="15"/>
    <s v="Gasto Federalizado"/>
    <x v="94"/>
    <x v="885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3620307"/>
    <n v="0"/>
    <n v="0"/>
    <n v="13620307"/>
    <n v="14463035"/>
    <m/>
    <x v="1"/>
    <n v="14463035"/>
  </r>
  <r>
    <x v="2"/>
    <x v="35"/>
    <x v="35"/>
    <x v="15"/>
    <s v="Gasto Federalizado"/>
    <x v="94"/>
    <x v="885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369693787"/>
    <n v="0"/>
    <n v="0"/>
    <n v="369693787"/>
    <n v="388334095"/>
    <m/>
    <x v="1"/>
    <n v="388334095"/>
  </r>
  <r>
    <x v="2"/>
    <x v="35"/>
    <x v="35"/>
    <x v="15"/>
    <s v="Gasto Federalizado"/>
    <x v="94"/>
    <x v="885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70112"/>
    <n v="0"/>
    <n v="0"/>
    <n v="70112"/>
    <n v="70933"/>
    <m/>
    <x v="1"/>
    <n v="70933"/>
  </r>
  <r>
    <x v="2"/>
    <x v="35"/>
    <x v="35"/>
    <x v="15"/>
    <s v="Gasto Federalizado"/>
    <x v="94"/>
    <x v="885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32760332"/>
    <n v="0"/>
    <n v="0"/>
    <n v="32760332"/>
    <n v="34931567"/>
    <m/>
    <x v="1"/>
    <n v="34931567"/>
  </r>
  <r>
    <x v="2"/>
    <x v="35"/>
    <x v="35"/>
    <x v="15"/>
    <s v="Gasto Federalizado"/>
    <x v="94"/>
    <x v="885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865033626"/>
    <n v="0"/>
    <n v="0"/>
    <n v="865033626"/>
    <n v="910735688"/>
    <m/>
    <x v="1"/>
    <n v="910735688"/>
  </r>
  <r>
    <x v="2"/>
    <x v="35"/>
    <x v="35"/>
    <x v="15"/>
    <s v="Gasto Federalizado"/>
    <x v="94"/>
    <x v="885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66313"/>
    <n v="0"/>
    <n v="0"/>
    <n v="66313"/>
    <n v="67090"/>
    <m/>
    <x v="1"/>
    <n v="67090"/>
  </r>
  <r>
    <x v="2"/>
    <x v="35"/>
    <x v="35"/>
    <x v="15"/>
    <s v="Gasto Federalizado"/>
    <x v="94"/>
    <x v="885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459319"/>
    <n v="0"/>
    <n v="0"/>
    <n v="1459319"/>
    <n v="1549611"/>
    <m/>
    <x v="1"/>
    <n v="1549611"/>
  </r>
  <r>
    <x v="2"/>
    <x v="35"/>
    <x v="35"/>
    <x v="15"/>
    <s v="Gasto Federalizado"/>
    <x v="94"/>
    <x v="885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37404211"/>
    <n v="0"/>
    <n v="0"/>
    <n v="37404211"/>
    <n v="39343389"/>
    <m/>
    <x v="1"/>
    <n v="39343389"/>
  </r>
  <r>
    <x v="2"/>
    <x v="35"/>
    <x v="35"/>
    <x v="15"/>
    <s v="Gasto Federalizado"/>
    <x v="94"/>
    <x v="885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432198"/>
    <n v="0"/>
    <n v="0"/>
    <n v="2432198"/>
    <n v="2582685"/>
    <m/>
    <x v="1"/>
    <n v="2582685"/>
  </r>
  <r>
    <x v="2"/>
    <x v="35"/>
    <x v="35"/>
    <x v="15"/>
    <s v="Gasto Federalizado"/>
    <x v="94"/>
    <x v="885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70685637"/>
    <n v="0"/>
    <n v="0"/>
    <n v="70685637"/>
    <n v="74137025"/>
    <m/>
    <x v="1"/>
    <n v="74137025"/>
  </r>
  <r>
    <x v="2"/>
    <x v="35"/>
    <x v="35"/>
    <x v="15"/>
    <s v="Gasto Federalizado"/>
    <x v="95"/>
    <x v="886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36017895"/>
    <n v="0"/>
    <n v="0"/>
    <n v="36017895"/>
    <n v="38236932"/>
    <m/>
    <x v="1"/>
    <n v="38236932"/>
  </r>
  <r>
    <x v="2"/>
    <x v="35"/>
    <x v="35"/>
    <x v="15"/>
    <s v="Gasto Federalizado"/>
    <x v="95"/>
    <x v="886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697671403"/>
    <n v="0"/>
    <n v="0"/>
    <n v="697671403"/>
    <n v="740638430"/>
    <m/>
    <x v="1"/>
    <n v="740638430"/>
  </r>
  <r>
    <x v="2"/>
    <x v="35"/>
    <x v="35"/>
    <x v="15"/>
    <s v="Gasto Federalizado"/>
    <x v="95"/>
    <x v="886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122013"/>
    <m/>
    <x v="1"/>
    <n v="122013"/>
  </r>
  <r>
    <x v="2"/>
    <x v="35"/>
    <x v="35"/>
    <x v="15"/>
    <s v="Gasto Federalizado"/>
    <x v="95"/>
    <x v="886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86611718"/>
    <n v="0"/>
    <n v="0"/>
    <n v="86611718"/>
    <n v="92368501"/>
    <m/>
    <x v="1"/>
    <n v="92368501"/>
  </r>
  <r>
    <x v="2"/>
    <x v="35"/>
    <x v="35"/>
    <x v="15"/>
    <s v="Gasto Federalizado"/>
    <x v="95"/>
    <x v="886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666248063"/>
    <n v="0"/>
    <n v="0"/>
    <n v="1666248063"/>
    <n v="1748271088"/>
    <m/>
    <x v="1"/>
    <n v="1748271088"/>
  </r>
  <r>
    <x v="2"/>
    <x v="35"/>
    <x v="35"/>
    <x v="15"/>
    <s v="Gasto Federalizado"/>
    <x v="95"/>
    <x v="886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3859060"/>
    <n v="0"/>
    <n v="0"/>
    <n v="3859060"/>
    <n v="4096814"/>
    <m/>
    <x v="1"/>
    <n v="4096814"/>
  </r>
  <r>
    <x v="2"/>
    <x v="35"/>
    <x v="35"/>
    <x v="15"/>
    <s v="Gasto Federalizado"/>
    <x v="95"/>
    <x v="886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86656740"/>
    <n v="0"/>
    <n v="0"/>
    <n v="86656740"/>
    <n v="96561764"/>
    <m/>
    <x v="1"/>
    <n v="96561764"/>
  </r>
  <r>
    <x v="2"/>
    <x v="35"/>
    <x v="35"/>
    <x v="15"/>
    <s v="Gasto Federalizado"/>
    <x v="95"/>
    <x v="886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6431767"/>
    <n v="0"/>
    <n v="0"/>
    <n v="6431767"/>
    <n v="6828023"/>
    <m/>
    <x v="1"/>
    <n v="6828023"/>
  </r>
  <r>
    <x v="2"/>
    <x v="35"/>
    <x v="35"/>
    <x v="15"/>
    <s v="Gasto Federalizado"/>
    <x v="95"/>
    <x v="886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246965851"/>
    <n v="0"/>
    <n v="0"/>
    <n v="246965851"/>
    <n v="248757939"/>
    <m/>
    <x v="1"/>
    <n v="248757939"/>
  </r>
  <r>
    <x v="2"/>
    <x v="35"/>
    <x v="35"/>
    <x v="15"/>
    <s v="Gasto Federalizado"/>
    <x v="95"/>
    <x v="886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1011714"/>
    <m/>
    <x v="1"/>
    <n v="1011714"/>
  </r>
  <r>
    <x v="2"/>
    <x v="35"/>
    <x v="35"/>
    <x v="15"/>
    <s v="Gasto Federalizado"/>
    <x v="44"/>
    <x v="887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3506113"/>
    <n v="0"/>
    <n v="0"/>
    <n v="13506113"/>
    <n v="14346826"/>
    <m/>
    <x v="1"/>
    <n v="14346826"/>
  </r>
  <r>
    <x v="2"/>
    <x v="35"/>
    <x v="35"/>
    <x v="15"/>
    <s v="Gasto Federalizado"/>
    <x v="44"/>
    <x v="887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91341592"/>
    <n v="0"/>
    <n v="0"/>
    <n v="291341592"/>
    <n v="301550202"/>
    <m/>
    <x v="1"/>
    <n v="301550202"/>
  </r>
  <r>
    <x v="2"/>
    <x v="35"/>
    <x v="35"/>
    <x v="15"/>
    <s v="Gasto Federalizado"/>
    <x v="44"/>
    <x v="887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32480914"/>
    <n v="0"/>
    <n v="0"/>
    <n v="32480914"/>
    <n v="34653044"/>
    <m/>
    <x v="1"/>
    <n v="34653044"/>
  </r>
  <r>
    <x v="2"/>
    <x v="35"/>
    <x v="35"/>
    <x v="15"/>
    <s v="Gasto Federalizado"/>
    <x v="44"/>
    <x v="887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736377174"/>
    <n v="0"/>
    <n v="0"/>
    <n v="736377174"/>
    <n v="761627567"/>
    <m/>
    <x v="1"/>
    <n v="761627567"/>
  </r>
  <r>
    <x v="2"/>
    <x v="35"/>
    <x v="35"/>
    <x v="15"/>
    <s v="Gasto Federalizado"/>
    <x v="44"/>
    <x v="887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447084"/>
    <n v="0"/>
    <n v="0"/>
    <n v="1447084"/>
    <n v="1537160"/>
    <m/>
    <x v="1"/>
    <n v="1537160"/>
  </r>
  <r>
    <x v="2"/>
    <x v="35"/>
    <x v="35"/>
    <x v="15"/>
    <s v="Gasto Federalizado"/>
    <x v="44"/>
    <x v="887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32484837"/>
    <n v="0"/>
    <n v="0"/>
    <n v="32484837"/>
    <n v="41449975"/>
    <m/>
    <x v="1"/>
    <n v="41449975"/>
  </r>
  <r>
    <x v="2"/>
    <x v="35"/>
    <x v="35"/>
    <x v="15"/>
    <s v="Gasto Federalizado"/>
    <x v="44"/>
    <x v="887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8511887"/>
    <n v="0"/>
    <n v="0"/>
    <n v="8511887"/>
    <n v="2954205"/>
    <m/>
    <x v="1"/>
    <n v="2954205"/>
  </r>
  <r>
    <x v="2"/>
    <x v="35"/>
    <x v="35"/>
    <x v="15"/>
    <s v="Gasto Federalizado"/>
    <x v="44"/>
    <x v="887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411806"/>
    <n v="0"/>
    <n v="0"/>
    <n v="2411806"/>
    <n v="2561933"/>
    <m/>
    <x v="1"/>
    <n v="2561933"/>
  </r>
  <r>
    <x v="2"/>
    <x v="35"/>
    <x v="35"/>
    <x v="15"/>
    <s v="Gasto Federalizado"/>
    <x v="44"/>
    <x v="887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60616985"/>
    <n v="0"/>
    <n v="0"/>
    <n v="60616985"/>
    <n v="71551712"/>
    <m/>
    <x v="1"/>
    <n v="71551712"/>
  </r>
  <r>
    <x v="2"/>
    <x v="35"/>
    <x v="35"/>
    <x v="15"/>
    <s v="Gasto Federalizado"/>
    <x v="189"/>
    <x v="888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9454934"/>
    <n v="0"/>
    <n v="0"/>
    <n v="19454934"/>
    <n v="20647845"/>
    <m/>
    <x v="1"/>
    <n v="20647845"/>
  </r>
  <r>
    <x v="2"/>
    <x v="35"/>
    <x v="35"/>
    <x v="15"/>
    <s v="Gasto Federalizado"/>
    <x v="189"/>
    <x v="888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501046826"/>
    <n v="0"/>
    <n v="0"/>
    <n v="501046826"/>
    <n v="533706075"/>
    <m/>
    <x v="1"/>
    <n v="533706075"/>
  </r>
  <r>
    <x v="2"/>
    <x v="35"/>
    <x v="35"/>
    <x v="15"/>
    <s v="Gasto Federalizado"/>
    <x v="189"/>
    <x v="888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46784820"/>
    <n v="0"/>
    <n v="0"/>
    <n v="46784820"/>
    <n v="49880275"/>
    <m/>
    <x v="1"/>
    <n v="49880275"/>
  </r>
  <r>
    <x v="2"/>
    <x v="35"/>
    <x v="35"/>
    <x v="15"/>
    <s v="Gasto Federalizado"/>
    <x v="189"/>
    <x v="888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069058339"/>
    <n v="0"/>
    <n v="0"/>
    <n v="1069058339"/>
    <n v="1117769147"/>
    <m/>
    <x v="1"/>
    <n v="1117769147"/>
  </r>
  <r>
    <x v="2"/>
    <x v="35"/>
    <x v="35"/>
    <x v="15"/>
    <s v="Gasto Federalizado"/>
    <x v="189"/>
    <x v="888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2084457"/>
    <n v="0"/>
    <n v="0"/>
    <n v="2084457"/>
    <n v="2212269"/>
    <m/>
    <x v="1"/>
    <n v="2212269"/>
  </r>
  <r>
    <x v="2"/>
    <x v="35"/>
    <x v="35"/>
    <x v="15"/>
    <s v="Gasto Federalizado"/>
    <x v="189"/>
    <x v="888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108490383"/>
    <n v="0"/>
    <n v="0"/>
    <n v="108490383"/>
    <n v="97759667"/>
    <m/>
    <x v="1"/>
    <n v="97759667"/>
  </r>
  <r>
    <x v="2"/>
    <x v="35"/>
    <x v="35"/>
    <x v="15"/>
    <s v="Gasto Federalizado"/>
    <x v="189"/>
    <x v="888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3474096"/>
    <n v="0"/>
    <n v="0"/>
    <n v="3474096"/>
    <n v="3687114"/>
    <m/>
    <x v="1"/>
    <n v="3687114"/>
  </r>
  <r>
    <x v="2"/>
    <x v="35"/>
    <x v="35"/>
    <x v="15"/>
    <s v="Gasto Federalizado"/>
    <x v="189"/>
    <x v="888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04327253"/>
    <n v="0"/>
    <n v="0"/>
    <n v="104327253"/>
    <n v="109113722"/>
    <m/>
    <x v="1"/>
    <n v="109113722"/>
  </r>
  <r>
    <x v="2"/>
    <x v="35"/>
    <x v="35"/>
    <x v="15"/>
    <s v="Gasto Federalizado"/>
    <x v="190"/>
    <x v="889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31415623"/>
    <n v="0"/>
    <n v="0"/>
    <n v="31415623"/>
    <n v="33410840"/>
    <m/>
    <x v="1"/>
    <n v="33410840"/>
  </r>
  <r>
    <x v="2"/>
    <x v="35"/>
    <x v="35"/>
    <x v="15"/>
    <s v="Gasto Federalizado"/>
    <x v="190"/>
    <x v="889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725604435"/>
    <n v="0"/>
    <n v="0"/>
    <n v="725604435"/>
    <n v="731092060"/>
    <m/>
    <x v="1"/>
    <n v="731092060"/>
  </r>
  <r>
    <x v="2"/>
    <x v="35"/>
    <x v="35"/>
    <x v="15"/>
    <s v="Gasto Federalizado"/>
    <x v="190"/>
    <x v="889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1056218"/>
    <n v="0"/>
    <n v="0"/>
    <n v="1056218"/>
    <n v="2867205"/>
    <m/>
    <x v="1"/>
    <n v="2867205"/>
  </r>
  <r>
    <x v="2"/>
    <x v="35"/>
    <x v="35"/>
    <x v="15"/>
    <s v="Gasto Federalizado"/>
    <x v="190"/>
    <x v="889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75536040"/>
    <n v="0"/>
    <n v="0"/>
    <n v="75536040"/>
    <n v="80717736"/>
    <m/>
    <x v="1"/>
    <n v="80717736"/>
  </r>
  <r>
    <x v="2"/>
    <x v="35"/>
    <x v="35"/>
    <x v="15"/>
    <s v="Gasto Federalizado"/>
    <x v="190"/>
    <x v="889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623517205"/>
    <n v="0"/>
    <n v="0"/>
    <n v="1623517205"/>
    <n v="1694650719"/>
    <m/>
    <x v="1"/>
    <n v="1694650719"/>
  </r>
  <r>
    <x v="2"/>
    <x v="35"/>
    <x v="35"/>
    <x v="15"/>
    <s v="Gasto Federalizado"/>
    <x v="190"/>
    <x v="889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1587923"/>
    <n v="0"/>
    <n v="0"/>
    <n v="1587923"/>
    <n v="10483472"/>
    <m/>
    <x v="1"/>
    <n v="10483472"/>
  </r>
  <r>
    <x v="2"/>
    <x v="35"/>
    <x v="35"/>
    <x v="15"/>
    <s v="Gasto Federalizado"/>
    <x v="190"/>
    <x v="889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3365960"/>
    <n v="0"/>
    <n v="0"/>
    <n v="3365960"/>
    <n v="3579733"/>
    <m/>
    <x v="1"/>
    <n v="3579733"/>
  </r>
  <r>
    <x v="2"/>
    <x v="35"/>
    <x v="35"/>
    <x v="15"/>
    <s v="Gasto Federalizado"/>
    <x v="190"/>
    <x v="889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70680946"/>
    <n v="0"/>
    <n v="0"/>
    <n v="70680946"/>
    <n v="74300264"/>
    <m/>
    <x v="1"/>
    <n v="74300264"/>
  </r>
  <r>
    <x v="2"/>
    <x v="35"/>
    <x v="35"/>
    <x v="15"/>
    <s v="Gasto Federalizado"/>
    <x v="190"/>
    <x v="889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282831"/>
    <n v="0"/>
    <n v="0"/>
    <n v="282831"/>
    <n v="806779"/>
    <m/>
    <x v="1"/>
    <n v="806779"/>
  </r>
  <r>
    <x v="2"/>
    <x v="35"/>
    <x v="35"/>
    <x v="15"/>
    <s v="Gasto Federalizado"/>
    <x v="190"/>
    <x v="889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5609933"/>
    <n v="0"/>
    <n v="0"/>
    <n v="5609933"/>
    <n v="5966222"/>
    <m/>
    <x v="1"/>
    <n v="5966222"/>
  </r>
  <r>
    <x v="2"/>
    <x v="35"/>
    <x v="35"/>
    <x v="15"/>
    <s v="Gasto Federalizado"/>
    <x v="190"/>
    <x v="889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41488878"/>
    <n v="0"/>
    <n v="0"/>
    <n v="141488878"/>
    <n v="153391609"/>
    <m/>
    <x v="1"/>
    <n v="153391609"/>
  </r>
  <r>
    <x v="2"/>
    <x v="35"/>
    <x v="35"/>
    <x v="15"/>
    <s v="Gasto Federalizado"/>
    <x v="190"/>
    <x v="889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755362"/>
    <n v="0"/>
    <n v="0"/>
    <n v="755362"/>
    <n v="5603737"/>
    <m/>
    <x v="1"/>
    <n v="5603737"/>
  </r>
  <r>
    <x v="2"/>
    <x v="35"/>
    <x v="35"/>
    <x v="15"/>
    <s v="Gasto Federalizado"/>
    <x v="144"/>
    <x v="890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8780466"/>
    <n v="0"/>
    <n v="0"/>
    <n v="18780466"/>
    <n v="19992294"/>
    <m/>
    <x v="1"/>
    <n v="19992294"/>
  </r>
  <r>
    <x v="2"/>
    <x v="35"/>
    <x v="35"/>
    <x v="15"/>
    <s v="Gasto Federalizado"/>
    <x v="144"/>
    <x v="890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432691112"/>
    <n v="0"/>
    <n v="0"/>
    <n v="432691112"/>
    <n v="455801199"/>
    <m/>
    <x v="1"/>
    <n v="455801199"/>
  </r>
  <r>
    <x v="2"/>
    <x v="35"/>
    <x v="35"/>
    <x v="15"/>
    <s v="Gasto Federalizado"/>
    <x v="144"/>
    <x v="890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334692"/>
    <n v="0"/>
    <n v="0"/>
    <n v="334692"/>
    <n v="90447"/>
    <m/>
    <x v="1"/>
    <n v="90447"/>
  </r>
  <r>
    <x v="2"/>
    <x v="35"/>
    <x v="35"/>
    <x v="15"/>
    <s v="Gasto Federalizado"/>
    <x v="144"/>
    <x v="890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45164379"/>
    <n v="0"/>
    <n v="0"/>
    <n v="45164379"/>
    <n v="48287872"/>
    <m/>
    <x v="1"/>
    <n v="48287872"/>
  </r>
  <r>
    <x v="2"/>
    <x v="35"/>
    <x v="35"/>
    <x v="15"/>
    <s v="Gasto Federalizado"/>
    <x v="144"/>
    <x v="890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110208211"/>
    <n v="0"/>
    <n v="0"/>
    <n v="1110208211"/>
    <n v="1160364919"/>
    <m/>
    <x v="1"/>
    <n v="1160364919"/>
  </r>
  <r>
    <x v="2"/>
    <x v="35"/>
    <x v="35"/>
    <x v="15"/>
    <s v="Gasto Federalizado"/>
    <x v="144"/>
    <x v="890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13791567"/>
    <n v="0"/>
    <n v="0"/>
    <n v="13791567"/>
    <m/>
    <m/>
    <x v="1"/>
    <n v="0"/>
  </r>
  <r>
    <x v="2"/>
    <x v="35"/>
    <x v="35"/>
    <x v="15"/>
    <s v="Gasto Federalizado"/>
    <x v="144"/>
    <x v="890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2012192"/>
    <n v="0"/>
    <n v="0"/>
    <n v="2012192"/>
    <n v="2142031"/>
    <m/>
    <x v="1"/>
    <n v="2142031"/>
  </r>
  <r>
    <x v="2"/>
    <x v="35"/>
    <x v="35"/>
    <x v="15"/>
    <s v="Gasto Federalizado"/>
    <x v="144"/>
    <x v="890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52837048"/>
    <n v="0"/>
    <n v="0"/>
    <n v="52837048"/>
    <n v="57123519"/>
    <m/>
    <x v="1"/>
    <n v="57123519"/>
  </r>
  <r>
    <x v="2"/>
    <x v="35"/>
    <x v="35"/>
    <x v="15"/>
    <s v="Gasto Federalizado"/>
    <x v="144"/>
    <x v="890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2444792"/>
    <n v="0"/>
    <n v="0"/>
    <n v="2444792"/>
    <n v="2549519"/>
    <m/>
    <x v="1"/>
    <n v="2549519"/>
  </r>
  <r>
    <x v="2"/>
    <x v="35"/>
    <x v="35"/>
    <x v="15"/>
    <s v="Gasto Federalizado"/>
    <x v="144"/>
    <x v="890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3353653"/>
    <n v="0"/>
    <n v="0"/>
    <n v="3353653"/>
    <n v="3570053"/>
    <m/>
    <x v="1"/>
    <n v="3570053"/>
  </r>
  <r>
    <x v="2"/>
    <x v="35"/>
    <x v="35"/>
    <x v="15"/>
    <s v="Gasto Federalizado"/>
    <x v="144"/>
    <x v="890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95679416"/>
    <n v="0"/>
    <n v="0"/>
    <n v="95679416"/>
    <n v="104192640"/>
    <m/>
    <x v="1"/>
    <n v="104192640"/>
  </r>
  <r>
    <x v="2"/>
    <x v="35"/>
    <x v="35"/>
    <x v="15"/>
    <s v="Gasto Federalizado"/>
    <x v="144"/>
    <x v="890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19688"/>
    <m/>
    <x v="1"/>
    <n v="19688"/>
  </r>
  <r>
    <x v="2"/>
    <x v="35"/>
    <x v="35"/>
    <x v="15"/>
    <s v="Gasto Federalizado"/>
    <x v="64"/>
    <x v="891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27565028"/>
    <n v="0"/>
    <n v="0"/>
    <n v="27565028"/>
    <n v="29378568"/>
    <m/>
    <x v="1"/>
    <n v="29378568"/>
  </r>
  <r>
    <x v="2"/>
    <x v="35"/>
    <x v="35"/>
    <x v="15"/>
    <s v="Gasto Federalizado"/>
    <x v="64"/>
    <x v="891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784998887"/>
    <n v="0"/>
    <n v="0"/>
    <n v="784998887"/>
    <n v="827828433"/>
    <m/>
    <x v="1"/>
    <n v="827828433"/>
  </r>
  <r>
    <x v="2"/>
    <x v="35"/>
    <x v="35"/>
    <x v="15"/>
    <s v="Gasto Federalizado"/>
    <x v="64"/>
    <x v="891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573756"/>
    <n v="0"/>
    <n v="0"/>
    <n v="573756"/>
    <n v="552900"/>
    <m/>
    <x v="1"/>
    <n v="552900"/>
  </r>
  <r>
    <x v="2"/>
    <x v="35"/>
    <x v="35"/>
    <x v="15"/>
    <s v="Gasto Federalizado"/>
    <x v="64"/>
    <x v="891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66282679"/>
    <n v="0"/>
    <n v="0"/>
    <n v="66282679"/>
    <n v="70961312"/>
    <m/>
    <x v="1"/>
    <n v="70961312"/>
  </r>
  <r>
    <x v="2"/>
    <x v="35"/>
    <x v="35"/>
    <x v="15"/>
    <s v="Gasto Federalizado"/>
    <x v="64"/>
    <x v="891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906181188"/>
    <n v="0"/>
    <n v="0"/>
    <n v="1906181188"/>
    <n v="2024041562"/>
    <m/>
    <x v="1"/>
    <n v="2024041562"/>
  </r>
  <r>
    <x v="2"/>
    <x v="35"/>
    <x v="35"/>
    <x v="15"/>
    <s v="Gasto Federalizado"/>
    <x v="64"/>
    <x v="891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2542692"/>
    <n v="0"/>
    <n v="0"/>
    <n v="2542692"/>
    <n v="774174"/>
    <m/>
    <x v="1"/>
    <n v="774174"/>
  </r>
  <r>
    <x v="2"/>
    <x v="35"/>
    <x v="35"/>
    <x v="15"/>
    <s v="Gasto Federalizado"/>
    <x v="64"/>
    <x v="891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2953396"/>
    <n v="0"/>
    <n v="0"/>
    <n v="2953396"/>
    <n v="3147704"/>
    <m/>
    <x v="1"/>
    <n v="3147704"/>
  </r>
  <r>
    <x v="2"/>
    <x v="35"/>
    <x v="35"/>
    <x v="15"/>
    <s v="Gasto Federalizado"/>
    <x v="64"/>
    <x v="891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80369905"/>
    <n v="0"/>
    <n v="0"/>
    <n v="80369905"/>
    <n v="84416845"/>
    <m/>
    <x v="1"/>
    <n v="84416845"/>
  </r>
  <r>
    <x v="2"/>
    <x v="35"/>
    <x v="35"/>
    <x v="15"/>
    <s v="Gasto Federalizado"/>
    <x v="64"/>
    <x v="891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4258674"/>
    <n v="0"/>
    <n v="0"/>
    <n v="4258674"/>
    <n v="4127246"/>
    <m/>
    <x v="1"/>
    <n v="4127246"/>
  </r>
  <r>
    <x v="2"/>
    <x v="35"/>
    <x v="35"/>
    <x v="15"/>
    <s v="Gasto Federalizado"/>
    <x v="64"/>
    <x v="891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4922328"/>
    <n v="0"/>
    <n v="0"/>
    <n v="4922328"/>
    <n v="5246173"/>
    <m/>
    <x v="1"/>
    <n v="5246173"/>
  </r>
  <r>
    <x v="2"/>
    <x v="35"/>
    <x v="35"/>
    <x v="15"/>
    <s v="Gasto Federalizado"/>
    <x v="64"/>
    <x v="891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30675297"/>
    <n v="0"/>
    <n v="0"/>
    <n v="130675297"/>
    <n v="138558736"/>
    <m/>
    <x v="1"/>
    <n v="138558736"/>
  </r>
  <r>
    <x v="2"/>
    <x v="35"/>
    <x v="35"/>
    <x v="15"/>
    <s v="Gasto Federalizado"/>
    <x v="64"/>
    <x v="891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1032312"/>
    <n v="0"/>
    <n v="0"/>
    <n v="1032312"/>
    <n v="994774"/>
    <m/>
    <x v="1"/>
    <n v="994774"/>
  </r>
  <r>
    <x v="2"/>
    <x v="35"/>
    <x v="35"/>
    <x v="15"/>
    <s v="Gasto Federalizado"/>
    <x v="191"/>
    <x v="892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70914115"/>
    <n v="0"/>
    <n v="0"/>
    <n v="70914115"/>
    <n v="75123726"/>
    <m/>
    <x v="1"/>
    <n v="75123726"/>
  </r>
  <r>
    <x v="2"/>
    <x v="35"/>
    <x v="35"/>
    <x v="15"/>
    <s v="Gasto Federalizado"/>
    <x v="191"/>
    <x v="892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1447080272"/>
    <n v="0"/>
    <n v="0"/>
    <n v="1447080272"/>
    <n v="1498228735"/>
    <m/>
    <x v="1"/>
    <n v="1498228735"/>
  </r>
  <r>
    <x v="2"/>
    <x v="35"/>
    <x v="35"/>
    <x v="15"/>
    <s v="Gasto Federalizado"/>
    <x v="191"/>
    <x v="892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170498107"/>
    <n v="0"/>
    <n v="0"/>
    <n v="170498107"/>
    <n v="181536275"/>
    <m/>
    <x v="1"/>
    <n v="181536275"/>
  </r>
  <r>
    <x v="2"/>
    <x v="35"/>
    <x v="35"/>
    <x v="15"/>
    <s v="Gasto Federalizado"/>
    <x v="191"/>
    <x v="892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3900092859"/>
    <n v="0"/>
    <n v="0"/>
    <n v="3900092859"/>
    <n v="4051320304"/>
    <m/>
    <x v="1"/>
    <n v="4051320304"/>
  </r>
  <r>
    <x v="2"/>
    <x v="35"/>
    <x v="35"/>
    <x v="15"/>
    <s v="Gasto Federalizado"/>
    <x v="191"/>
    <x v="892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7597941"/>
    <n v="0"/>
    <n v="0"/>
    <n v="7597941"/>
    <n v="8048971"/>
    <m/>
    <x v="1"/>
    <n v="8048971"/>
  </r>
  <r>
    <x v="2"/>
    <x v="35"/>
    <x v="35"/>
    <x v="15"/>
    <s v="Gasto Federalizado"/>
    <x v="191"/>
    <x v="892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158601856"/>
    <n v="0"/>
    <n v="0"/>
    <n v="158601856"/>
    <n v="161501851"/>
    <m/>
    <x v="1"/>
    <n v="161501851"/>
  </r>
  <r>
    <x v="2"/>
    <x v="35"/>
    <x v="35"/>
    <x v="15"/>
    <s v="Gasto Federalizado"/>
    <x v="191"/>
    <x v="892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2663236"/>
    <n v="0"/>
    <n v="0"/>
    <n v="12663236"/>
    <n v="13414951"/>
    <m/>
    <x v="1"/>
    <n v="13414951"/>
  </r>
  <r>
    <x v="2"/>
    <x v="35"/>
    <x v="35"/>
    <x v="15"/>
    <s v="Gasto Federalizado"/>
    <x v="191"/>
    <x v="892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259067330"/>
    <n v="0"/>
    <n v="0"/>
    <n v="259067330"/>
    <n v="268218329"/>
    <m/>
    <x v="1"/>
    <n v="268218329"/>
  </r>
  <r>
    <x v="2"/>
    <x v="35"/>
    <x v="35"/>
    <x v="15"/>
    <s v="Gasto Federalizado"/>
    <x v="145"/>
    <x v="893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9009996"/>
    <n v="0"/>
    <n v="0"/>
    <n v="19009996"/>
    <n v="20269380"/>
    <m/>
    <x v="1"/>
    <n v="20269380"/>
  </r>
  <r>
    <x v="2"/>
    <x v="35"/>
    <x v="35"/>
    <x v="15"/>
    <s v="Gasto Federalizado"/>
    <x v="145"/>
    <x v="893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432045730"/>
    <n v="0"/>
    <n v="0"/>
    <n v="432045730"/>
    <n v="455592913"/>
    <m/>
    <x v="1"/>
    <n v="455592913"/>
  </r>
  <r>
    <x v="2"/>
    <x v="35"/>
    <x v="35"/>
    <x v="15"/>
    <s v="Gasto Federalizado"/>
    <x v="145"/>
    <x v="893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45714420"/>
    <n v="0"/>
    <n v="0"/>
    <n v="45714420"/>
    <n v="48952813"/>
    <m/>
    <x v="1"/>
    <n v="48952813"/>
  </r>
  <r>
    <x v="2"/>
    <x v="35"/>
    <x v="35"/>
    <x v="15"/>
    <s v="Gasto Federalizado"/>
    <x v="145"/>
    <x v="893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218508375"/>
    <n v="0"/>
    <n v="0"/>
    <n v="1218508375"/>
    <n v="1280641387"/>
    <m/>
    <x v="1"/>
    <n v="1280641387"/>
  </r>
  <r>
    <x v="2"/>
    <x v="35"/>
    <x v="35"/>
    <x v="15"/>
    <s v="Gasto Federalizado"/>
    <x v="145"/>
    <x v="893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59772"/>
    <n v="0"/>
    <n v="0"/>
    <n v="59772"/>
    <n v="60472"/>
    <m/>
    <x v="1"/>
    <n v="60472"/>
  </r>
  <r>
    <x v="2"/>
    <x v="35"/>
    <x v="35"/>
    <x v="15"/>
    <s v="Gasto Federalizado"/>
    <x v="145"/>
    <x v="893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2036785"/>
    <n v="0"/>
    <n v="0"/>
    <n v="2036785"/>
    <n v="2171719"/>
    <m/>
    <x v="1"/>
    <n v="2171719"/>
  </r>
  <r>
    <x v="2"/>
    <x v="35"/>
    <x v="35"/>
    <x v="15"/>
    <s v="Gasto Federalizado"/>
    <x v="145"/>
    <x v="893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44862201"/>
    <n v="0"/>
    <n v="0"/>
    <n v="44862201"/>
    <n v="47293621"/>
    <m/>
    <x v="1"/>
    <n v="47293621"/>
  </r>
  <r>
    <x v="2"/>
    <x v="35"/>
    <x v="35"/>
    <x v="15"/>
    <s v="Gasto Federalizado"/>
    <x v="145"/>
    <x v="893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3896692"/>
    <n v="0"/>
    <n v="0"/>
    <n v="3896692"/>
    <n v="3942338"/>
    <m/>
    <x v="1"/>
    <n v="3942338"/>
  </r>
  <r>
    <x v="2"/>
    <x v="35"/>
    <x v="35"/>
    <x v="15"/>
    <s v="Gasto Federalizado"/>
    <x v="145"/>
    <x v="893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3394643"/>
    <n v="0"/>
    <n v="0"/>
    <n v="3394643"/>
    <n v="3619533"/>
    <m/>
    <x v="1"/>
    <n v="3619533"/>
  </r>
  <r>
    <x v="2"/>
    <x v="35"/>
    <x v="35"/>
    <x v="15"/>
    <s v="Gasto Federalizado"/>
    <x v="145"/>
    <x v="893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04593731"/>
    <n v="0"/>
    <n v="0"/>
    <n v="104593731"/>
    <n v="109678582"/>
    <m/>
    <x v="1"/>
    <n v="109678582"/>
  </r>
  <r>
    <x v="2"/>
    <x v="35"/>
    <x v="35"/>
    <x v="15"/>
    <s v="Gasto Federalizado"/>
    <x v="132"/>
    <x v="894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0107876"/>
    <n v="0"/>
    <n v="0"/>
    <n v="10107876"/>
    <n v="10774403"/>
    <m/>
    <x v="1"/>
    <n v="10774403"/>
  </r>
  <r>
    <x v="2"/>
    <x v="35"/>
    <x v="35"/>
    <x v="15"/>
    <s v="Gasto Federalizado"/>
    <x v="132"/>
    <x v="894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47194814"/>
    <n v="0"/>
    <n v="0"/>
    <n v="247194814"/>
    <n v="246019058"/>
    <m/>
    <x v="1"/>
    <n v="246019058"/>
  </r>
  <r>
    <x v="2"/>
    <x v="35"/>
    <x v="35"/>
    <x v="15"/>
    <s v="Gasto Federalizado"/>
    <x v="132"/>
    <x v="894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790229"/>
    <n v="0"/>
    <n v="0"/>
    <n v="790229"/>
    <n v="1206441"/>
    <m/>
    <x v="1"/>
    <n v="1206441"/>
  </r>
  <r>
    <x v="2"/>
    <x v="35"/>
    <x v="35"/>
    <x v="15"/>
    <s v="Gasto Federalizado"/>
    <x v="132"/>
    <x v="894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24311517"/>
    <n v="0"/>
    <n v="0"/>
    <n v="24311517"/>
    <n v="26016005"/>
    <m/>
    <x v="1"/>
    <n v="26016005"/>
  </r>
  <r>
    <x v="2"/>
    <x v="35"/>
    <x v="35"/>
    <x v="15"/>
    <s v="Gasto Federalizado"/>
    <x v="132"/>
    <x v="894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535077393"/>
    <n v="0"/>
    <n v="0"/>
    <n v="535077393"/>
    <n v="574169041"/>
    <m/>
    <x v="1"/>
    <n v="574169041"/>
  </r>
  <r>
    <x v="2"/>
    <x v="35"/>
    <x v="35"/>
    <x v="15"/>
    <s v="Gasto Federalizado"/>
    <x v="132"/>
    <x v="894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4151561"/>
    <n v="0"/>
    <n v="0"/>
    <n v="4151561"/>
    <n v="2630619"/>
    <m/>
    <x v="1"/>
    <n v="2630619"/>
  </r>
  <r>
    <x v="2"/>
    <x v="35"/>
    <x v="35"/>
    <x v="15"/>
    <s v="Gasto Federalizado"/>
    <x v="132"/>
    <x v="894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082987"/>
    <n v="0"/>
    <n v="0"/>
    <n v="1082987"/>
    <n v="1154400"/>
    <m/>
    <x v="1"/>
    <n v="1154400"/>
  </r>
  <r>
    <x v="2"/>
    <x v="35"/>
    <x v="35"/>
    <x v="15"/>
    <s v="Gasto Federalizado"/>
    <x v="132"/>
    <x v="894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32250594"/>
    <n v="0"/>
    <n v="0"/>
    <n v="32250594"/>
    <n v="37753752"/>
    <m/>
    <x v="1"/>
    <n v="37753752"/>
  </r>
  <r>
    <x v="2"/>
    <x v="35"/>
    <x v="35"/>
    <x v="15"/>
    <s v="Gasto Federalizado"/>
    <x v="132"/>
    <x v="894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1214284"/>
    <n v="0"/>
    <n v="0"/>
    <n v="1214284"/>
    <n v="1281083"/>
    <m/>
    <x v="1"/>
    <n v="1281083"/>
  </r>
  <r>
    <x v="2"/>
    <x v="35"/>
    <x v="35"/>
    <x v="15"/>
    <s v="Gasto Federalizado"/>
    <x v="132"/>
    <x v="894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804978"/>
    <n v="0"/>
    <n v="0"/>
    <n v="1804978"/>
    <n v="1924000"/>
    <m/>
    <x v="1"/>
    <n v="1924000"/>
  </r>
  <r>
    <x v="2"/>
    <x v="35"/>
    <x v="35"/>
    <x v="15"/>
    <s v="Gasto Federalizado"/>
    <x v="132"/>
    <x v="894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49476362"/>
    <n v="0"/>
    <n v="0"/>
    <n v="49476362"/>
    <n v="51728568"/>
    <m/>
    <x v="1"/>
    <n v="51728568"/>
  </r>
  <r>
    <x v="2"/>
    <x v="35"/>
    <x v="35"/>
    <x v="15"/>
    <s v="Gasto Federalizado"/>
    <x v="132"/>
    <x v="894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977727"/>
    <n v="0"/>
    <n v="0"/>
    <n v="977727"/>
    <n v="1604589"/>
    <m/>
    <x v="1"/>
    <n v="1604589"/>
  </r>
  <r>
    <x v="2"/>
    <x v="35"/>
    <x v="35"/>
    <x v="15"/>
    <s v="Gasto Federalizado"/>
    <x v="133"/>
    <x v="895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9147139"/>
    <n v="0"/>
    <n v="0"/>
    <n v="9147139"/>
    <n v="9785866"/>
    <m/>
    <x v="1"/>
    <n v="9785866"/>
  </r>
  <r>
    <x v="2"/>
    <x v="35"/>
    <x v="35"/>
    <x v="15"/>
    <s v="Gasto Federalizado"/>
    <x v="133"/>
    <x v="895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08547886"/>
    <n v="0"/>
    <n v="0"/>
    <n v="208547886"/>
    <n v="210325940"/>
    <m/>
    <x v="1"/>
    <n v="210325940"/>
  </r>
  <r>
    <x v="2"/>
    <x v="35"/>
    <x v="35"/>
    <x v="15"/>
    <s v="Gasto Federalizado"/>
    <x v="133"/>
    <x v="895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22000147"/>
    <n v="0"/>
    <n v="0"/>
    <n v="22000147"/>
    <n v="23625793"/>
    <m/>
    <x v="1"/>
    <n v="23625793"/>
  </r>
  <r>
    <x v="2"/>
    <x v="35"/>
    <x v="35"/>
    <x v="15"/>
    <s v="Gasto Federalizado"/>
    <x v="133"/>
    <x v="895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539186940"/>
    <n v="0"/>
    <n v="0"/>
    <n v="539186940"/>
    <n v="571464802"/>
    <m/>
    <x v="1"/>
    <n v="571464802"/>
  </r>
  <r>
    <x v="2"/>
    <x v="35"/>
    <x v="35"/>
    <x v="15"/>
    <s v="Gasto Federalizado"/>
    <x v="133"/>
    <x v="895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402868"/>
    <n v="0"/>
    <n v="0"/>
    <n v="402868"/>
    <n v="428488"/>
    <m/>
    <x v="1"/>
    <n v="428488"/>
  </r>
  <r>
    <x v="2"/>
    <x v="35"/>
    <x v="35"/>
    <x v="15"/>
    <s v="Gasto Federalizado"/>
    <x v="133"/>
    <x v="895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980050"/>
    <n v="0"/>
    <n v="0"/>
    <n v="980050"/>
    <n v="1048486"/>
    <m/>
    <x v="1"/>
    <n v="1048486"/>
  </r>
  <r>
    <x v="2"/>
    <x v="35"/>
    <x v="35"/>
    <x v="15"/>
    <s v="Gasto Federalizado"/>
    <x v="133"/>
    <x v="895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22173524"/>
    <n v="0"/>
    <n v="0"/>
    <n v="22173524"/>
    <n v="23546816"/>
    <m/>
    <x v="1"/>
    <n v="23546816"/>
  </r>
  <r>
    <x v="2"/>
    <x v="35"/>
    <x v="35"/>
    <x v="15"/>
    <s v="Gasto Federalizado"/>
    <x v="133"/>
    <x v="895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633419"/>
    <n v="0"/>
    <n v="0"/>
    <n v="1633419"/>
    <n v="1747475"/>
    <m/>
    <x v="1"/>
    <n v="1747475"/>
  </r>
  <r>
    <x v="2"/>
    <x v="35"/>
    <x v="35"/>
    <x v="15"/>
    <s v="Gasto Federalizado"/>
    <x v="133"/>
    <x v="895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30691408"/>
    <n v="0"/>
    <n v="0"/>
    <n v="30691408"/>
    <n v="43896719"/>
    <m/>
    <x v="1"/>
    <n v="43896719"/>
  </r>
  <r>
    <x v="2"/>
    <x v="35"/>
    <x v="35"/>
    <x v="15"/>
    <s v="Gasto Federalizado"/>
    <x v="192"/>
    <x v="896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7169880"/>
    <n v="0"/>
    <n v="0"/>
    <n v="17169880"/>
    <n v="18271174"/>
    <m/>
    <x v="1"/>
    <n v="18271174"/>
  </r>
  <r>
    <x v="2"/>
    <x v="35"/>
    <x v="35"/>
    <x v="15"/>
    <s v="Gasto Federalizado"/>
    <x v="192"/>
    <x v="896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369546408"/>
    <n v="0"/>
    <n v="0"/>
    <n v="369546408"/>
    <n v="407767902"/>
    <m/>
    <x v="1"/>
    <n v="407767902"/>
  </r>
  <r>
    <x v="2"/>
    <x v="35"/>
    <x v="35"/>
    <x v="15"/>
    <s v="Gasto Federalizado"/>
    <x v="192"/>
    <x v="896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4248143"/>
    <n v="0"/>
    <n v="0"/>
    <n v="4248143"/>
    <n v="7496363"/>
    <m/>
    <x v="1"/>
    <n v="7496363"/>
  </r>
  <r>
    <x v="2"/>
    <x v="35"/>
    <x v="35"/>
    <x v="15"/>
    <s v="Gasto Federalizado"/>
    <x v="192"/>
    <x v="896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41292742"/>
    <n v="0"/>
    <n v="0"/>
    <n v="41292742"/>
    <n v="44128084"/>
    <m/>
    <x v="1"/>
    <n v="44128084"/>
  </r>
  <r>
    <x v="2"/>
    <x v="35"/>
    <x v="35"/>
    <x v="15"/>
    <s v="Gasto Federalizado"/>
    <x v="192"/>
    <x v="896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950949891"/>
    <n v="0"/>
    <n v="0"/>
    <n v="950949891"/>
    <n v="976820854"/>
    <m/>
    <x v="1"/>
    <n v="976820854"/>
  </r>
  <r>
    <x v="2"/>
    <x v="35"/>
    <x v="35"/>
    <x v="15"/>
    <s v="Gasto Federalizado"/>
    <x v="192"/>
    <x v="896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5848356"/>
    <n v="0"/>
    <n v="0"/>
    <n v="5848356"/>
    <n v="5317923"/>
    <m/>
    <x v="1"/>
    <n v="5317923"/>
  </r>
  <r>
    <x v="2"/>
    <x v="35"/>
    <x v="35"/>
    <x v="15"/>
    <s v="Gasto Federalizado"/>
    <x v="192"/>
    <x v="896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839630"/>
    <n v="0"/>
    <n v="0"/>
    <n v="1839630"/>
    <n v="1957625"/>
    <m/>
    <x v="1"/>
    <n v="1957625"/>
  </r>
  <r>
    <x v="2"/>
    <x v="35"/>
    <x v="35"/>
    <x v="15"/>
    <s v="Gasto Federalizado"/>
    <x v="192"/>
    <x v="896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41586431"/>
    <n v="0"/>
    <n v="0"/>
    <n v="41586431"/>
    <n v="43460551"/>
    <m/>
    <x v="1"/>
    <n v="43460551"/>
  </r>
  <r>
    <x v="2"/>
    <x v="35"/>
    <x v="35"/>
    <x v="15"/>
    <s v="Gasto Federalizado"/>
    <x v="192"/>
    <x v="896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3146581"/>
    <n v="0"/>
    <n v="0"/>
    <n v="3146581"/>
    <n v="3036101"/>
    <m/>
    <x v="1"/>
    <n v="3036101"/>
  </r>
  <r>
    <x v="2"/>
    <x v="35"/>
    <x v="35"/>
    <x v="15"/>
    <s v="Gasto Federalizado"/>
    <x v="192"/>
    <x v="896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3066050"/>
    <n v="0"/>
    <n v="0"/>
    <n v="3066050"/>
    <n v="3262711"/>
    <m/>
    <x v="1"/>
    <n v="3262711"/>
  </r>
  <r>
    <x v="2"/>
    <x v="35"/>
    <x v="35"/>
    <x v="15"/>
    <s v="Gasto Federalizado"/>
    <x v="192"/>
    <x v="896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71561615"/>
    <n v="0"/>
    <n v="0"/>
    <n v="71561615"/>
    <n v="72837167"/>
    <m/>
    <x v="1"/>
    <n v="72837167"/>
  </r>
  <r>
    <x v="2"/>
    <x v="35"/>
    <x v="35"/>
    <x v="15"/>
    <s v="Gasto Federalizado"/>
    <x v="192"/>
    <x v="896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1604616"/>
    <n v="0"/>
    <n v="0"/>
    <n v="1604616"/>
    <n v="1321634"/>
    <m/>
    <x v="1"/>
    <n v="1321634"/>
  </r>
  <r>
    <x v="2"/>
    <x v="35"/>
    <x v="35"/>
    <x v="15"/>
    <s v="Gasto Federalizado"/>
    <x v="65"/>
    <x v="897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24353473"/>
    <n v="0"/>
    <n v="0"/>
    <n v="24353473"/>
    <n v="25919745"/>
    <m/>
    <x v="1"/>
    <n v="25919745"/>
  </r>
  <r>
    <x v="2"/>
    <x v="35"/>
    <x v="35"/>
    <x v="15"/>
    <s v="Gasto Federalizado"/>
    <x v="65"/>
    <x v="897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556892759"/>
    <n v="0"/>
    <n v="0"/>
    <n v="556892759"/>
    <n v="573828291"/>
    <m/>
    <x v="1"/>
    <n v="573828291"/>
  </r>
  <r>
    <x v="2"/>
    <x v="35"/>
    <x v="35"/>
    <x v="15"/>
    <s v="Gasto Federalizado"/>
    <x v="65"/>
    <x v="897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58559182"/>
    <n v="0"/>
    <n v="0"/>
    <n v="58559182"/>
    <n v="62614332"/>
    <m/>
    <x v="1"/>
    <n v="62614332"/>
  </r>
  <r>
    <x v="2"/>
    <x v="35"/>
    <x v="35"/>
    <x v="15"/>
    <s v="Gasto Federalizado"/>
    <x v="65"/>
    <x v="897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279140492"/>
    <n v="0"/>
    <n v="0"/>
    <n v="1279140492"/>
    <n v="1356895393"/>
    <m/>
    <x v="1"/>
    <n v="1356895393"/>
  </r>
  <r>
    <x v="2"/>
    <x v="35"/>
    <x v="35"/>
    <x v="15"/>
    <s v="Gasto Federalizado"/>
    <x v="65"/>
    <x v="897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2609301"/>
    <n v="0"/>
    <n v="0"/>
    <n v="2609301"/>
    <n v="2777115"/>
    <m/>
    <x v="1"/>
    <n v="2777115"/>
  </r>
  <r>
    <x v="2"/>
    <x v="35"/>
    <x v="35"/>
    <x v="15"/>
    <s v="Gasto Federalizado"/>
    <x v="65"/>
    <x v="897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76610075"/>
    <n v="0"/>
    <n v="0"/>
    <n v="76610075"/>
    <n v="67414755"/>
    <m/>
    <x v="1"/>
    <n v="67414755"/>
  </r>
  <r>
    <x v="2"/>
    <x v="35"/>
    <x v="35"/>
    <x v="15"/>
    <s v="Gasto Federalizado"/>
    <x v="65"/>
    <x v="897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4348834"/>
    <n v="0"/>
    <n v="0"/>
    <n v="4348834"/>
    <n v="4628527"/>
    <m/>
    <x v="1"/>
    <n v="4628527"/>
  </r>
  <r>
    <x v="2"/>
    <x v="35"/>
    <x v="35"/>
    <x v="15"/>
    <s v="Gasto Federalizado"/>
    <x v="65"/>
    <x v="897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84538659"/>
    <n v="0"/>
    <n v="0"/>
    <n v="184538659"/>
    <n v="189593403"/>
    <m/>
    <x v="1"/>
    <n v="189593403"/>
  </r>
  <r>
    <x v="2"/>
    <x v="35"/>
    <x v="35"/>
    <x v="15"/>
    <s v="Gasto Federalizado"/>
    <x v="96"/>
    <x v="898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20494327"/>
    <n v="0"/>
    <n v="0"/>
    <n v="20494327"/>
    <n v="21903471"/>
    <m/>
    <x v="1"/>
    <n v="21903471"/>
  </r>
  <r>
    <x v="2"/>
    <x v="35"/>
    <x v="35"/>
    <x v="15"/>
    <s v="Gasto Federalizado"/>
    <x v="96"/>
    <x v="898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405464653"/>
    <n v="0"/>
    <n v="0"/>
    <n v="405464653"/>
    <n v="440032077"/>
    <m/>
    <x v="1"/>
    <n v="440032077"/>
  </r>
  <r>
    <x v="2"/>
    <x v="35"/>
    <x v="35"/>
    <x v="15"/>
    <s v="Gasto Federalizado"/>
    <x v="96"/>
    <x v="898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49284879"/>
    <n v="0"/>
    <n v="0"/>
    <n v="49284879"/>
    <n v="52893777"/>
    <m/>
    <x v="1"/>
    <n v="52893777"/>
  </r>
  <r>
    <x v="2"/>
    <x v="35"/>
    <x v="35"/>
    <x v="15"/>
    <s v="Gasto Federalizado"/>
    <x v="96"/>
    <x v="898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310695513"/>
    <n v="0"/>
    <n v="0"/>
    <n v="1310695513"/>
    <n v="1368252482"/>
    <m/>
    <x v="1"/>
    <n v="1368252482"/>
  </r>
  <r>
    <x v="2"/>
    <x v="35"/>
    <x v="35"/>
    <x v="15"/>
    <s v="Gasto Federalizado"/>
    <x v="96"/>
    <x v="898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2195821"/>
    <n v="0"/>
    <n v="0"/>
    <n v="2195821"/>
    <n v="2346800"/>
    <m/>
    <x v="1"/>
    <n v="2346800"/>
  </r>
  <r>
    <x v="2"/>
    <x v="35"/>
    <x v="35"/>
    <x v="15"/>
    <s v="Gasto Federalizado"/>
    <x v="96"/>
    <x v="898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57927152"/>
    <n v="0"/>
    <n v="0"/>
    <n v="57927152"/>
    <n v="60837859"/>
    <m/>
    <x v="1"/>
    <n v="60837859"/>
  </r>
  <r>
    <x v="2"/>
    <x v="35"/>
    <x v="35"/>
    <x v="15"/>
    <s v="Gasto Federalizado"/>
    <x v="96"/>
    <x v="898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3659702"/>
    <n v="0"/>
    <n v="0"/>
    <n v="3659702"/>
    <n v="3911334"/>
    <m/>
    <x v="1"/>
    <n v="3911334"/>
  </r>
  <r>
    <x v="2"/>
    <x v="35"/>
    <x v="35"/>
    <x v="15"/>
    <s v="Gasto Federalizado"/>
    <x v="96"/>
    <x v="898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90779077"/>
    <n v="0"/>
    <n v="0"/>
    <n v="190779077"/>
    <n v="198107997"/>
    <m/>
    <x v="1"/>
    <n v="198107997"/>
  </r>
  <r>
    <x v="2"/>
    <x v="35"/>
    <x v="35"/>
    <x v="15"/>
    <s v="Gasto Federalizado"/>
    <x v="97"/>
    <x v="899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0846731"/>
    <n v="0"/>
    <n v="0"/>
    <n v="10846731"/>
    <n v="11547879"/>
    <m/>
    <x v="1"/>
    <n v="11547879"/>
  </r>
  <r>
    <x v="2"/>
    <x v="35"/>
    <x v="35"/>
    <x v="15"/>
    <s v="Gasto Federalizado"/>
    <x v="97"/>
    <x v="899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43648002"/>
    <n v="0"/>
    <n v="0"/>
    <n v="243648002"/>
    <n v="258696349"/>
    <m/>
    <x v="1"/>
    <n v="258696349"/>
  </r>
  <r>
    <x v="2"/>
    <x v="35"/>
    <x v="35"/>
    <x v="15"/>
    <s v="Gasto Federalizado"/>
    <x v="97"/>
    <x v="899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202343"/>
    <m/>
    <x v="1"/>
    <n v="202343"/>
  </r>
  <r>
    <x v="2"/>
    <x v="35"/>
    <x v="35"/>
    <x v="15"/>
    <s v="Gasto Federalizado"/>
    <x v="97"/>
    <x v="899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26089127"/>
    <n v="0"/>
    <n v="0"/>
    <n v="26089127"/>
    <n v="27885752"/>
    <m/>
    <x v="1"/>
    <n v="27885752"/>
  </r>
  <r>
    <x v="2"/>
    <x v="35"/>
    <x v="35"/>
    <x v="15"/>
    <s v="Gasto Federalizado"/>
    <x v="97"/>
    <x v="899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637992180"/>
    <n v="0"/>
    <n v="0"/>
    <n v="637992180"/>
    <n v="672801439"/>
    <m/>
    <x v="1"/>
    <n v="672801439"/>
  </r>
  <r>
    <x v="2"/>
    <x v="35"/>
    <x v="35"/>
    <x v="15"/>
    <s v="Gasto Federalizado"/>
    <x v="97"/>
    <x v="899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61251"/>
    <n v="0"/>
    <n v="0"/>
    <n v="61251"/>
    <n v="1176001"/>
    <m/>
    <x v="1"/>
    <n v="1176001"/>
  </r>
  <r>
    <x v="2"/>
    <x v="35"/>
    <x v="35"/>
    <x v="15"/>
    <s v="Gasto Federalizado"/>
    <x v="97"/>
    <x v="899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162150"/>
    <n v="0"/>
    <n v="0"/>
    <n v="1162150"/>
    <n v="1237273"/>
    <m/>
    <x v="1"/>
    <n v="1237273"/>
  </r>
  <r>
    <x v="2"/>
    <x v="35"/>
    <x v="35"/>
    <x v="15"/>
    <s v="Gasto Federalizado"/>
    <x v="97"/>
    <x v="899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66346778"/>
    <n v="0"/>
    <n v="0"/>
    <n v="66346778"/>
    <n v="56381446"/>
    <m/>
    <x v="1"/>
    <n v="56381446"/>
  </r>
  <r>
    <x v="2"/>
    <x v="35"/>
    <x v="35"/>
    <x v="15"/>
    <s v="Gasto Federalizado"/>
    <x v="97"/>
    <x v="899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335717"/>
    <n v="0"/>
    <n v="0"/>
    <n v="335717"/>
    <n v="3035142"/>
    <m/>
    <x v="1"/>
    <n v="3035142"/>
  </r>
  <r>
    <x v="2"/>
    <x v="35"/>
    <x v="35"/>
    <x v="15"/>
    <s v="Gasto Federalizado"/>
    <x v="97"/>
    <x v="899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936916"/>
    <n v="0"/>
    <n v="0"/>
    <n v="1936916"/>
    <n v="2062120"/>
    <m/>
    <x v="1"/>
    <n v="2062120"/>
  </r>
  <r>
    <x v="2"/>
    <x v="35"/>
    <x v="35"/>
    <x v="15"/>
    <s v="Gasto Federalizado"/>
    <x v="97"/>
    <x v="899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44907220"/>
    <n v="0"/>
    <n v="0"/>
    <n v="44907220"/>
    <n v="45444007"/>
    <m/>
    <x v="1"/>
    <n v="45444007"/>
  </r>
  <r>
    <x v="2"/>
    <x v="35"/>
    <x v="35"/>
    <x v="15"/>
    <s v="Gasto Federalizado"/>
    <x v="97"/>
    <x v="899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1011714"/>
    <m/>
    <x v="1"/>
    <n v="1011714"/>
  </r>
  <r>
    <x v="2"/>
    <x v="35"/>
    <x v="35"/>
    <x v="15"/>
    <s v="Gasto Federalizado"/>
    <x v="98"/>
    <x v="900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8545501"/>
    <n v="0"/>
    <n v="0"/>
    <n v="8545501"/>
    <n v="9082671"/>
    <m/>
    <x v="1"/>
    <n v="9082671"/>
  </r>
  <r>
    <x v="2"/>
    <x v="35"/>
    <x v="35"/>
    <x v="15"/>
    <s v="Gasto Federalizado"/>
    <x v="98"/>
    <x v="900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09586203"/>
    <n v="0"/>
    <n v="0"/>
    <n v="209586203"/>
    <n v="223173669"/>
    <m/>
    <x v="1"/>
    <n v="223173669"/>
  </r>
  <r>
    <x v="2"/>
    <x v="35"/>
    <x v="35"/>
    <x v="15"/>
    <s v="Gasto Federalizado"/>
    <x v="98"/>
    <x v="900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87106"/>
    <n v="0"/>
    <n v="0"/>
    <n v="87106"/>
    <n v="151757"/>
    <m/>
    <x v="1"/>
    <n v="151757"/>
  </r>
  <r>
    <x v="2"/>
    <x v="35"/>
    <x v="35"/>
    <x v="15"/>
    <s v="Gasto Federalizado"/>
    <x v="98"/>
    <x v="900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20557573"/>
    <n v="0"/>
    <n v="0"/>
    <n v="20557573"/>
    <n v="21930792"/>
    <m/>
    <x v="1"/>
    <n v="21930792"/>
  </r>
  <r>
    <x v="2"/>
    <x v="35"/>
    <x v="35"/>
    <x v="15"/>
    <s v="Gasto Federalizado"/>
    <x v="98"/>
    <x v="900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578788351"/>
    <n v="0"/>
    <n v="0"/>
    <n v="578788351"/>
    <n v="595772445"/>
    <m/>
    <x v="1"/>
    <n v="595772445"/>
  </r>
  <r>
    <x v="2"/>
    <x v="35"/>
    <x v="35"/>
    <x v="15"/>
    <s v="Gasto Federalizado"/>
    <x v="98"/>
    <x v="900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915589"/>
    <n v="0"/>
    <n v="0"/>
    <n v="915589"/>
    <n v="973144"/>
    <m/>
    <x v="1"/>
    <n v="973144"/>
  </r>
  <r>
    <x v="2"/>
    <x v="35"/>
    <x v="35"/>
    <x v="15"/>
    <s v="Gasto Federalizado"/>
    <x v="98"/>
    <x v="900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22958536"/>
    <n v="0"/>
    <n v="0"/>
    <n v="22958536"/>
    <n v="23999064"/>
    <m/>
    <x v="1"/>
    <n v="23999064"/>
  </r>
  <r>
    <x v="2"/>
    <x v="35"/>
    <x v="35"/>
    <x v="15"/>
    <s v="Gasto Federalizado"/>
    <x v="98"/>
    <x v="900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525983"/>
    <n v="0"/>
    <n v="0"/>
    <n v="1525983"/>
    <n v="1621905"/>
    <m/>
    <x v="1"/>
    <n v="1621905"/>
  </r>
  <r>
    <x v="2"/>
    <x v="35"/>
    <x v="35"/>
    <x v="15"/>
    <s v="Gasto Federalizado"/>
    <x v="98"/>
    <x v="900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57779957"/>
    <n v="0"/>
    <n v="0"/>
    <n v="57779957"/>
    <n v="61904875"/>
    <m/>
    <x v="1"/>
    <n v="61904875"/>
  </r>
  <r>
    <x v="2"/>
    <x v="35"/>
    <x v="35"/>
    <x v="15"/>
    <s v="Gasto Federalizado"/>
    <x v="193"/>
    <x v="901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1274179"/>
    <n v="0"/>
    <n v="0"/>
    <n v="11274179"/>
    <n v="12014982"/>
    <m/>
    <x v="1"/>
    <n v="12014982"/>
  </r>
  <r>
    <x v="2"/>
    <x v="35"/>
    <x v="35"/>
    <x v="15"/>
    <s v="Gasto Federalizado"/>
    <x v="193"/>
    <x v="901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307384737"/>
    <n v="0"/>
    <n v="0"/>
    <n v="307384737"/>
    <n v="325597865"/>
    <m/>
    <x v="1"/>
    <n v="325597865"/>
  </r>
  <r>
    <x v="2"/>
    <x v="35"/>
    <x v="35"/>
    <x v="15"/>
    <s v="Gasto Federalizado"/>
    <x v="193"/>
    <x v="901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27118554"/>
    <n v="0"/>
    <n v="0"/>
    <n v="27118554"/>
    <n v="29011118"/>
    <m/>
    <x v="1"/>
    <n v="29011118"/>
  </r>
  <r>
    <x v="2"/>
    <x v="35"/>
    <x v="35"/>
    <x v="15"/>
    <s v="Gasto Federalizado"/>
    <x v="193"/>
    <x v="901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727628759"/>
    <n v="0"/>
    <n v="0"/>
    <n v="727628759"/>
    <n v="758370604"/>
    <m/>
    <x v="1"/>
    <n v="758370604"/>
  </r>
  <r>
    <x v="2"/>
    <x v="35"/>
    <x v="35"/>
    <x v="15"/>
    <s v="Gasto Federalizado"/>
    <x v="193"/>
    <x v="901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207948"/>
    <n v="0"/>
    <n v="0"/>
    <n v="1207948"/>
    <n v="1287320"/>
    <m/>
    <x v="1"/>
    <n v="1287320"/>
  </r>
  <r>
    <x v="2"/>
    <x v="35"/>
    <x v="35"/>
    <x v="15"/>
    <s v="Gasto Federalizado"/>
    <x v="193"/>
    <x v="901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29297752"/>
    <n v="0"/>
    <n v="0"/>
    <n v="29297752"/>
    <n v="31776645"/>
    <m/>
    <x v="1"/>
    <n v="31776645"/>
  </r>
  <r>
    <x v="2"/>
    <x v="35"/>
    <x v="35"/>
    <x v="15"/>
    <s v="Gasto Federalizado"/>
    <x v="193"/>
    <x v="901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013247"/>
    <n v="0"/>
    <n v="0"/>
    <n v="2013247"/>
    <n v="2145533"/>
    <m/>
    <x v="1"/>
    <n v="2145533"/>
  </r>
  <r>
    <x v="2"/>
    <x v="35"/>
    <x v="35"/>
    <x v="15"/>
    <s v="Gasto Federalizado"/>
    <x v="193"/>
    <x v="901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47298554"/>
    <n v="0"/>
    <n v="0"/>
    <n v="47298554"/>
    <n v="49867463"/>
    <m/>
    <x v="1"/>
    <n v="49867463"/>
  </r>
  <r>
    <x v="2"/>
    <x v="35"/>
    <x v="35"/>
    <x v="15"/>
    <s v="Gasto Federalizado"/>
    <x v="150"/>
    <x v="902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4472722"/>
    <n v="0"/>
    <n v="0"/>
    <n v="14472722"/>
    <n v="15402380"/>
    <m/>
    <x v="1"/>
    <n v="15402380"/>
  </r>
  <r>
    <x v="2"/>
    <x v="35"/>
    <x v="35"/>
    <x v="15"/>
    <s v="Gasto Federalizado"/>
    <x v="150"/>
    <x v="902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320498538"/>
    <n v="0"/>
    <n v="0"/>
    <n v="320498538"/>
    <n v="331856388"/>
    <m/>
    <x v="1"/>
    <n v="331856388"/>
  </r>
  <r>
    <x v="2"/>
    <x v="35"/>
    <x v="35"/>
    <x v="15"/>
    <s v="Gasto Federalizado"/>
    <x v="150"/>
    <x v="902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23310"/>
    <m/>
    <x v="1"/>
    <n v="23310"/>
  </r>
  <r>
    <x v="2"/>
    <x v="35"/>
    <x v="35"/>
    <x v="15"/>
    <s v="Gasto Federalizado"/>
    <x v="150"/>
    <x v="902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34806508"/>
    <n v="0"/>
    <n v="0"/>
    <n v="34806508"/>
    <n v="37198341"/>
    <m/>
    <x v="1"/>
    <n v="37198341"/>
  </r>
  <r>
    <x v="2"/>
    <x v="35"/>
    <x v="35"/>
    <x v="15"/>
    <s v="Gasto Federalizado"/>
    <x v="150"/>
    <x v="902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009199616"/>
    <n v="0"/>
    <n v="0"/>
    <n v="1009199616"/>
    <n v="1058199803"/>
    <m/>
    <x v="1"/>
    <n v="1058199803"/>
  </r>
  <r>
    <x v="2"/>
    <x v="35"/>
    <x v="35"/>
    <x v="15"/>
    <s v="Gasto Federalizado"/>
    <x v="150"/>
    <x v="902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550649"/>
    <n v="0"/>
    <n v="0"/>
    <n v="1550649"/>
    <n v="1650255"/>
    <m/>
    <x v="1"/>
    <n v="1650255"/>
  </r>
  <r>
    <x v="2"/>
    <x v="35"/>
    <x v="35"/>
    <x v="15"/>
    <s v="Gasto Federalizado"/>
    <x v="150"/>
    <x v="902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30483217"/>
    <n v="0"/>
    <n v="0"/>
    <n v="30483217"/>
    <n v="37581596"/>
    <m/>
    <x v="1"/>
    <n v="37581596"/>
  </r>
  <r>
    <x v="2"/>
    <x v="35"/>
    <x v="35"/>
    <x v="15"/>
    <s v="Gasto Federalizado"/>
    <x v="150"/>
    <x v="902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8809799"/>
    <n v="0"/>
    <n v="0"/>
    <n v="8809799"/>
    <n v="5620449"/>
    <m/>
    <x v="1"/>
    <n v="5620449"/>
  </r>
  <r>
    <x v="2"/>
    <x v="35"/>
    <x v="35"/>
    <x v="15"/>
    <s v="Gasto Federalizado"/>
    <x v="150"/>
    <x v="902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584414"/>
    <n v="0"/>
    <n v="0"/>
    <n v="2584414"/>
    <n v="2750427"/>
    <m/>
    <x v="1"/>
    <n v="2750427"/>
  </r>
  <r>
    <x v="2"/>
    <x v="35"/>
    <x v="35"/>
    <x v="15"/>
    <s v="Gasto Federalizado"/>
    <x v="150"/>
    <x v="902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66214347"/>
    <n v="0"/>
    <n v="0"/>
    <n v="66214347"/>
    <n v="65995528"/>
    <m/>
    <x v="1"/>
    <n v="65995528"/>
  </r>
  <r>
    <x v="2"/>
    <x v="35"/>
    <x v="35"/>
    <x v="15"/>
    <s v="Gasto Federalizado"/>
    <x v="150"/>
    <x v="902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25307"/>
    <m/>
    <x v="1"/>
    <n v="25307"/>
  </r>
  <r>
    <x v="2"/>
    <x v="35"/>
    <x v="35"/>
    <x v="15"/>
    <s v="Gasto Federalizado"/>
    <x v="194"/>
    <x v="903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4041806"/>
    <n v="0"/>
    <n v="0"/>
    <n v="14041806"/>
    <n v="14891388"/>
    <m/>
    <x v="1"/>
    <n v="14891388"/>
  </r>
  <r>
    <x v="2"/>
    <x v="35"/>
    <x v="35"/>
    <x v="15"/>
    <s v="Gasto Federalizado"/>
    <x v="194"/>
    <x v="903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358940359"/>
    <n v="0"/>
    <n v="0"/>
    <n v="358940359"/>
    <n v="378451787"/>
    <m/>
    <x v="1"/>
    <n v="378451787"/>
  </r>
  <r>
    <x v="2"/>
    <x v="35"/>
    <x v="35"/>
    <x v="15"/>
    <s v="Gasto Federalizado"/>
    <x v="194"/>
    <x v="903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18211"/>
    <m/>
    <x v="1"/>
    <n v="18211"/>
  </r>
  <r>
    <x v="2"/>
    <x v="35"/>
    <x v="35"/>
    <x v="15"/>
    <s v="Gasto Federalizado"/>
    <x v="194"/>
    <x v="903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33772956"/>
    <n v="0"/>
    <n v="0"/>
    <n v="33772956"/>
    <n v="35967656"/>
    <m/>
    <x v="1"/>
    <n v="35967656"/>
  </r>
  <r>
    <x v="2"/>
    <x v="35"/>
    <x v="35"/>
    <x v="15"/>
    <s v="Gasto Federalizado"/>
    <x v="194"/>
    <x v="903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869642118"/>
    <n v="0"/>
    <n v="0"/>
    <n v="869642118"/>
    <n v="909971078"/>
    <m/>
    <x v="1"/>
    <n v="909971078"/>
  </r>
  <r>
    <x v="2"/>
    <x v="35"/>
    <x v="35"/>
    <x v="15"/>
    <s v="Gasto Federalizado"/>
    <x v="194"/>
    <x v="903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1275759"/>
    <n v="0"/>
    <n v="0"/>
    <n v="1275759"/>
    <n v="4089092"/>
    <m/>
    <x v="1"/>
    <n v="4089092"/>
  </r>
  <r>
    <x v="2"/>
    <x v="35"/>
    <x v="35"/>
    <x v="15"/>
    <s v="Gasto Federalizado"/>
    <x v="194"/>
    <x v="903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504479"/>
    <n v="0"/>
    <n v="0"/>
    <n v="1504479"/>
    <n v="1595506"/>
    <m/>
    <x v="1"/>
    <n v="1595506"/>
  </r>
  <r>
    <x v="2"/>
    <x v="35"/>
    <x v="35"/>
    <x v="15"/>
    <s v="Gasto Federalizado"/>
    <x v="194"/>
    <x v="903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43255378"/>
    <n v="0"/>
    <n v="0"/>
    <n v="43255378"/>
    <n v="39628456"/>
    <m/>
    <x v="1"/>
    <n v="39628456"/>
  </r>
  <r>
    <x v="2"/>
    <x v="35"/>
    <x v="35"/>
    <x v="15"/>
    <s v="Gasto Federalizado"/>
    <x v="194"/>
    <x v="903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12388416"/>
    <n v="0"/>
    <n v="0"/>
    <n v="12388416"/>
    <n v="13685635"/>
    <m/>
    <x v="1"/>
    <n v="13685635"/>
  </r>
  <r>
    <x v="2"/>
    <x v="35"/>
    <x v="35"/>
    <x v="15"/>
    <s v="Gasto Federalizado"/>
    <x v="194"/>
    <x v="903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507465"/>
    <n v="0"/>
    <n v="0"/>
    <n v="2507465"/>
    <n v="2659176"/>
    <m/>
    <x v="1"/>
    <n v="2659176"/>
  </r>
  <r>
    <x v="2"/>
    <x v="35"/>
    <x v="35"/>
    <x v="15"/>
    <s v="Gasto Federalizado"/>
    <x v="194"/>
    <x v="903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80854123"/>
    <n v="0"/>
    <n v="0"/>
    <n v="80854123"/>
    <n v="92674404"/>
    <m/>
    <x v="1"/>
    <n v="92674404"/>
  </r>
  <r>
    <x v="2"/>
    <x v="35"/>
    <x v="35"/>
    <x v="15"/>
    <s v="Gasto Federalizado"/>
    <x v="194"/>
    <x v="903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93688"/>
    <m/>
    <x v="1"/>
    <n v="93688"/>
  </r>
  <r>
    <x v="2"/>
    <x v="35"/>
    <x v="35"/>
    <x v="15"/>
    <s v="Gasto Federalizado"/>
    <x v="99"/>
    <x v="904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5273382"/>
    <n v="0"/>
    <n v="0"/>
    <n v="15273382"/>
    <n v="16224527"/>
    <m/>
    <x v="1"/>
    <n v="16224527"/>
  </r>
  <r>
    <x v="2"/>
    <x v="35"/>
    <x v="35"/>
    <x v="15"/>
    <s v="Gasto Federalizado"/>
    <x v="99"/>
    <x v="904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336462775"/>
    <n v="0"/>
    <n v="0"/>
    <n v="336462775"/>
    <n v="342589719"/>
    <m/>
    <x v="1"/>
    <n v="342589719"/>
  </r>
  <r>
    <x v="2"/>
    <x v="35"/>
    <x v="35"/>
    <x v="15"/>
    <s v="Gasto Federalizado"/>
    <x v="99"/>
    <x v="904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202343"/>
    <m/>
    <x v="1"/>
    <n v="202343"/>
  </r>
  <r>
    <x v="2"/>
    <x v="35"/>
    <x v="35"/>
    <x v="15"/>
    <s v="Gasto Federalizado"/>
    <x v="99"/>
    <x v="904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36739188"/>
    <n v="0"/>
    <n v="0"/>
    <n v="36739188"/>
    <n v="39182032"/>
    <m/>
    <x v="1"/>
    <n v="39182032"/>
  </r>
  <r>
    <x v="2"/>
    <x v="35"/>
    <x v="35"/>
    <x v="15"/>
    <s v="Gasto Federalizado"/>
    <x v="99"/>
    <x v="904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897426243"/>
    <n v="0"/>
    <n v="0"/>
    <n v="897426243"/>
    <n v="945452290"/>
    <m/>
    <x v="1"/>
    <n v="945452290"/>
  </r>
  <r>
    <x v="2"/>
    <x v="35"/>
    <x v="35"/>
    <x v="15"/>
    <s v="Gasto Federalizado"/>
    <x v="99"/>
    <x v="904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3607"/>
    <n v="0"/>
    <n v="0"/>
    <n v="3607"/>
    <m/>
    <m/>
    <x v="1"/>
    <n v="0"/>
  </r>
  <r>
    <x v="2"/>
    <x v="35"/>
    <x v="35"/>
    <x v="15"/>
    <s v="Gasto Federalizado"/>
    <x v="99"/>
    <x v="904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636434"/>
    <n v="0"/>
    <n v="0"/>
    <n v="1636434"/>
    <n v="1738342"/>
    <m/>
    <x v="1"/>
    <n v="1738342"/>
  </r>
  <r>
    <x v="2"/>
    <x v="35"/>
    <x v="35"/>
    <x v="15"/>
    <s v="Gasto Federalizado"/>
    <x v="99"/>
    <x v="904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35220289"/>
    <n v="0"/>
    <n v="0"/>
    <n v="35220289"/>
    <n v="38083144"/>
    <m/>
    <x v="1"/>
    <n v="38083144"/>
  </r>
  <r>
    <x v="2"/>
    <x v="35"/>
    <x v="35"/>
    <x v="15"/>
    <s v="Gasto Federalizado"/>
    <x v="99"/>
    <x v="904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1328189"/>
    <n v="0"/>
    <n v="0"/>
    <n v="1328189"/>
    <n v="2187249"/>
    <m/>
    <x v="1"/>
    <n v="2187249"/>
  </r>
  <r>
    <x v="2"/>
    <x v="35"/>
    <x v="35"/>
    <x v="15"/>
    <s v="Gasto Federalizado"/>
    <x v="99"/>
    <x v="904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727390"/>
    <n v="0"/>
    <n v="0"/>
    <n v="2727390"/>
    <n v="2897236"/>
    <m/>
    <x v="1"/>
    <n v="2897236"/>
  </r>
  <r>
    <x v="2"/>
    <x v="35"/>
    <x v="35"/>
    <x v="15"/>
    <s v="Gasto Federalizado"/>
    <x v="99"/>
    <x v="904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09682045"/>
    <n v="0"/>
    <n v="0"/>
    <n v="109682045"/>
    <n v="115158741"/>
    <m/>
    <x v="1"/>
    <n v="115158741"/>
  </r>
  <r>
    <x v="2"/>
    <x v="35"/>
    <x v="35"/>
    <x v="15"/>
    <s v="Gasto Federalizado"/>
    <x v="99"/>
    <x v="904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92201"/>
    <n v="0"/>
    <n v="0"/>
    <n v="92201"/>
    <m/>
    <m/>
    <x v="1"/>
    <n v="0"/>
  </r>
  <r>
    <x v="2"/>
    <x v="35"/>
    <x v="35"/>
    <x v="15"/>
    <s v="Gasto Federalizado"/>
    <x v="195"/>
    <x v="905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9305355"/>
    <n v="0"/>
    <n v="0"/>
    <n v="19305355"/>
    <n v="20650630"/>
    <m/>
    <x v="1"/>
    <n v="20650630"/>
  </r>
  <r>
    <x v="2"/>
    <x v="35"/>
    <x v="35"/>
    <x v="15"/>
    <s v="Gasto Federalizado"/>
    <x v="195"/>
    <x v="905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479711506"/>
    <n v="0"/>
    <n v="0"/>
    <n v="479711506"/>
    <n v="508581187"/>
    <m/>
    <x v="1"/>
    <n v="508581187"/>
  </r>
  <r>
    <x v="2"/>
    <x v="35"/>
    <x v="35"/>
    <x v="15"/>
    <s v="Gasto Federalizado"/>
    <x v="195"/>
    <x v="905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1642639"/>
    <m/>
    <x v="1"/>
    <n v="1642639"/>
  </r>
  <r>
    <x v="2"/>
    <x v="35"/>
    <x v="35"/>
    <x v="15"/>
    <s v="Gasto Federalizado"/>
    <x v="195"/>
    <x v="905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46422326"/>
    <n v="0"/>
    <n v="0"/>
    <n v="46422326"/>
    <n v="49865939"/>
    <m/>
    <x v="1"/>
    <n v="49865939"/>
  </r>
  <r>
    <x v="2"/>
    <x v="35"/>
    <x v="35"/>
    <x v="15"/>
    <s v="Gasto Federalizado"/>
    <x v="195"/>
    <x v="905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095172739"/>
    <n v="0"/>
    <n v="0"/>
    <n v="1095172739"/>
    <n v="1168919515"/>
    <m/>
    <x v="1"/>
    <n v="1168919515"/>
  </r>
  <r>
    <x v="2"/>
    <x v="35"/>
    <x v="35"/>
    <x v="15"/>
    <s v="Gasto Federalizado"/>
    <x v="195"/>
    <x v="905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m/>
    <m/>
    <m/>
    <m/>
    <n v="282535"/>
    <m/>
    <x v="1"/>
    <n v="282535"/>
  </r>
  <r>
    <x v="2"/>
    <x v="35"/>
    <x v="35"/>
    <x v="15"/>
    <s v="Gasto Federalizado"/>
    <x v="195"/>
    <x v="905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2068431"/>
    <n v="0"/>
    <n v="0"/>
    <n v="2068431"/>
    <n v="2212567"/>
    <m/>
    <x v="1"/>
    <n v="2212567"/>
  </r>
  <r>
    <x v="2"/>
    <x v="35"/>
    <x v="35"/>
    <x v="15"/>
    <s v="Gasto Federalizado"/>
    <x v="195"/>
    <x v="905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48653823"/>
    <n v="0"/>
    <n v="0"/>
    <n v="48653823"/>
    <n v="51853389"/>
    <m/>
    <x v="1"/>
    <n v="51853389"/>
  </r>
  <r>
    <x v="2"/>
    <x v="35"/>
    <x v="35"/>
    <x v="15"/>
    <s v="Gasto Federalizado"/>
    <x v="195"/>
    <x v="905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5001804"/>
    <n v="0"/>
    <n v="0"/>
    <n v="5001804"/>
    <n v="5060396"/>
    <m/>
    <x v="1"/>
    <n v="5060396"/>
  </r>
  <r>
    <x v="2"/>
    <x v="35"/>
    <x v="35"/>
    <x v="15"/>
    <s v="Gasto Federalizado"/>
    <x v="195"/>
    <x v="905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3447384"/>
    <n v="0"/>
    <n v="0"/>
    <n v="3447384"/>
    <n v="3687613"/>
    <m/>
    <x v="1"/>
    <n v="3687613"/>
  </r>
  <r>
    <x v="2"/>
    <x v="35"/>
    <x v="35"/>
    <x v="15"/>
    <s v="Gasto Federalizado"/>
    <x v="195"/>
    <x v="905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00098623"/>
    <n v="0"/>
    <n v="0"/>
    <n v="100098623"/>
    <n v="105931043"/>
    <m/>
    <x v="1"/>
    <n v="105931043"/>
  </r>
  <r>
    <x v="2"/>
    <x v="35"/>
    <x v="35"/>
    <x v="15"/>
    <s v="Gasto Federalizado"/>
    <x v="45"/>
    <x v="906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7576820"/>
    <n v="0"/>
    <n v="0"/>
    <n v="7576820"/>
    <n v="8035623"/>
    <m/>
    <x v="1"/>
    <n v="8035623"/>
  </r>
  <r>
    <x v="2"/>
    <x v="35"/>
    <x v="35"/>
    <x v="15"/>
    <s v="Gasto Federalizado"/>
    <x v="45"/>
    <x v="906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169999935"/>
    <n v="0"/>
    <n v="0"/>
    <n v="169999935"/>
    <n v="172110657"/>
    <m/>
    <x v="1"/>
    <n v="172110657"/>
  </r>
  <r>
    <x v="2"/>
    <x v="35"/>
    <x v="35"/>
    <x v="15"/>
    <s v="Gasto Federalizado"/>
    <x v="45"/>
    <x v="906"/>
    <x v="102"/>
    <x v="179"/>
    <n v="2"/>
    <s v="Desarrollo Social"/>
    <n v="1"/>
    <s v="Salud"/>
    <n v="1"/>
    <x v="56"/>
    <x v="0"/>
    <x v="204"/>
    <n v="2"/>
    <s v="Gasto de capital"/>
    <x v="0"/>
    <x v="0"/>
    <x v="0"/>
    <x v="0"/>
    <x v="0"/>
    <x v="0"/>
    <x v="0"/>
    <m/>
    <x v="0"/>
    <x v="0"/>
    <m/>
    <n v="876601"/>
    <n v="0"/>
    <n v="0"/>
    <n v="876601"/>
    <n v="5059"/>
    <m/>
    <x v="1"/>
    <n v="5059"/>
  </r>
  <r>
    <x v="2"/>
    <x v="35"/>
    <x v="35"/>
    <x v="15"/>
    <s v="Gasto Federalizado"/>
    <x v="45"/>
    <x v="906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18228148"/>
    <n v="0"/>
    <n v="0"/>
    <n v="18228148"/>
    <n v="19404939"/>
    <m/>
    <x v="1"/>
    <n v="19404939"/>
  </r>
  <r>
    <x v="2"/>
    <x v="35"/>
    <x v="35"/>
    <x v="15"/>
    <s v="Gasto Federalizado"/>
    <x v="45"/>
    <x v="906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472860869"/>
    <n v="0"/>
    <n v="0"/>
    <n v="472860869"/>
    <n v="538153019"/>
    <m/>
    <x v="1"/>
    <n v="538153019"/>
  </r>
  <r>
    <x v="2"/>
    <x v="35"/>
    <x v="35"/>
    <x v="15"/>
    <s v="Gasto Federalizado"/>
    <x v="45"/>
    <x v="906"/>
    <x v="102"/>
    <x v="179"/>
    <n v="2"/>
    <s v="Desarrollo Social"/>
    <n v="1"/>
    <s v="Salud"/>
    <n v="2"/>
    <x v="30"/>
    <x v="0"/>
    <x v="204"/>
    <n v="2"/>
    <s v="Gasto de capital"/>
    <x v="0"/>
    <x v="0"/>
    <x v="0"/>
    <x v="0"/>
    <x v="0"/>
    <x v="0"/>
    <x v="0"/>
    <m/>
    <x v="0"/>
    <x v="0"/>
    <m/>
    <n v="3523467"/>
    <n v="0"/>
    <n v="0"/>
    <n v="3523467"/>
    <n v="2486964"/>
    <m/>
    <x v="1"/>
    <n v="2486964"/>
  </r>
  <r>
    <x v="2"/>
    <x v="35"/>
    <x v="35"/>
    <x v="15"/>
    <s v="Gasto Federalizado"/>
    <x v="45"/>
    <x v="906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811802"/>
    <n v="0"/>
    <n v="0"/>
    <n v="811802"/>
    <n v="860959"/>
    <m/>
    <x v="1"/>
    <n v="860959"/>
  </r>
  <r>
    <x v="2"/>
    <x v="35"/>
    <x v="35"/>
    <x v="15"/>
    <s v="Gasto Federalizado"/>
    <x v="45"/>
    <x v="906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16934010"/>
    <n v="0"/>
    <n v="0"/>
    <n v="16934010"/>
    <n v="17456212"/>
    <m/>
    <x v="1"/>
    <n v="17456212"/>
  </r>
  <r>
    <x v="2"/>
    <x v="35"/>
    <x v="35"/>
    <x v="15"/>
    <s v="Gasto Federalizado"/>
    <x v="45"/>
    <x v="906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8837"/>
    <n v="0"/>
    <n v="0"/>
    <n v="8837"/>
    <n v="4322"/>
    <m/>
    <x v="1"/>
    <n v="4322"/>
  </r>
  <r>
    <x v="2"/>
    <x v="35"/>
    <x v="35"/>
    <x v="15"/>
    <s v="Gasto Federalizado"/>
    <x v="45"/>
    <x v="906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353004"/>
    <n v="0"/>
    <n v="0"/>
    <n v="1353004"/>
    <n v="1434934"/>
    <m/>
    <x v="1"/>
    <n v="1434934"/>
  </r>
  <r>
    <x v="2"/>
    <x v="35"/>
    <x v="35"/>
    <x v="15"/>
    <s v="Gasto Federalizado"/>
    <x v="45"/>
    <x v="906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33487233"/>
    <n v="0"/>
    <n v="0"/>
    <n v="33487233"/>
    <n v="35056526"/>
    <m/>
    <x v="1"/>
    <n v="35056526"/>
  </r>
  <r>
    <x v="2"/>
    <x v="35"/>
    <x v="35"/>
    <x v="15"/>
    <s v="Gasto Federalizado"/>
    <x v="45"/>
    <x v="906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102610"/>
    <n v="0"/>
    <n v="0"/>
    <n v="102610"/>
    <n v="200789"/>
    <m/>
    <x v="1"/>
    <n v="200789"/>
  </r>
  <r>
    <x v="2"/>
    <x v="35"/>
    <x v="35"/>
    <x v="15"/>
    <s v="Gasto Federalizado"/>
    <x v="48"/>
    <x v="907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25317709"/>
    <n v="0"/>
    <n v="0"/>
    <n v="25317709"/>
    <n v="26918446"/>
    <m/>
    <x v="1"/>
    <n v="26918446"/>
  </r>
  <r>
    <x v="2"/>
    <x v="35"/>
    <x v="35"/>
    <x v="15"/>
    <s v="Gasto Federalizado"/>
    <x v="48"/>
    <x v="907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728545903"/>
    <n v="0"/>
    <n v="0"/>
    <n v="728545903"/>
    <n v="711759178"/>
    <m/>
    <x v="1"/>
    <n v="711759178"/>
  </r>
  <r>
    <x v="2"/>
    <x v="35"/>
    <x v="35"/>
    <x v="15"/>
    <s v="Gasto Federalizado"/>
    <x v="48"/>
    <x v="907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60877951"/>
    <n v="0"/>
    <n v="0"/>
    <n v="60877951"/>
    <n v="65028875"/>
    <m/>
    <x v="1"/>
    <n v="65028875"/>
  </r>
  <r>
    <x v="2"/>
    <x v="35"/>
    <x v="35"/>
    <x v="15"/>
    <s v="Gasto Federalizado"/>
    <x v="48"/>
    <x v="907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1974454000"/>
    <n v="0"/>
    <n v="0"/>
    <n v="1974454000"/>
    <n v="2105983908"/>
    <m/>
    <x v="1"/>
    <n v="2105983908"/>
  </r>
  <r>
    <x v="2"/>
    <x v="35"/>
    <x v="35"/>
    <x v="15"/>
    <s v="Gasto Federalizado"/>
    <x v="48"/>
    <x v="907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2712611"/>
    <n v="0"/>
    <n v="0"/>
    <n v="2712611"/>
    <n v="2884120"/>
    <m/>
    <x v="1"/>
    <n v="2884120"/>
  </r>
  <r>
    <x v="2"/>
    <x v="35"/>
    <x v="35"/>
    <x v="15"/>
    <s v="Gasto Federalizado"/>
    <x v="48"/>
    <x v="907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246379677"/>
    <n v="0"/>
    <n v="0"/>
    <n v="246379677"/>
    <n v="250000699"/>
    <m/>
    <x v="1"/>
    <n v="250000699"/>
  </r>
  <r>
    <x v="2"/>
    <x v="35"/>
    <x v="35"/>
    <x v="15"/>
    <s v="Gasto Federalizado"/>
    <x v="48"/>
    <x v="907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865933"/>
    <n v="0"/>
    <n v="0"/>
    <n v="865933"/>
    <n v="4944985"/>
    <m/>
    <x v="1"/>
    <n v="4944985"/>
  </r>
  <r>
    <x v="2"/>
    <x v="35"/>
    <x v="35"/>
    <x v="15"/>
    <s v="Gasto Federalizado"/>
    <x v="48"/>
    <x v="907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4521021"/>
    <n v="0"/>
    <n v="0"/>
    <n v="4521021"/>
    <n v="4806864"/>
    <m/>
    <x v="1"/>
    <n v="4806864"/>
  </r>
  <r>
    <x v="2"/>
    <x v="35"/>
    <x v="35"/>
    <x v="15"/>
    <s v="Gasto Federalizado"/>
    <x v="48"/>
    <x v="907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110622548"/>
    <n v="0"/>
    <n v="0"/>
    <n v="110622548"/>
    <n v="115648411"/>
    <m/>
    <x v="1"/>
    <n v="115648411"/>
  </r>
  <r>
    <x v="2"/>
    <x v="35"/>
    <x v="35"/>
    <x v="15"/>
    <s v="Gasto Federalizado"/>
    <x v="49"/>
    <x v="908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12564724"/>
    <n v="0"/>
    <n v="0"/>
    <n v="12564724"/>
    <n v="13397231"/>
    <m/>
    <x v="1"/>
    <n v="13397231"/>
  </r>
  <r>
    <x v="2"/>
    <x v="35"/>
    <x v="35"/>
    <x v="15"/>
    <s v="Gasto Federalizado"/>
    <x v="49"/>
    <x v="908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94353921"/>
    <n v="0"/>
    <n v="0"/>
    <n v="294353921"/>
    <n v="311915829"/>
    <m/>
    <x v="1"/>
    <n v="311915829"/>
  </r>
  <r>
    <x v="2"/>
    <x v="35"/>
    <x v="35"/>
    <x v="15"/>
    <s v="Gasto Federalizado"/>
    <x v="49"/>
    <x v="908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30216170"/>
    <n v="0"/>
    <n v="0"/>
    <n v="30216170"/>
    <n v="32355043"/>
    <m/>
    <x v="1"/>
    <n v="32355043"/>
  </r>
  <r>
    <x v="2"/>
    <x v="35"/>
    <x v="35"/>
    <x v="15"/>
    <s v="Gasto Federalizado"/>
    <x v="49"/>
    <x v="908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682439715"/>
    <n v="0"/>
    <n v="0"/>
    <n v="682439715"/>
    <n v="725486287"/>
    <m/>
    <x v="1"/>
    <n v="725486287"/>
  </r>
  <r>
    <x v="2"/>
    <x v="35"/>
    <x v="35"/>
    <x v="15"/>
    <s v="Gasto Federalizado"/>
    <x v="49"/>
    <x v="908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1346221"/>
    <n v="0"/>
    <n v="0"/>
    <n v="1346221"/>
    <n v="1435418"/>
    <m/>
    <x v="1"/>
    <n v="1435418"/>
  </r>
  <r>
    <x v="2"/>
    <x v="35"/>
    <x v="35"/>
    <x v="15"/>
    <s v="Gasto Federalizado"/>
    <x v="49"/>
    <x v="908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31530157"/>
    <n v="0"/>
    <n v="0"/>
    <n v="31530157"/>
    <n v="33805056"/>
    <m/>
    <x v="1"/>
    <n v="33805056"/>
  </r>
  <r>
    <x v="2"/>
    <x v="35"/>
    <x v="35"/>
    <x v="15"/>
    <s v="Gasto Federalizado"/>
    <x v="49"/>
    <x v="908"/>
    <x v="102"/>
    <x v="179"/>
    <n v="2"/>
    <s v="Desarrollo Social"/>
    <n v="1"/>
    <s v="Salud"/>
    <n v="3"/>
    <x v="53"/>
    <x v="0"/>
    <x v="204"/>
    <n v="2"/>
    <s v="Gasto de capital"/>
    <x v="0"/>
    <x v="0"/>
    <x v="0"/>
    <x v="0"/>
    <x v="0"/>
    <x v="0"/>
    <x v="0"/>
    <m/>
    <x v="0"/>
    <x v="0"/>
    <m/>
    <n v="2014340"/>
    <n v="0"/>
    <n v="0"/>
    <n v="2014340"/>
    <n v="2403721"/>
    <m/>
    <x v="1"/>
    <n v="2403721"/>
  </r>
  <r>
    <x v="2"/>
    <x v="35"/>
    <x v="35"/>
    <x v="15"/>
    <s v="Gasto Federalizado"/>
    <x v="49"/>
    <x v="908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2243701"/>
    <n v="0"/>
    <n v="0"/>
    <n v="2243701"/>
    <n v="2392362"/>
    <m/>
    <x v="1"/>
    <n v="2392362"/>
  </r>
  <r>
    <x v="2"/>
    <x v="35"/>
    <x v="35"/>
    <x v="15"/>
    <s v="Gasto Federalizado"/>
    <x v="49"/>
    <x v="908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50338912"/>
    <n v="0"/>
    <n v="0"/>
    <n v="50338912"/>
    <n v="53345549"/>
    <m/>
    <x v="1"/>
    <n v="53345549"/>
  </r>
  <r>
    <x v="2"/>
    <x v="35"/>
    <x v="35"/>
    <x v="15"/>
    <s v="Gasto Federalizado"/>
    <x v="49"/>
    <x v="908"/>
    <x v="102"/>
    <x v="179"/>
    <n v="2"/>
    <s v="Desarrollo Social"/>
    <n v="1"/>
    <s v="Salud"/>
    <n v="4"/>
    <x v="57"/>
    <x v="0"/>
    <x v="204"/>
    <n v="2"/>
    <s v="Gasto de capital"/>
    <x v="0"/>
    <x v="0"/>
    <x v="0"/>
    <x v="0"/>
    <x v="0"/>
    <x v="0"/>
    <x v="0"/>
    <m/>
    <x v="0"/>
    <x v="0"/>
    <m/>
    <n v="1407055"/>
    <n v="0"/>
    <n v="0"/>
    <n v="1407055"/>
    <n v="1423537"/>
    <m/>
    <x v="1"/>
    <n v="1423537"/>
  </r>
  <r>
    <x v="2"/>
    <x v="35"/>
    <x v="35"/>
    <x v="15"/>
    <s v="Gasto Federalizado"/>
    <x v="50"/>
    <x v="909"/>
    <x v="102"/>
    <x v="179"/>
    <n v="2"/>
    <s v="Desarrollo Social"/>
    <n v="1"/>
    <s v="Salud"/>
    <n v="1"/>
    <x v="56"/>
    <x v="0"/>
    <x v="204"/>
    <n v="1"/>
    <s v="Gasto corriente"/>
    <x v="0"/>
    <x v="1"/>
    <x v="0"/>
    <x v="0"/>
    <x v="0"/>
    <x v="0"/>
    <x v="0"/>
    <m/>
    <x v="0"/>
    <x v="0"/>
    <m/>
    <n v="8416337"/>
    <n v="0"/>
    <n v="0"/>
    <n v="8416337"/>
    <n v="8944884"/>
    <m/>
    <x v="1"/>
    <n v="8944884"/>
  </r>
  <r>
    <x v="2"/>
    <x v="35"/>
    <x v="35"/>
    <x v="15"/>
    <s v="Gasto Federalizado"/>
    <x v="50"/>
    <x v="909"/>
    <x v="102"/>
    <x v="179"/>
    <n v="2"/>
    <s v="Desarrollo Social"/>
    <n v="1"/>
    <s v="Salud"/>
    <n v="1"/>
    <x v="56"/>
    <x v="0"/>
    <x v="204"/>
    <n v="1"/>
    <s v="Gasto corriente"/>
    <x v="0"/>
    <x v="0"/>
    <x v="0"/>
    <x v="0"/>
    <x v="0"/>
    <x v="0"/>
    <x v="0"/>
    <m/>
    <x v="0"/>
    <x v="0"/>
    <m/>
    <n v="233273238"/>
    <n v="0"/>
    <n v="0"/>
    <n v="233273238"/>
    <n v="242102250"/>
    <m/>
    <x v="1"/>
    <n v="242102250"/>
  </r>
  <r>
    <x v="2"/>
    <x v="35"/>
    <x v="35"/>
    <x v="15"/>
    <s v="Gasto Federalizado"/>
    <x v="50"/>
    <x v="909"/>
    <x v="102"/>
    <x v="179"/>
    <n v="2"/>
    <s v="Desarrollo Social"/>
    <n v="1"/>
    <s v="Salud"/>
    <n v="2"/>
    <x v="30"/>
    <x v="0"/>
    <x v="204"/>
    <n v="1"/>
    <s v="Gasto corriente"/>
    <x v="0"/>
    <x v="1"/>
    <x v="0"/>
    <x v="0"/>
    <x v="0"/>
    <x v="0"/>
    <x v="0"/>
    <m/>
    <x v="0"/>
    <x v="0"/>
    <m/>
    <n v="20245541"/>
    <n v="0"/>
    <n v="0"/>
    <n v="20245541"/>
    <n v="21597148"/>
    <m/>
    <x v="1"/>
    <n v="21597148"/>
  </r>
  <r>
    <x v="2"/>
    <x v="35"/>
    <x v="35"/>
    <x v="15"/>
    <s v="Gasto Federalizado"/>
    <x v="50"/>
    <x v="909"/>
    <x v="102"/>
    <x v="179"/>
    <n v="2"/>
    <s v="Desarrollo Social"/>
    <n v="1"/>
    <s v="Salud"/>
    <n v="2"/>
    <x v="30"/>
    <x v="0"/>
    <x v="204"/>
    <n v="1"/>
    <s v="Gasto corriente"/>
    <x v="0"/>
    <x v="0"/>
    <x v="0"/>
    <x v="0"/>
    <x v="0"/>
    <x v="0"/>
    <x v="0"/>
    <m/>
    <x v="0"/>
    <x v="0"/>
    <m/>
    <n v="738201571"/>
    <n v="0"/>
    <n v="0"/>
    <n v="738201571"/>
    <n v="770841128"/>
    <m/>
    <x v="1"/>
    <n v="770841128"/>
  </r>
  <r>
    <x v="2"/>
    <x v="35"/>
    <x v="35"/>
    <x v="15"/>
    <s v="Gasto Federalizado"/>
    <x v="50"/>
    <x v="909"/>
    <x v="102"/>
    <x v="179"/>
    <n v="2"/>
    <s v="Desarrollo Social"/>
    <n v="1"/>
    <s v="Salud"/>
    <n v="3"/>
    <x v="53"/>
    <x v="0"/>
    <x v="204"/>
    <n v="1"/>
    <s v="Gasto corriente"/>
    <x v="0"/>
    <x v="1"/>
    <x v="0"/>
    <x v="0"/>
    <x v="0"/>
    <x v="0"/>
    <x v="0"/>
    <m/>
    <x v="0"/>
    <x v="0"/>
    <m/>
    <n v="901751"/>
    <n v="0"/>
    <n v="0"/>
    <n v="901751"/>
    <n v="958380"/>
    <m/>
    <x v="1"/>
    <n v="958380"/>
  </r>
  <r>
    <x v="2"/>
    <x v="35"/>
    <x v="35"/>
    <x v="15"/>
    <s v="Gasto Federalizado"/>
    <x v="50"/>
    <x v="909"/>
    <x v="102"/>
    <x v="179"/>
    <n v="2"/>
    <s v="Desarrollo Social"/>
    <n v="1"/>
    <s v="Salud"/>
    <n v="3"/>
    <x v="53"/>
    <x v="0"/>
    <x v="204"/>
    <n v="1"/>
    <s v="Gasto corriente"/>
    <x v="0"/>
    <x v="0"/>
    <x v="0"/>
    <x v="0"/>
    <x v="0"/>
    <x v="0"/>
    <x v="0"/>
    <m/>
    <x v="0"/>
    <x v="0"/>
    <m/>
    <n v="33707678"/>
    <n v="0"/>
    <n v="0"/>
    <n v="33707678"/>
    <n v="35021606"/>
    <m/>
    <x v="1"/>
    <n v="35021606"/>
  </r>
  <r>
    <x v="2"/>
    <x v="35"/>
    <x v="35"/>
    <x v="15"/>
    <s v="Gasto Federalizado"/>
    <x v="50"/>
    <x v="909"/>
    <x v="102"/>
    <x v="179"/>
    <n v="2"/>
    <s v="Desarrollo Social"/>
    <n v="1"/>
    <s v="Salud"/>
    <n v="4"/>
    <x v="57"/>
    <x v="0"/>
    <x v="204"/>
    <n v="1"/>
    <s v="Gasto corriente"/>
    <x v="0"/>
    <x v="1"/>
    <x v="0"/>
    <x v="0"/>
    <x v="0"/>
    <x v="0"/>
    <x v="0"/>
    <m/>
    <x v="0"/>
    <x v="0"/>
    <m/>
    <n v="1502917"/>
    <n v="0"/>
    <n v="0"/>
    <n v="1502917"/>
    <n v="1597300"/>
    <m/>
    <x v="1"/>
    <n v="1597300"/>
  </r>
  <r>
    <x v="2"/>
    <x v="35"/>
    <x v="35"/>
    <x v="15"/>
    <s v="Gasto Federalizado"/>
    <x v="50"/>
    <x v="909"/>
    <x v="102"/>
    <x v="179"/>
    <n v="2"/>
    <s v="Desarrollo Social"/>
    <n v="1"/>
    <s v="Salud"/>
    <n v="4"/>
    <x v="57"/>
    <x v="0"/>
    <x v="204"/>
    <n v="1"/>
    <s v="Gasto corriente"/>
    <x v="0"/>
    <x v="0"/>
    <x v="0"/>
    <x v="0"/>
    <x v="0"/>
    <x v="0"/>
    <x v="0"/>
    <m/>
    <x v="0"/>
    <x v="0"/>
    <m/>
    <n v="39583405"/>
    <n v="0"/>
    <n v="0"/>
    <n v="39583405"/>
    <n v="40706354"/>
    <m/>
    <x v="1"/>
    <n v="40706354"/>
  </r>
  <r>
    <x v="2"/>
    <x v="35"/>
    <x v="35"/>
    <x v="15"/>
    <s v="Gasto Federalizado"/>
    <x v="196"/>
    <x v="910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20368539"/>
    <n v="0"/>
    <n v="-640956"/>
    <n v="19727583"/>
    <n v="21789912"/>
    <m/>
    <x v="134"/>
    <n v="50192526"/>
  </r>
  <r>
    <x v="2"/>
    <x v="35"/>
    <x v="35"/>
    <x v="15"/>
    <s v="Gasto Federalizado"/>
    <x v="196"/>
    <x v="910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147688714"/>
    <n v="0"/>
    <n v="-4647457"/>
    <n v="143041257"/>
    <n v="157994842"/>
    <m/>
    <x v="135"/>
    <n v="363937228"/>
  </r>
  <r>
    <x v="2"/>
    <x v="35"/>
    <x v="35"/>
    <x v="15"/>
    <s v="Gasto Federalizado"/>
    <x v="197"/>
    <x v="911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38113055"/>
    <n v="0"/>
    <n v="-1199339"/>
    <n v="36913716"/>
    <n v="41211022"/>
    <m/>
    <x v="1"/>
    <n v="41211022"/>
  </r>
  <r>
    <x v="2"/>
    <x v="35"/>
    <x v="35"/>
    <x v="15"/>
    <s v="Gasto Federalizado"/>
    <x v="197"/>
    <x v="911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276351096"/>
    <n v="0"/>
    <n v="-8696197"/>
    <n v="267654899"/>
    <n v="298813915"/>
    <m/>
    <x v="1"/>
    <n v="298813915"/>
  </r>
  <r>
    <x v="2"/>
    <x v="35"/>
    <x v="35"/>
    <x v="15"/>
    <s v="Gasto Federalizado"/>
    <x v="198"/>
    <x v="912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8084747"/>
    <n v="0"/>
    <n v="-254411"/>
    <n v="7830336"/>
    <n v="8719659"/>
    <m/>
    <x v="1"/>
    <n v="8719659"/>
  </r>
  <r>
    <x v="2"/>
    <x v="35"/>
    <x v="35"/>
    <x v="15"/>
    <s v="Gasto Federalizado"/>
    <x v="198"/>
    <x v="912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58621083"/>
    <n v="0"/>
    <n v="-1844684"/>
    <n v="56776399"/>
    <n v="63224722"/>
    <m/>
    <x v="1"/>
    <n v="63224722"/>
  </r>
  <r>
    <x v="2"/>
    <x v="35"/>
    <x v="35"/>
    <x v="15"/>
    <s v="Gasto Federalizado"/>
    <x v="199"/>
    <x v="913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50490017"/>
    <n v="0"/>
    <n v="-1588817"/>
    <n v="48901200"/>
    <n v="54468297"/>
    <m/>
    <x v="1"/>
    <n v="54468297"/>
  </r>
  <r>
    <x v="2"/>
    <x v="35"/>
    <x v="35"/>
    <x v="15"/>
    <s v="Gasto Federalizado"/>
    <x v="199"/>
    <x v="913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366094279"/>
    <n v="0"/>
    <n v="-11520228"/>
    <n v="354574051"/>
    <n v="394940093"/>
    <m/>
    <x v="1"/>
    <n v="394940093"/>
  </r>
  <r>
    <x v="2"/>
    <x v="35"/>
    <x v="35"/>
    <x v="15"/>
    <s v="Gasto Federalizado"/>
    <x v="200"/>
    <x v="914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43290566"/>
    <n v="0"/>
    <n v="-1362264"/>
    <n v="41928302"/>
    <n v="46370879"/>
    <m/>
    <x v="1"/>
    <n v="46370879"/>
  </r>
  <r>
    <x v="2"/>
    <x v="35"/>
    <x v="35"/>
    <x v="15"/>
    <s v="Gasto Federalizado"/>
    <x v="200"/>
    <x v="914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313892323"/>
    <n v="0"/>
    <n v="-9877541"/>
    <n v="304014782"/>
    <n v="336227129"/>
    <m/>
    <x v="1"/>
    <n v="336227129"/>
  </r>
  <r>
    <x v="2"/>
    <x v="35"/>
    <x v="35"/>
    <x v="15"/>
    <s v="Gasto Federalizado"/>
    <x v="201"/>
    <x v="915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13090063"/>
    <n v="0"/>
    <n v="-411917"/>
    <n v="12678146"/>
    <n v="14024353"/>
    <m/>
    <x v="1"/>
    <n v="14024353"/>
  </r>
  <r>
    <x v="2"/>
    <x v="35"/>
    <x v="35"/>
    <x v="15"/>
    <s v="Gasto Federalizado"/>
    <x v="201"/>
    <x v="915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94913758"/>
    <n v="0"/>
    <n v="-2986739"/>
    <n v="91927019"/>
    <n v="101688132"/>
    <m/>
    <x v="1"/>
    <n v="101688132"/>
  </r>
  <r>
    <x v="2"/>
    <x v="35"/>
    <x v="35"/>
    <x v="15"/>
    <s v="Gasto Federalizado"/>
    <x v="202"/>
    <x v="916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580049244"/>
    <n v="0"/>
    <n v="-18252948"/>
    <n v="561796296"/>
    <n v="631060513"/>
    <m/>
    <x v="1"/>
    <n v="631060513"/>
  </r>
  <r>
    <x v="2"/>
    <x v="35"/>
    <x v="35"/>
    <x v="15"/>
    <s v="Gasto Federalizado"/>
    <x v="202"/>
    <x v="916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4205835612"/>
    <n v="0"/>
    <n v="-132348934"/>
    <n v="4073486678"/>
    <n v="4575709394"/>
    <m/>
    <x v="1"/>
    <n v="4575709394"/>
  </r>
  <r>
    <x v="2"/>
    <x v="35"/>
    <x v="35"/>
    <x v="15"/>
    <s v="Gasto Federalizado"/>
    <x v="203"/>
    <x v="917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105117372"/>
    <n v="0"/>
    <n v="-3307826"/>
    <n v="101809546"/>
    <n v="114195670"/>
    <m/>
    <x v="1"/>
    <n v="114195670"/>
  </r>
  <r>
    <x v="2"/>
    <x v="35"/>
    <x v="35"/>
    <x v="15"/>
    <s v="Gasto Federalizado"/>
    <x v="203"/>
    <x v="917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762187673"/>
    <n v="0"/>
    <n v="-23984467"/>
    <n v="738203206"/>
    <n v="828012826"/>
    <m/>
    <x v="1"/>
    <n v="828012826"/>
  </r>
  <r>
    <x v="2"/>
    <x v="35"/>
    <x v="35"/>
    <x v="15"/>
    <s v="Gasto Federalizado"/>
    <x v="204"/>
    <x v="918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83765911"/>
    <n v="0"/>
    <n v="-2635940"/>
    <n v="81129971"/>
    <n v="90859476"/>
    <m/>
    <x v="1"/>
    <n v="90859476"/>
  </r>
  <r>
    <x v="2"/>
    <x v="35"/>
    <x v="35"/>
    <x v="15"/>
    <s v="Gasto Federalizado"/>
    <x v="204"/>
    <x v="918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607371966"/>
    <n v="0"/>
    <n v="-19112737"/>
    <n v="588259229"/>
    <n v="658806165"/>
    <m/>
    <x v="1"/>
    <n v="658806165"/>
  </r>
  <r>
    <x v="2"/>
    <x v="35"/>
    <x v="35"/>
    <x v="15"/>
    <s v="Gasto Federalizado"/>
    <x v="205"/>
    <x v="919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260486229"/>
    <n v="0"/>
    <n v="-8196962"/>
    <n v="252289267"/>
    <n v="281973367"/>
    <m/>
    <x v="1"/>
    <n v="281973367"/>
  </r>
  <r>
    <x v="2"/>
    <x v="35"/>
    <x v="35"/>
    <x v="15"/>
    <s v="Gasto Federalizado"/>
    <x v="205"/>
    <x v="919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1888740082"/>
    <n v="0"/>
    <n v="-59434737"/>
    <n v="1829305345"/>
    <n v="2044539565"/>
    <m/>
    <x v="1"/>
    <n v="2044539565"/>
  </r>
  <r>
    <x v="2"/>
    <x v="35"/>
    <x v="35"/>
    <x v="15"/>
    <s v="Gasto Federalizado"/>
    <x v="206"/>
    <x v="920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397139156"/>
    <n v="0"/>
    <n v="-12497146"/>
    <n v="384642010"/>
    <n v="432141133"/>
    <m/>
    <x v="1"/>
    <n v="432141133"/>
  </r>
  <r>
    <x v="2"/>
    <x v="35"/>
    <x v="35"/>
    <x v="15"/>
    <s v="Gasto Federalizado"/>
    <x v="206"/>
    <x v="920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2879586556"/>
    <n v="0"/>
    <n v="-90614624"/>
    <n v="2788971932"/>
    <n v="3133379770"/>
    <m/>
    <x v="1"/>
    <n v="3133379770"/>
  </r>
  <r>
    <x v="2"/>
    <x v="35"/>
    <x v="35"/>
    <x v="15"/>
    <s v="Gasto Federalizado"/>
    <x v="207"/>
    <x v="921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168996659"/>
    <n v="0"/>
    <n v="-5317975"/>
    <n v="163678684"/>
    <n v="182466790"/>
    <m/>
    <x v="1"/>
    <n v="182466790"/>
  </r>
  <r>
    <x v="2"/>
    <x v="35"/>
    <x v="35"/>
    <x v="15"/>
    <s v="Gasto Federalizado"/>
    <x v="207"/>
    <x v="921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1225365213"/>
    <n v="0"/>
    <n v="-38559704"/>
    <n v="1186805509"/>
    <n v="1323034775"/>
    <m/>
    <x v="1"/>
    <n v="1323034775"/>
  </r>
  <r>
    <x v="2"/>
    <x v="35"/>
    <x v="35"/>
    <x v="15"/>
    <s v="Gasto Federalizado"/>
    <x v="208"/>
    <x v="922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167091405"/>
    <n v="0"/>
    <n v="-5258020"/>
    <n v="161833385"/>
    <n v="180235802"/>
    <m/>
    <x v="1"/>
    <n v="180235802"/>
  </r>
  <r>
    <x v="2"/>
    <x v="35"/>
    <x v="35"/>
    <x v="15"/>
    <s v="Gasto Federalizado"/>
    <x v="208"/>
    <x v="922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1211550553"/>
    <n v="0"/>
    <n v="-38124986"/>
    <n v="1173425567"/>
    <n v="1306858278"/>
    <m/>
    <x v="1"/>
    <n v="1306858278"/>
  </r>
  <r>
    <x v="2"/>
    <x v="35"/>
    <x v="35"/>
    <x v="15"/>
    <s v="Gasto Federalizado"/>
    <x v="209"/>
    <x v="923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436091726"/>
    <n v="0"/>
    <n v="-13722903"/>
    <n v="422368823"/>
    <n v="468784261"/>
    <m/>
    <x v="1"/>
    <n v="468784261"/>
  </r>
  <r>
    <x v="2"/>
    <x v="35"/>
    <x v="35"/>
    <x v="15"/>
    <s v="Gasto Federalizado"/>
    <x v="209"/>
    <x v="923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3162024827"/>
    <n v="0"/>
    <n v="-99502371"/>
    <n v="3062522456"/>
    <n v="3399072678"/>
    <m/>
    <x v="1"/>
    <n v="3399072678"/>
  </r>
  <r>
    <x v="2"/>
    <x v="35"/>
    <x v="35"/>
    <x v="15"/>
    <s v="Gasto Federalizado"/>
    <x v="210"/>
    <x v="924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269585280"/>
    <n v="0"/>
    <n v="-8483290"/>
    <n v="261101990"/>
    <n v="291645505"/>
    <m/>
    <x v="1"/>
    <n v="291645505"/>
  </r>
  <r>
    <x v="2"/>
    <x v="35"/>
    <x v="35"/>
    <x v="15"/>
    <s v="Gasto Federalizado"/>
    <x v="210"/>
    <x v="924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1954715710"/>
    <n v="0"/>
    <n v="-61510854"/>
    <n v="1893204856"/>
    <n v="2114670545"/>
    <m/>
    <x v="1"/>
    <n v="2114670545"/>
  </r>
  <r>
    <x v="2"/>
    <x v="35"/>
    <x v="35"/>
    <x v="15"/>
    <s v="Gasto Federalizado"/>
    <x v="211"/>
    <x v="925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61183523"/>
    <n v="0"/>
    <n v="-1925319"/>
    <n v="59258204"/>
    <n v="65686464"/>
    <m/>
    <x v="1"/>
    <n v="65686464"/>
  </r>
  <r>
    <x v="2"/>
    <x v="35"/>
    <x v="35"/>
    <x v="15"/>
    <s v="Gasto Federalizado"/>
    <x v="211"/>
    <x v="925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443631024"/>
    <n v="0"/>
    <n v="-13960149"/>
    <n v="429670875"/>
    <n v="476281060"/>
    <m/>
    <x v="1"/>
    <n v="476281060"/>
  </r>
  <r>
    <x v="2"/>
    <x v="35"/>
    <x v="35"/>
    <x v="15"/>
    <s v="Gasto Federalizado"/>
    <x v="212"/>
    <x v="926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44311244"/>
    <n v="0"/>
    <n v="-1394383"/>
    <n v="42916861"/>
    <n v="47822637"/>
    <m/>
    <x v="1"/>
    <n v="47822637"/>
  </r>
  <r>
    <x v="2"/>
    <x v="35"/>
    <x v="35"/>
    <x v="15"/>
    <s v="Gasto Federalizado"/>
    <x v="212"/>
    <x v="926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321293078"/>
    <n v="0"/>
    <n v="-10110428"/>
    <n v="311182650"/>
    <n v="346753575"/>
    <m/>
    <x v="1"/>
    <n v="346753575"/>
  </r>
  <r>
    <x v="2"/>
    <x v="35"/>
    <x v="35"/>
    <x v="15"/>
    <s v="Gasto Federalizado"/>
    <x v="213"/>
    <x v="927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50788763"/>
    <n v="0"/>
    <n v="-1598217"/>
    <n v="49190546"/>
    <n v="54629779"/>
    <m/>
    <x v="1"/>
    <n v="54629779"/>
  </r>
  <r>
    <x v="2"/>
    <x v="35"/>
    <x v="35"/>
    <x v="15"/>
    <s v="Gasto Federalizado"/>
    <x v="213"/>
    <x v="927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368260438"/>
    <n v="0"/>
    <n v="-11588394"/>
    <n v="356672044"/>
    <n v="396110970"/>
    <m/>
    <x v="1"/>
    <n v="396110970"/>
  </r>
  <r>
    <x v="2"/>
    <x v="35"/>
    <x v="35"/>
    <x v="15"/>
    <s v="Gasto Federalizado"/>
    <x v="214"/>
    <x v="928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488765837"/>
    <n v="0"/>
    <n v="-15380449"/>
    <n v="473385388"/>
    <n v="532157875"/>
    <m/>
    <x v="1"/>
    <n v="532157875"/>
  </r>
  <r>
    <x v="2"/>
    <x v="35"/>
    <x v="35"/>
    <x v="15"/>
    <s v="Gasto Federalizado"/>
    <x v="214"/>
    <x v="928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3543955587"/>
    <n v="0"/>
    <n v="-111520940"/>
    <n v="3432434647"/>
    <n v="3858583667"/>
    <m/>
    <x v="1"/>
    <n v="3858583667"/>
  </r>
  <r>
    <x v="2"/>
    <x v="35"/>
    <x v="35"/>
    <x v="15"/>
    <s v="Gasto Federalizado"/>
    <x v="215"/>
    <x v="929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408416601"/>
    <n v="0"/>
    <n v="-12852025"/>
    <n v="395564576"/>
    <n v="441311052"/>
    <m/>
    <x v="1"/>
    <n v="441311052"/>
  </r>
  <r>
    <x v="2"/>
    <x v="35"/>
    <x v="35"/>
    <x v="15"/>
    <s v="Gasto Federalizado"/>
    <x v="215"/>
    <x v="929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2961357333"/>
    <n v="0"/>
    <n v="-93187781"/>
    <n v="2868169552"/>
    <n v="3199869244"/>
    <m/>
    <x v="1"/>
    <n v="3199869244"/>
  </r>
  <r>
    <x v="2"/>
    <x v="35"/>
    <x v="35"/>
    <x v="15"/>
    <s v="Gasto Federalizado"/>
    <x v="216"/>
    <x v="930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69982692"/>
    <n v="0"/>
    <n v="-2202210"/>
    <n v="67780482"/>
    <n v="75646559"/>
    <m/>
    <x v="1"/>
    <n v="75646559"/>
  </r>
  <r>
    <x v="2"/>
    <x v="35"/>
    <x v="35"/>
    <x v="15"/>
    <s v="Gasto Federalizado"/>
    <x v="216"/>
    <x v="930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507432258"/>
    <n v="0"/>
    <n v="-15967842"/>
    <n v="491464416"/>
    <n v="548499966"/>
    <m/>
    <x v="1"/>
    <n v="548499966"/>
  </r>
  <r>
    <x v="2"/>
    <x v="35"/>
    <x v="35"/>
    <x v="15"/>
    <s v="Gasto Federalizado"/>
    <x v="217"/>
    <x v="931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37065772"/>
    <n v="0"/>
    <n v="-1166383"/>
    <n v="35899389"/>
    <n v="39986105"/>
    <m/>
    <x v="1"/>
    <n v="39986105"/>
  </r>
  <r>
    <x v="2"/>
    <x v="35"/>
    <x v="35"/>
    <x v="15"/>
    <s v="Gasto Federalizado"/>
    <x v="217"/>
    <x v="931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268757428"/>
    <n v="0"/>
    <n v="-8457240"/>
    <n v="260300188"/>
    <n v="289932252"/>
    <m/>
    <x v="1"/>
    <n v="289932252"/>
  </r>
  <r>
    <x v="2"/>
    <x v="35"/>
    <x v="35"/>
    <x v="15"/>
    <s v="Gasto Federalizado"/>
    <x v="218"/>
    <x v="932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181814134"/>
    <n v="0"/>
    <n v="-5721314"/>
    <n v="176092820"/>
    <n v="196616574"/>
    <m/>
    <x v="1"/>
    <n v="196616574"/>
  </r>
  <r>
    <x v="2"/>
    <x v="35"/>
    <x v="35"/>
    <x v="15"/>
    <s v="Gasto Federalizado"/>
    <x v="218"/>
    <x v="932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1318302481"/>
    <n v="0"/>
    <n v="-41484248"/>
    <n v="1276818233"/>
    <n v="1425632384"/>
    <m/>
    <x v="1"/>
    <n v="1425632384"/>
  </r>
  <r>
    <x v="2"/>
    <x v="35"/>
    <x v="35"/>
    <x v="15"/>
    <s v="Gasto Federalizado"/>
    <x v="219"/>
    <x v="933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86340395"/>
    <n v="0"/>
    <n v="-2716954"/>
    <n v="83623441"/>
    <n v="92786668"/>
    <m/>
    <x v="1"/>
    <n v="92786668"/>
  </r>
  <r>
    <x v="2"/>
    <x v="35"/>
    <x v="35"/>
    <x v="15"/>
    <s v="Gasto Federalizado"/>
    <x v="219"/>
    <x v="933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626039100"/>
    <n v="0"/>
    <n v="-19700154"/>
    <n v="606338946"/>
    <n v="672779897"/>
    <m/>
    <x v="1"/>
    <n v="672779897"/>
  </r>
  <r>
    <x v="2"/>
    <x v="35"/>
    <x v="35"/>
    <x v="15"/>
    <s v="Gasto Federalizado"/>
    <x v="220"/>
    <x v="934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51356348"/>
    <n v="0"/>
    <n v="-1616078"/>
    <n v="49740270"/>
    <n v="55146105"/>
    <m/>
    <x v="1"/>
    <n v="55146105"/>
  </r>
  <r>
    <x v="2"/>
    <x v="35"/>
    <x v="35"/>
    <x v="15"/>
    <s v="Gasto Federalizado"/>
    <x v="220"/>
    <x v="934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372375894"/>
    <n v="0"/>
    <n v="-11717898"/>
    <n v="360657996"/>
    <n v="399854759"/>
    <m/>
    <x v="1"/>
    <n v="399854759"/>
  </r>
  <r>
    <x v="2"/>
    <x v="35"/>
    <x v="35"/>
    <x v="15"/>
    <s v="Gasto Federalizado"/>
    <x v="221"/>
    <x v="935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139809728"/>
    <n v="0"/>
    <n v="-4399522"/>
    <n v="135410206"/>
    <n v="151012751"/>
    <m/>
    <x v="1"/>
    <n v="151012751"/>
  </r>
  <r>
    <x v="2"/>
    <x v="35"/>
    <x v="35"/>
    <x v="15"/>
    <s v="Gasto Federalizado"/>
    <x v="221"/>
    <x v="935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1013735886"/>
    <n v="0"/>
    <n v="-31900169"/>
    <n v="981835717"/>
    <n v="1094967047"/>
    <m/>
    <x v="1"/>
    <n v="1094967047"/>
  </r>
  <r>
    <x v="2"/>
    <x v="35"/>
    <x v="35"/>
    <x v="15"/>
    <s v="Gasto Federalizado"/>
    <x v="222"/>
    <x v="936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86258390"/>
    <n v="0"/>
    <n v="-2714372"/>
    <n v="83544018"/>
    <n v="92802905"/>
    <m/>
    <x v="1"/>
    <n v="92802905"/>
  </r>
  <r>
    <x v="2"/>
    <x v="35"/>
    <x v="35"/>
    <x v="15"/>
    <s v="Gasto Federalizado"/>
    <x v="222"/>
    <x v="936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625444501"/>
    <n v="0"/>
    <n v="-19681443"/>
    <n v="605763058"/>
    <n v="672897630"/>
    <m/>
    <x v="1"/>
    <n v="672897630"/>
  </r>
  <r>
    <x v="2"/>
    <x v="35"/>
    <x v="35"/>
    <x v="15"/>
    <s v="Gasto Federalizado"/>
    <x v="223"/>
    <x v="937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44445565"/>
    <n v="0"/>
    <n v="-1398609"/>
    <n v="43046956"/>
    <n v="47664308"/>
    <m/>
    <x v="1"/>
    <n v="47664308"/>
  </r>
  <r>
    <x v="2"/>
    <x v="35"/>
    <x v="35"/>
    <x v="15"/>
    <s v="Gasto Federalizado"/>
    <x v="223"/>
    <x v="937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322267022"/>
    <n v="0"/>
    <n v="-10141076"/>
    <n v="312125946"/>
    <n v="345605559"/>
    <m/>
    <x v="1"/>
    <n v="345605559"/>
  </r>
  <r>
    <x v="2"/>
    <x v="35"/>
    <x v="35"/>
    <x v="15"/>
    <s v="Gasto Federalizado"/>
    <x v="224"/>
    <x v="938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575594723"/>
    <n v="0"/>
    <n v="-18112774"/>
    <n v="557481949"/>
    <n v="621597740"/>
    <m/>
    <x v="1"/>
    <n v="621597740"/>
  </r>
  <r>
    <x v="2"/>
    <x v="35"/>
    <x v="35"/>
    <x v="15"/>
    <s v="Gasto Federalizado"/>
    <x v="224"/>
    <x v="938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4173536653"/>
    <n v="0"/>
    <n v="-131332552"/>
    <n v="4042204101"/>
    <n v="4507096488"/>
    <m/>
    <x v="1"/>
    <n v="4507096488"/>
  </r>
  <r>
    <x v="2"/>
    <x v="35"/>
    <x v="35"/>
    <x v="15"/>
    <s v="Gasto Federalizado"/>
    <x v="225"/>
    <x v="939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112129111"/>
    <n v="0"/>
    <n v="-3528471"/>
    <n v="108600640"/>
    <n v="120465091"/>
    <m/>
    <x v="1"/>
    <n v="120465091"/>
  </r>
  <r>
    <x v="2"/>
    <x v="35"/>
    <x v="35"/>
    <x v="15"/>
    <s v="Gasto Federalizado"/>
    <x v="225"/>
    <x v="939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813028570"/>
    <n v="0"/>
    <n v="-25584325"/>
    <n v="787444245"/>
    <n v="873471306"/>
    <m/>
    <x v="1"/>
    <n v="873471306"/>
  </r>
  <r>
    <x v="2"/>
    <x v="35"/>
    <x v="35"/>
    <x v="15"/>
    <s v="Gasto Federalizado"/>
    <x v="226"/>
    <x v="940"/>
    <x v="102"/>
    <x v="179"/>
    <n v="2"/>
    <s v="Desarrollo Social"/>
    <n v="3"/>
    <s v="Urbanización, Vivienda y Desarrollo Regional"/>
    <n v="3"/>
    <x v="70"/>
    <x v="4"/>
    <x v="205"/>
    <n v="2"/>
    <s v="Gasto de capital"/>
    <x v="0"/>
    <x v="0"/>
    <x v="1"/>
    <x v="0"/>
    <x v="0"/>
    <x v="0"/>
    <x v="0"/>
    <m/>
    <x v="0"/>
    <x v="0"/>
    <m/>
    <n v="98999251"/>
    <n v="0"/>
    <n v="-3115301"/>
    <n v="95883950"/>
    <n v="107300737"/>
    <m/>
    <x v="1"/>
    <n v="107300737"/>
  </r>
  <r>
    <x v="2"/>
    <x v="35"/>
    <x v="35"/>
    <x v="15"/>
    <s v="Gasto Federalizado"/>
    <x v="226"/>
    <x v="940"/>
    <x v="102"/>
    <x v="179"/>
    <n v="2"/>
    <s v="Desarrollo Social"/>
    <n v="3"/>
    <s v="Urbanización, Vivienda y Desarrollo Regional"/>
    <n v="3"/>
    <x v="70"/>
    <x v="11"/>
    <x v="206"/>
    <n v="2"/>
    <s v="Gasto de capital"/>
    <x v="0"/>
    <x v="0"/>
    <x v="1"/>
    <x v="0"/>
    <x v="1"/>
    <x v="0"/>
    <x v="0"/>
    <m/>
    <x v="0"/>
    <x v="0"/>
    <m/>
    <n v="717826256"/>
    <n v="0"/>
    <n v="-22588506"/>
    <n v="695237750"/>
    <n v="778018878"/>
    <m/>
    <x v="1"/>
    <n v="778018878"/>
  </r>
  <r>
    <x v="2"/>
    <x v="35"/>
    <x v="35"/>
    <x v="15"/>
    <s v="Gasto Federalizado"/>
    <x v="227"/>
    <x v="941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232149010"/>
    <n v="0"/>
    <n v="-6927173"/>
    <n v="225221837"/>
    <n v="252800856"/>
    <m/>
    <x v="1"/>
    <n v="252800856"/>
  </r>
  <r>
    <x v="2"/>
    <x v="35"/>
    <x v="35"/>
    <x v="15"/>
    <s v="Gasto Federalizado"/>
    <x v="227"/>
    <x v="941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232149011"/>
    <n v="0"/>
    <n v="-6927174"/>
    <n v="225221837"/>
    <n v="252800855"/>
    <m/>
    <x v="136"/>
    <n v="492985732"/>
  </r>
  <r>
    <x v="2"/>
    <x v="35"/>
    <x v="35"/>
    <x v="15"/>
    <s v="Gasto Federalizado"/>
    <x v="228"/>
    <x v="942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642616712"/>
    <n v="0"/>
    <n v="-17274769"/>
    <n v="625341943"/>
    <n v="708251813"/>
    <m/>
    <x v="1"/>
    <n v="708251813"/>
  </r>
  <r>
    <x v="2"/>
    <x v="35"/>
    <x v="35"/>
    <x v="15"/>
    <s v="Gasto Federalizado"/>
    <x v="228"/>
    <x v="942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642616712"/>
    <n v="0"/>
    <n v="-17274770"/>
    <n v="625341942"/>
    <n v="708251813"/>
    <m/>
    <x v="1"/>
    <n v="708251813"/>
  </r>
  <r>
    <x v="2"/>
    <x v="35"/>
    <x v="35"/>
    <x v="15"/>
    <s v="Gasto Federalizado"/>
    <x v="229"/>
    <x v="943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14807899"/>
    <n v="0"/>
    <n v="-3163394"/>
    <n v="111644505"/>
    <n v="126159015"/>
    <m/>
    <x v="1"/>
    <n v="126159015"/>
  </r>
  <r>
    <x v="2"/>
    <x v="35"/>
    <x v="35"/>
    <x v="15"/>
    <s v="Gasto Federalizado"/>
    <x v="229"/>
    <x v="943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14807899"/>
    <n v="0"/>
    <n v="-3163394"/>
    <n v="111644505"/>
    <n v="126159016"/>
    <m/>
    <x v="1"/>
    <n v="126159016"/>
  </r>
  <r>
    <x v="2"/>
    <x v="35"/>
    <x v="35"/>
    <x v="15"/>
    <s v="Gasto Federalizado"/>
    <x v="230"/>
    <x v="944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61891403"/>
    <n v="0"/>
    <n v="-4978520"/>
    <n v="156912883"/>
    <n v="175663092"/>
    <m/>
    <x v="1"/>
    <n v="175663092"/>
  </r>
  <r>
    <x v="2"/>
    <x v="35"/>
    <x v="35"/>
    <x v="15"/>
    <s v="Gasto Federalizado"/>
    <x v="230"/>
    <x v="944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61891403"/>
    <n v="0"/>
    <n v="-4978520"/>
    <n v="156912883"/>
    <n v="175663092"/>
    <m/>
    <x v="1"/>
    <n v="175663092"/>
  </r>
  <r>
    <x v="2"/>
    <x v="35"/>
    <x v="35"/>
    <x v="15"/>
    <s v="Gasto Federalizado"/>
    <x v="231"/>
    <x v="945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534790680"/>
    <n v="0"/>
    <n v="-16626423"/>
    <n v="518164257"/>
    <n v="579384396"/>
    <m/>
    <x v="1"/>
    <n v="579384396"/>
  </r>
  <r>
    <x v="2"/>
    <x v="35"/>
    <x v="35"/>
    <x v="15"/>
    <s v="Gasto Federalizado"/>
    <x v="231"/>
    <x v="945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534790680"/>
    <n v="0"/>
    <n v="-16626423"/>
    <n v="518164257"/>
    <n v="579384396"/>
    <m/>
    <x v="1"/>
    <n v="579384396"/>
  </r>
  <r>
    <x v="2"/>
    <x v="35"/>
    <x v="35"/>
    <x v="15"/>
    <s v="Gasto Federalizado"/>
    <x v="232"/>
    <x v="946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22204873"/>
    <n v="0"/>
    <n v="-3726284"/>
    <n v="118478589"/>
    <n v="132746830"/>
    <m/>
    <x v="1"/>
    <n v="132746830"/>
  </r>
  <r>
    <x v="2"/>
    <x v="35"/>
    <x v="35"/>
    <x v="15"/>
    <s v="Gasto Federalizado"/>
    <x v="232"/>
    <x v="946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22204873"/>
    <n v="0"/>
    <n v="-3726283"/>
    <n v="118478590"/>
    <n v="132746830"/>
    <m/>
    <x v="1"/>
    <n v="132746830"/>
  </r>
  <r>
    <x v="2"/>
    <x v="35"/>
    <x v="35"/>
    <x v="15"/>
    <s v="Gasto Federalizado"/>
    <x v="233"/>
    <x v="947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916851646"/>
    <n v="0"/>
    <n v="-28462810"/>
    <n v="888388836"/>
    <n v="993527922"/>
    <m/>
    <x v="1"/>
    <n v="993527922"/>
  </r>
  <r>
    <x v="2"/>
    <x v="35"/>
    <x v="35"/>
    <x v="15"/>
    <s v="Gasto Federalizado"/>
    <x v="233"/>
    <x v="947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916851646"/>
    <n v="0"/>
    <n v="-28462810"/>
    <n v="888388836"/>
    <n v="993527921"/>
    <m/>
    <x v="1"/>
    <n v="993527921"/>
  </r>
  <r>
    <x v="2"/>
    <x v="35"/>
    <x v="35"/>
    <x v="15"/>
    <s v="Gasto Federalizado"/>
    <x v="234"/>
    <x v="948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690023462"/>
    <n v="0"/>
    <n v="-21631788"/>
    <n v="668391674"/>
    <n v="746812830"/>
    <m/>
    <x v="1"/>
    <n v="746812830"/>
  </r>
  <r>
    <x v="2"/>
    <x v="35"/>
    <x v="35"/>
    <x v="15"/>
    <s v="Gasto Federalizado"/>
    <x v="234"/>
    <x v="948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690023462"/>
    <n v="0"/>
    <n v="-21631788"/>
    <n v="668391674"/>
    <n v="746812830"/>
    <m/>
    <x v="1"/>
    <n v="746812830"/>
  </r>
  <r>
    <x v="2"/>
    <x v="35"/>
    <x v="35"/>
    <x v="15"/>
    <s v="Gasto Federalizado"/>
    <x v="235"/>
    <x v="949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814366964"/>
    <n v="0"/>
    <n v="-57094369"/>
    <n v="1757272595"/>
    <n v="1962752032"/>
    <m/>
    <x v="1"/>
    <n v="1962752032"/>
  </r>
  <r>
    <x v="2"/>
    <x v="35"/>
    <x v="35"/>
    <x v="15"/>
    <s v="Gasto Federalizado"/>
    <x v="235"/>
    <x v="949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814366965"/>
    <n v="0"/>
    <n v="-57094371"/>
    <n v="1757272594"/>
    <n v="1962752033"/>
    <m/>
    <x v="1"/>
    <n v="1962752033"/>
  </r>
  <r>
    <x v="2"/>
    <x v="35"/>
    <x v="35"/>
    <x v="15"/>
    <s v="Gasto Federalizado"/>
    <x v="236"/>
    <x v="950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315651757"/>
    <n v="0"/>
    <n v="-10323814"/>
    <n v="305327943"/>
    <n v="339732733"/>
    <m/>
    <x v="1"/>
    <n v="339732733"/>
  </r>
  <r>
    <x v="2"/>
    <x v="35"/>
    <x v="35"/>
    <x v="15"/>
    <s v="Gasto Federalizado"/>
    <x v="236"/>
    <x v="950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315651756"/>
    <n v="0"/>
    <n v="-10323813"/>
    <n v="305327943"/>
    <n v="339732733"/>
    <m/>
    <x v="1"/>
    <n v="339732733"/>
  </r>
  <r>
    <x v="2"/>
    <x v="35"/>
    <x v="35"/>
    <x v="15"/>
    <s v="Gasto Federalizado"/>
    <x v="237"/>
    <x v="951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026936936"/>
    <n v="0"/>
    <n v="-33328241"/>
    <n v="993608695"/>
    <n v="1106453415"/>
    <m/>
    <x v="1"/>
    <n v="1106453415"/>
  </r>
  <r>
    <x v="2"/>
    <x v="35"/>
    <x v="35"/>
    <x v="15"/>
    <s v="Gasto Federalizado"/>
    <x v="237"/>
    <x v="951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026936937"/>
    <n v="0"/>
    <n v="-33328241"/>
    <n v="993608696"/>
    <n v="1106453414"/>
    <m/>
    <x v="1"/>
    <n v="1106453414"/>
  </r>
  <r>
    <x v="2"/>
    <x v="35"/>
    <x v="35"/>
    <x v="15"/>
    <s v="Gasto Federalizado"/>
    <x v="238"/>
    <x v="952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639820951"/>
    <n v="0"/>
    <n v="-21769971"/>
    <n v="618050980"/>
    <n v="684960044"/>
    <m/>
    <x v="1"/>
    <n v="684960044"/>
  </r>
  <r>
    <x v="2"/>
    <x v="35"/>
    <x v="35"/>
    <x v="15"/>
    <s v="Gasto Federalizado"/>
    <x v="238"/>
    <x v="952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639820950"/>
    <n v="0"/>
    <n v="-21769971"/>
    <n v="618050979"/>
    <n v="684960044"/>
    <m/>
    <x v="1"/>
    <n v="684960044"/>
  </r>
  <r>
    <x v="2"/>
    <x v="35"/>
    <x v="35"/>
    <x v="15"/>
    <s v="Gasto Federalizado"/>
    <x v="239"/>
    <x v="953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492933901"/>
    <n v="0"/>
    <n v="-15942256"/>
    <n v="476991645"/>
    <n v="531351731"/>
    <m/>
    <x v="1"/>
    <n v="531351731"/>
  </r>
  <r>
    <x v="2"/>
    <x v="35"/>
    <x v="35"/>
    <x v="15"/>
    <s v="Gasto Federalizado"/>
    <x v="239"/>
    <x v="953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492933901"/>
    <n v="0"/>
    <n v="-15942256"/>
    <n v="476991645"/>
    <n v="531351731"/>
    <m/>
    <x v="1"/>
    <n v="531351731"/>
  </r>
  <r>
    <x v="2"/>
    <x v="35"/>
    <x v="35"/>
    <x v="15"/>
    <s v="Gasto Federalizado"/>
    <x v="240"/>
    <x v="954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427770199"/>
    <n v="0"/>
    <n v="-45205298"/>
    <n v="1382564901"/>
    <n v="1543273491"/>
    <m/>
    <x v="1"/>
    <n v="1543273491"/>
  </r>
  <r>
    <x v="2"/>
    <x v="35"/>
    <x v="35"/>
    <x v="15"/>
    <s v="Gasto Federalizado"/>
    <x v="240"/>
    <x v="954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427770198"/>
    <n v="0"/>
    <n v="-45205296"/>
    <n v="1382564902"/>
    <n v="1543273491"/>
    <m/>
    <x v="1"/>
    <n v="1543273491"/>
  </r>
  <r>
    <x v="2"/>
    <x v="35"/>
    <x v="35"/>
    <x v="15"/>
    <s v="Gasto Federalizado"/>
    <x v="241"/>
    <x v="955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3017084316"/>
    <n v="0"/>
    <n v="-91526558"/>
    <n v="2925557758"/>
    <n v="3278772459"/>
    <m/>
    <x v="1"/>
    <n v="3278772459"/>
  </r>
  <r>
    <x v="2"/>
    <x v="35"/>
    <x v="35"/>
    <x v="15"/>
    <s v="Gasto Federalizado"/>
    <x v="241"/>
    <x v="955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3017084317"/>
    <n v="0"/>
    <n v="-91526560"/>
    <n v="2925557757"/>
    <n v="3278772459"/>
    <m/>
    <x v="1"/>
    <n v="3278772459"/>
  </r>
  <r>
    <x v="2"/>
    <x v="35"/>
    <x v="35"/>
    <x v="15"/>
    <s v="Gasto Federalizado"/>
    <x v="242"/>
    <x v="956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807762979"/>
    <n v="0"/>
    <n v="-27819711"/>
    <n v="779943268"/>
    <n v="863236283"/>
    <m/>
    <x v="1"/>
    <n v="863236283"/>
  </r>
  <r>
    <x v="2"/>
    <x v="35"/>
    <x v="35"/>
    <x v="15"/>
    <s v="Gasto Federalizado"/>
    <x v="242"/>
    <x v="956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807762979"/>
    <n v="0"/>
    <n v="-27819711"/>
    <n v="779943268"/>
    <n v="863236284"/>
    <m/>
    <x v="1"/>
    <n v="863236284"/>
  </r>
  <r>
    <x v="2"/>
    <x v="35"/>
    <x v="35"/>
    <x v="15"/>
    <s v="Gasto Federalizado"/>
    <x v="243"/>
    <x v="957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340799350"/>
    <n v="0"/>
    <n v="-10803312"/>
    <n v="329996038"/>
    <n v="368308473"/>
    <m/>
    <x v="1"/>
    <n v="368308473"/>
  </r>
  <r>
    <x v="2"/>
    <x v="35"/>
    <x v="35"/>
    <x v="15"/>
    <s v="Gasto Federalizado"/>
    <x v="243"/>
    <x v="957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340799350"/>
    <n v="0"/>
    <n v="-10803311"/>
    <n v="329996039"/>
    <n v="368308473"/>
    <m/>
    <x v="1"/>
    <n v="368308473"/>
  </r>
  <r>
    <x v="2"/>
    <x v="35"/>
    <x v="35"/>
    <x v="15"/>
    <s v="Gasto Federalizado"/>
    <x v="244"/>
    <x v="958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97415251"/>
    <n v="0"/>
    <n v="-6510092"/>
    <n v="190905159"/>
    <n v="212272059"/>
    <m/>
    <x v="1"/>
    <n v="212272059"/>
  </r>
  <r>
    <x v="2"/>
    <x v="35"/>
    <x v="35"/>
    <x v="15"/>
    <s v="Gasto Federalizado"/>
    <x v="244"/>
    <x v="958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97415252"/>
    <n v="0"/>
    <n v="-6510093"/>
    <n v="190905159"/>
    <n v="212272059"/>
    <m/>
    <x v="1"/>
    <n v="212272059"/>
  </r>
  <r>
    <x v="2"/>
    <x v="35"/>
    <x v="35"/>
    <x v="15"/>
    <s v="Gasto Federalizado"/>
    <x v="245"/>
    <x v="959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904610057"/>
    <n v="0"/>
    <n v="-27666019"/>
    <n v="876944038"/>
    <n v="982107937"/>
    <m/>
    <x v="1"/>
    <n v="982107937"/>
  </r>
  <r>
    <x v="2"/>
    <x v="35"/>
    <x v="35"/>
    <x v="15"/>
    <s v="Gasto Federalizado"/>
    <x v="245"/>
    <x v="959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904610057"/>
    <n v="0"/>
    <n v="-27666019"/>
    <n v="876944038"/>
    <n v="982107937"/>
    <m/>
    <x v="1"/>
    <n v="982107937"/>
  </r>
  <r>
    <x v="2"/>
    <x v="35"/>
    <x v="35"/>
    <x v="15"/>
    <s v="Gasto Federalizado"/>
    <x v="246"/>
    <x v="960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723281738"/>
    <n v="0"/>
    <n v="-24371128"/>
    <n v="698910610"/>
    <n v="775348590"/>
    <m/>
    <x v="1"/>
    <n v="775348590"/>
  </r>
  <r>
    <x v="2"/>
    <x v="35"/>
    <x v="35"/>
    <x v="15"/>
    <s v="Gasto Federalizado"/>
    <x v="246"/>
    <x v="960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723281737"/>
    <n v="0"/>
    <n v="-24371127"/>
    <n v="698910610"/>
    <n v="775348590"/>
    <m/>
    <x v="1"/>
    <n v="775348590"/>
  </r>
  <r>
    <x v="2"/>
    <x v="35"/>
    <x v="35"/>
    <x v="15"/>
    <s v="Gasto Federalizado"/>
    <x v="247"/>
    <x v="961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149702550"/>
    <n v="0"/>
    <n v="-35888535"/>
    <n v="1113814015"/>
    <n v="1245043286"/>
    <m/>
    <x v="1"/>
    <n v="1245043286"/>
  </r>
  <r>
    <x v="2"/>
    <x v="35"/>
    <x v="35"/>
    <x v="15"/>
    <s v="Gasto Federalizado"/>
    <x v="247"/>
    <x v="961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149702550"/>
    <n v="0"/>
    <n v="-35888536"/>
    <n v="1113814014"/>
    <n v="1245043286"/>
    <m/>
    <x v="1"/>
    <n v="1245043286"/>
  </r>
  <r>
    <x v="2"/>
    <x v="35"/>
    <x v="35"/>
    <x v="15"/>
    <s v="Gasto Federalizado"/>
    <x v="248"/>
    <x v="962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349667327"/>
    <n v="0"/>
    <n v="-10218568"/>
    <n v="339448759"/>
    <n v="381712186"/>
    <m/>
    <x v="1"/>
    <n v="381712186"/>
  </r>
  <r>
    <x v="2"/>
    <x v="35"/>
    <x v="35"/>
    <x v="15"/>
    <s v="Gasto Federalizado"/>
    <x v="248"/>
    <x v="962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349667328"/>
    <n v="0"/>
    <n v="-10218569"/>
    <n v="339448759"/>
    <n v="381712186"/>
    <m/>
    <x v="1"/>
    <n v="381712186"/>
  </r>
  <r>
    <x v="2"/>
    <x v="35"/>
    <x v="35"/>
    <x v="15"/>
    <s v="Gasto Federalizado"/>
    <x v="249"/>
    <x v="963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266454220"/>
    <n v="0"/>
    <n v="-6590713"/>
    <n v="259863507"/>
    <n v="296220697"/>
    <m/>
    <x v="1"/>
    <n v="296220697"/>
  </r>
  <r>
    <x v="2"/>
    <x v="35"/>
    <x v="35"/>
    <x v="15"/>
    <s v="Gasto Federalizado"/>
    <x v="249"/>
    <x v="963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266454220"/>
    <n v="0"/>
    <n v="-6590713"/>
    <n v="259863507"/>
    <n v="296220696"/>
    <m/>
    <x v="1"/>
    <n v="296220696"/>
  </r>
  <r>
    <x v="2"/>
    <x v="35"/>
    <x v="35"/>
    <x v="15"/>
    <s v="Gasto Federalizado"/>
    <x v="250"/>
    <x v="964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505864144"/>
    <n v="0"/>
    <n v="-16444064"/>
    <n v="489420080"/>
    <n v="544917769"/>
    <m/>
    <x v="1"/>
    <n v="544917769"/>
  </r>
  <r>
    <x v="2"/>
    <x v="35"/>
    <x v="35"/>
    <x v="15"/>
    <s v="Gasto Federalizado"/>
    <x v="250"/>
    <x v="964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505864144"/>
    <n v="0"/>
    <n v="-16444064"/>
    <n v="489420080"/>
    <n v="544917768"/>
    <m/>
    <x v="1"/>
    <n v="544917768"/>
  </r>
  <r>
    <x v="2"/>
    <x v="35"/>
    <x v="35"/>
    <x v="15"/>
    <s v="Gasto Federalizado"/>
    <x v="251"/>
    <x v="965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540162020"/>
    <n v="0"/>
    <n v="-17940383"/>
    <n v="522221637"/>
    <n v="580167619"/>
    <m/>
    <x v="1"/>
    <n v="580167619"/>
  </r>
  <r>
    <x v="2"/>
    <x v="35"/>
    <x v="35"/>
    <x v="15"/>
    <s v="Gasto Federalizado"/>
    <x v="251"/>
    <x v="965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540162021"/>
    <n v="0"/>
    <n v="-17940383"/>
    <n v="522221638"/>
    <n v="580167620"/>
    <m/>
    <x v="1"/>
    <n v="580167620"/>
  </r>
  <r>
    <x v="2"/>
    <x v="35"/>
    <x v="35"/>
    <x v="15"/>
    <s v="Gasto Federalizado"/>
    <x v="252"/>
    <x v="966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510785344"/>
    <n v="0"/>
    <n v="-16026418"/>
    <n v="494758926"/>
    <n v="552718977"/>
    <m/>
    <x v="1"/>
    <n v="552718977"/>
  </r>
  <r>
    <x v="2"/>
    <x v="35"/>
    <x v="35"/>
    <x v="15"/>
    <s v="Gasto Federalizado"/>
    <x v="252"/>
    <x v="966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510785344"/>
    <n v="0"/>
    <n v="-16026419"/>
    <n v="494758925"/>
    <n v="552718978"/>
    <m/>
    <x v="1"/>
    <n v="552718978"/>
  </r>
  <r>
    <x v="2"/>
    <x v="35"/>
    <x v="35"/>
    <x v="15"/>
    <s v="Gasto Federalizado"/>
    <x v="253"/>
    <x v="967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417381742"/>
    <n v="0"/>
    <n v="-13487910"/>
    <n v="403893832"/>
    <n v="449917491"/>
    <m/>
    <x v="1"/>
    <n v="449917491"/>
  </r>
  <r>
    <x v="2"/>
    <x v="35"/>
    <x v="35"/>
    <x v="15"/>
    <s v="Gasto Federalizado"/>
    <x v="253"/>
    <x v="967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417381741"/>
    <n v="0"/>
    <n v="-13487909"/>
    <n v="403893832"/>
    <n v="449917491"/>
    <m/>
    <x v="1"/>
    <n v="449917491"/>
  </r>
  <r>
    <x v="2"/>
    <x v="35"/>
    <x v="35"/>
    <x v="15"/>
    <s v="Gasto Federalizado"/>
    <x v="254"/>
    <x v="968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649409153"/>
    <n v="0"/>
    <n v="-19938769"/>
    <n v="629470384"/>
    <n v="704726107"/>
    <m/>
    <x v="1"/>
    <n v="704726107"/>
  </r>
  <r>
    <x v="2"/>
    <x v="35"/>
    <x v="35"/>
    <x v="15"/>
    <s v="Gasto Federalizado"/>
    <x v="254"/>
    <x v="968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649409153"/>
    <n v="0"/>
    <n v="-19938768"/>
    <n v="629470385"/>
    <n v="704726107"/>
    <m/>
    <x v="1"/>
    <n v="704726107"/>
  </r>
  <r>
    <x v="2"/>
    <x v="35"/>
    <x v="35"/>
    <x v="15"/>
    <s v="Gasto Federalizado"/>
    <x v="255"/>
    <x v="969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230771499"/>
    <n v="0"/>
    <n v="-7006516"/>
    <n v="223764983"/>
    <n v="250770155"/>
    <m/>
    <x v="1"/>
    <n v="250770155"/>
  </r>
  <r>
    <x v="2"/>
    <x v="35"/>
    <x v="35"/>
    <x v="15"/>
    <s v="Gasto Federalizado"/>
    <x v="255"/>
    <x v="969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230771498"/>
    <n v="0"/>
    <n v="-7006515"/>
    <n v="223764983"/>
    <n v="250770156"/>
    <m/>
    <x v="1"/>
    <n v="250770156"/>
  </r>
  <r>
    <x v="2"/>
    <x v="35"/>
    <x v="35"/>
    <x v="15"/>
    <s v="Gasto Federalizado"/>
    <x v="256"/>
    <x v="970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1482118690"/>
    <n v="0"/>
    <n v="-48921566"/>
    <n v="1433197124"/>
    <n v="1593306270"/>
    <m/>
    <x v="1"/>
    <n v="1593306270"/>
  </r>
  <r>
    <x v="2"/>
    <x v="35"/>
    <x v="35"/>
    <x v="15"/>
    <s v="Gasto Federalizado"/>
    <x v="256"/>
    <x v="970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1482118690"/>
    <n v="0"/>
    <n v="-48921566"/>
    <n v="1433197124"/>
    <n v="1593306270"/>
    <m/>
    <x v="1"/>
    <n v="1593306270"/>
  </r>
  <r>
    <x v="2"/>
    <x v="35"/>
    <x v="35"/>
    <x v="15"/>
    <s v="Gasto Federalizado"/>
    <x v="257"/>
    <x v="971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390868042"/>
    <n v="0"/>
    <n v="-11944857"/>
    <n v="378923185"/>
    <n v="424459132"/>
    <m/>
    <x v="1"/>
    <n v="424459132"/>
  </r>
  <r>
    <x v="2"/>
    <x v="35"/>
    <x v="35"/>
    <x v="15"/>
    <s v="Gasto Federalizado"/>
    <x v="257"/>
    <x v="971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390868041"/>
    <n v="0"/>
    <n v="-11944857"/>
    <n v="378923184"/>
    <n v="424459132"/>
    <m/>
    <x v="1"/>
    <n v="424459132"/>
  </r>
  <r>
    <x v="2"/>
    <x v="35"/>
    <x v="35"/>
    <x v="15"/>
    <s v="Gasto Federalizado"/>
    <x v="258"/>
    <x v="972"/>
    <x v="102"/>
    <x v="179"/>
    <n v="2"/>
    <s v="Desarrollo Social"/>
    <n v="3"/>
    <s v="Urbanización, Vivienda y Desarrollo Regional"/>
    <n v="3"/>
    <x v="70"/>
    <x v="15"/>
    <x v="207"/>
    <n v="1"/>
    <s v="Gasto corriente"/>
    <x v="0"/>
    <x v="0"/>
    <x v="1"/>
    <x v="0"/>
    <x v="1"/>
    <x v="0"/>
    <x v="0"/>
    <m/>
    <x v="0"/>
    <x v="0"/>
    <m/>
    <n v="281078499"/>
    <n v="0"/>
    <n v="-9525515"/>
    <n v="271552984"/>
    <n v="301052867"/>
    <m/>
    <x v="1"/>
    <n v="301052867"/>
  </r>
  <r>
    <x v="2"/>
    <x v="35"/>
    <x v="35"/>
    <x v="15"/>
    <s v="Gasto Federalizado"/>
    <x v="258"/>
    <x v="972"/>
    <x v="102"/>
    <x v="179"/>
    <n v="2"/>
    <s v="Desarrollo Social"/>
    <n v="3"/>
    <s v="Urbanización, Vivienda y Desarrollo Regional"/>
    <n v="3"/>
    <x v="70"/>
    <x v="15"/>
    <x v="207"/>
    <n v="2"/>
    <s v="Gasto de capital"/>
    <x v="0"/>
    <x v="0"/>
    <x v="1"/>
    <x v="0"/>
    <x v="1"/>
    <x v="0"/>
    <x v="0"/>
    <m/>
    <x v="0"/>
    <x v="0"/>
    <m/>
    <n v="281078500"/>
    <n v="0"/>
    <n v="-9525516"/>
    <n v="271552984"/>
    <n v="301052867"/>
    <m/>
    <x v="1"/>
    <n v="301052867"/>
  </r>
  <r>
    <x v="2"/>
    <x v="35"/>
    <x v="35"/>
    <x v="15"/>
    <s v="Gasto Federalizado"/>
    <x v="259"/>
    <x v="973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63168885"/>
    <n v="0"/>
    <n v="-2962676"/>
    <n v="60206209"/>
    <n v="62013039"/>
    <m/>
    <x v="137"/>
    <n v="138315771"/>
  </r>
  <r>
    <x v="2"/>
    <x v="35"/>
    <x v="35"/>
    <x v="15"/>
    <s v="Gasto Federalizado"/>
    <x v="260"/>
    <x v="974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00816025"/>
    <n v="0"/>
    <n v="-2472029"/>
    <n v="98343996"/>
    <n v="111975289"/>
    <m/>
    <x v="1"/>
    <n v="111975289"/>
  </r>
  <r>
    <x v="2"/>
    <x v="35"/>
    <x v="35"/>
    <x v="15"/>
    <s v="Gasto Federalizado"/>
    <x v="261"/>
    <x v="975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35338828"/>
    <n v="0"/>
    <n v="-2317222"/>
    <n v="33021606"/>
    <n v="34126921"/>
    <m/>
    <x v="1"/>
    <n v="34126921"/>
  </r>
  <r>
    <x v="2"/>
    <x v="35"/>
    <x v="35"/>
    <x v="15"/>
    <s v="Gasto Federalizado"/>
    <x v="262"/>
    <x v="976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51830476"/>
    <n v="0"/>
    <n v="-606088"/>
    <n v="51224388"/>
    <n v="58052433"/>
    <m/>
    <x v="1"/>
    <n v="58052433"/>
  </r>
  <r>
    <x v="2"/>
    <x v="35"/>
    <x v="35"/>
    <x v="15"/>
    <s v="Gasto Federalizado"/>
    <x v="263"/>
    <x v="977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96322871"/>
    <n v="0"/>
    <n v="-3554353"/>
    <n v="92768518"/>
    <n v="103896326"/>
    <m/>
    <x v="1"/>
    <n v="103896326"/>
  </r>
  <r>
    <x v="2"/>
    <x v="35"/>
    <x v="35"/>
    <x v="15"/>
    <s v="Gasto Federalizado"/>
    <x v="264"/>
    <x v="978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35319892"/>
    <n v="0"/>
    <n v="-1973649"/>
    <n v="33346243"/>
    <n v="34599289"/>
    <m/>
    <x v="1"/>
    <n v="34599289"/>
  </r>
  <r>
    <x v="2"/>
    <x v="35"/>
    <x v="35"/>
    <x v="15"/>
    <s v="Gasto Federalizado"/>
    <x v="265"/>
    <x v="979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490482925"/>
    <n v="0"/>
    <n v="-8387301"/>
    <n v="482095624"/>
    <n v="556978670"/>
    <m/>
    <x v="1"/>
    <n v="556978670"/>
  </r>
  <r>
    <x v="2"/>
    <x v="35"/>
    <x v="35"/>
    <x v="15"/>
    <s v="Gasto Federalizado"/>
    <x v="266"/>
    <x v="980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46424621"/>
    <n v="0"/>
    <n v="-2969389"/>
    <n v="143455232"/>
    <n v="161251620"/>
    <m/>
    <x v="1"/>
    <n v="161251620"/>
  </r>
  <r>
    <x v="2"/>
    <x v="35"/>
    <x v="35"/>
    <x v="15"/>
    <s v="Gasto Federalizado"/>
    <x v="267"/>
    <x v="981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485830314"/>
    <n v="0"/>
    <n v="-28424674"/>
    <n v="457405640"/>
    <n v="470314080"/>
    <m/>
    <x v="1"/>
    <n v="470314080"/>
  </r>
  <r>
    <x v="2"/>
    <x v="35"/>
    <x v="35"/>
    <x v="15"/>
    <s v="Gasto Federalizado"/>
    <x v="268"/>
    <x v="982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27889100"/>
    <n v="0"/>
    <n v="-8383865"/>
    <n v="119505235"/>
    <n v="123052100"/>
    <m/>
    <x v="1"/>
    <n v="123052100"/>
  </r>
  <r>
    <x v="2"/>
    <x v="35"/>
    <x v="35"/>
    <x v="15"/>
    <s v="Gasto Federalizado"/>
    <x v="269"/>
    <x v="983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232857435"/>
    <n v="0"/>
    <n v="-2775908"/>
    <n v="230081527"/>
    <n v="266778431"/>
    <m/>
    <x v="1"/>
    <n v="266778431"/>
  </r>
  <r>
    <x v="2"/>
    <x v="35"/>
    <x v="35"/>
    <x v="15"/>
    <s v="Gasto Federalizado"/>
    <x v="270"/>
    <x v="984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318180512"/>
    <n v="0"/>
    <n v="-10055141"/>
    <n v="308125371"/>
    <n v="344065570"/>
    <m/>
    <x v="1"/>
    <n v="344065570"/>
  </r>
  <r>
    <x v="2"/>
    <x v="35"/>
    <x v="35"/>
    <x v="15"/>
    <s v="Gasto Federalizado"/>
    <x v="271"/>
    <x v="985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77527986"/>
    <n v="0"/>
    <n v="-7869794"/>
    <n v="169658192"/>
    <n v="187040659"/>
    <m/>
    <x v="1"/>
    <n v="187040659"/>
  </r>
  <r>
    <x v="2"/>
    <x v="35"/>
    <x v="35"/>
    <x v="15"/>
    <s v="Gasto Federalizado"/>
    <x v="272"/>
    <x v="986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299604665"/>
    <n v="0"/>
    <n v="-5118167"/>
    <n v="294486498"/>
    <n v="336301423"/>
    <m/>
    <x v="1"/>
    <n v="336301423"/>
  </r>
  <r>
    <x v="2"/>
    <x v="35"/>
    <x v="35"/>
    <x v="15"/>
    <s v="Gasto Federalizado"/>
    <x v="273"/>
    <x v="987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602087240"/>
    <n v="0"/>
    <n v="-10821699"/>
    <n v="591265541"/>
    <n v="685831250"/>
    <m/>
    <x v="1"/>
    <n v="685831250"/>
  </r>
  <r>
    <x v="2"/>
    <x v="35"/>
    <x v="35"/>
    <x v="15"/>
    <s v="Gasto Federalizado"/>
    <x v="274"/>
    <x v="988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255612416"/>
    <n v="0"/>
    <n v="-5292256"/>
    <n v="250320160"/>
    <n v="281713959"/>
    <m/>
    <x v="1"/>
    <n v="281713959"/>
  </r>
  <r>
    <x v="2"/>
    <x v="35"/>
    <x v="35"/>
    <x v="15"/>
    <s v="Gasto Federalizado"/>
    <x v="275"/>
    <x v="989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01919561"/>
    <n v="0"/>
    <n v="-5663938"/>
    <n v="96255623"/>
    <n v="106264517"/>
    <m/>
    <x v="1"/>
    <n v="106264517"/>
  </r>
  <r>
    <x v="2"/>
    <x v="35"/>
    <x v="35"/>
    <x v="15"/>
    <s v="Gasto Federalizado"/>
    <x v="276"/>
    <x v="990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72587813"/>
    <n v="0"/>
    <n v="-4481762"/>
    <n v="68106051"/>
    <n v="70173061"/>
    <m/>
    <x v="1"/>
    <n v="70173061"/>
  </r>
  <r>
    <x v="2"/>
    <x v="35"/>
    <x v="35"/>
    <x v="15"/>
    <s v="Gasto Federalizado"/>
    <x v="277"/>
    <x v="991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62003410"/>
    <n v="0"/>
    <n v="-7017496"/>
    <n v="154985914"/>
    <n v="170776988"/>
    <m/>
    <x v="1"/>
    <n v="170776988"/>
  </r>
  <r>
    <x v="2"/>
    <x v="35"/>
    <x v="35"/>
    <x v="15"/>
    <s v="Gasto Federalizado"/>
    <x v="278"/>
    <x v="992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383332983"/>
    <n v="0"/>
    <n v="-10399358"/>
    <n v="372933625"/>
    <n v="419089716"/>
    <m/>
    <x v="1"/>
    <n v="419089716"/>
  </r>
  <r>
    <x v="2"/>
    <x v="35"/>
    <x v="35"/>
    <x v="15"/>
    <s v="Gasto Federalizado"/>
    <x v="279"/>
    <x v="993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385103203"/>
    <n v="0"/>
    <n v="-6369721"/>
    <n v="378733482"/>
    <n v="432663751"/>
    <m/>
    <x v="1"/>
    <n v="432663751"/>
  </r>
  <r>
    <x v="2"/>
    <x v="35"/>
    <x v="35"/>
    <x v="15"/>
    <s v="Gasto Federalizado"/>
    <x v="280"/>
    <x v="994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97565788"/>
    <n v="0"/>
    <n v="-5230848"/>
    <n v="92334940"/>
    <n v="98354197"/>
    <m/>
    <x v="1"/>
    <n v="98354197"/>
  </r>
  <r>
    <x v="2"/>
    <x v="35"/>
    <x v="35"/>
    <x v="15"/>
    <s v="Gasto Federalizado"/>
    <x v="281"/>
    <x v="995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59740585"/>
    <n v="0"/>
    <n v="-586576"/>
    <n v="59154009"/>
    <n v="67526396"/>
    <m/>
    <x v="1"/>
    <n v="67526396"/>
  </r>
  <r>
    <x v="2"/>
    <x v="35"/>
    <x v="35"/>
    <x v="15"/>
    <s v="Gasto Federalizado"/>
    <x v="282"/>
    <x v="996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34828688"/>
    <n v="0"/>
    <n v="-875948"/>
    <n v="133952740"/>
    <n v="155296903"/>
    <m/>
    <x v="1"/>
    <n v="155296903"/>
  </r>
  <r>
    <x v="2"/>
    <x v="35"/>
    <x v="35"/>
    <x v="15"/>
    <s v="Gasto Federalizado"/>
    <x v="283"/>
    <x v="997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45375763"/>
    <n v="0"/>
    <n v="-6290939"/>
    <n v="139084824"/>
    <n v="153656234"/>
    <m/>
    <x v="1"/>
    <n v="153656234"/>
  </r>
  <r>
    <x v="2"/>
    <x v="35"/>
    <x v="35"/>
    <x v="15"/>
    <s v="Gasto Federalizado"/>
    <x v="284"/>
    <x v="998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21717576"/>
    <n v="0"/>
    <n v="-7699446"/>
    <n v="114018130"/>
    <n v="123263830"/>
    <m/>
    <x v="1"/>
    <n v="123263830"/>
  </r>
  <r>
    <x v="2"/>
    <x v="35"/>
    <x v="35"/>
    <x v="15"/>
    <s v="Gasto Federalizado"/>
    <x v="285"/>
    <x v="999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49090149"/>
    <n v="0"/>
    <n v="-8321590"/>
    <n v="140768559"/>
    <n v="152042527"/>
    <m/>
    <x v="1"/>
    <n v="152042527"/>
  </r>
  <r>
    <x v="2"/>
    <x v="35"/>
    <x v="35"/>
    <x v="15"/>
    <s v="Gasto Federalizado"/>
    <x v="286"/>
    <x v="1000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47538097"/>
    <n v="0"/>
    <n v="-6191465"/>
    <n v="141346632"/>
    <n v="156554954"/>
    <m/>
    <x v="1"/>
    <n v="156554954"/>
  </r>
  <r>
    <x v="2"/>
    <x v="35"/>
    <x v="35"/>
    <x v="15"/>
    <s v="Gasto Federalizado"/>
    <x v="287"/>
    <x v="1001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90842432"/>
    <n v="0"/>
    <n v="-5361589"/>
    <n v="85480843"/>
    <n v="88050261"/>
    <m/>
    <x v="1"/>
    <n v="88050261"/>
  </r>
  <r>
    <x v="2"/>
    <x v="35"/>
    <x v="35"/>
    <x v="15"/>
    <s v="Gasto Federalizado"/>
    <x v="288"/>
    <x v="1002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498643842"/>
    <n v="0"/>
    <n v="-7570028"/>
    <n v="491073814"/>
    <n v="566538094"/>
    <m/>
    <x v="1"/>
    <n v="566538094"/>
  </r>
  <r>
    <x v="2"/>
    <x v="35"/>
    <x v="35"/>
    <x v="15"/>
    <s v="Gasto Federalizado"/>
    <x v="289"/>
    <x v="1003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69599254"/>
    <n v="0"/>
    <n v="-7057220"/>
    <n v="162542034"/>
    <n v="181204215"/>
    <m/>
    <x v="1"/>
    <n v="181204215"/>
  </r>
  <r>
    <x v="2"/>
    <x v="35"/>
    <x v="35"/>
    <x v="15"/>
    <s v="Gasto Federalizado"/>
    <x v="290"/>
    <x v="1004"/>
    <x v="102"/>
    <x v="179"/>
    <n v="2"/>
    <s v="Desarrollo Social"/>
    <n v="5"/>
    <s v="Asistencia Social"/>
    <n v="3"/>
    <x v="54"/>
    <x v="9"/>
    <x v="208"/>
    <n v="1"/>
    <s v="Gasto corriente"/>
    <x v="0"/>
    <x v="0"/>
    <x v="1"/>
    <x v="0"/>
    <x v="1"/>
    <x v="0"/>
    <x v="0"/>
    <m/>
    <x v="0"/>
    <x v="0"/>
    <m/>
    <n v="106736941"/>
    <n v="0"/>
    <n v="-6590830"/>
    <n v="100146111"/>
    <n v="105464401"/>
    <m/>
    <x v="1"/>
    <n v="105464401"/>
  </r>
  <r>
    <x v="2"/>
    <x v="35"/>
    <x v="35"/>
    <x v="15"/>
    <s v="Gasto Federalizado"/>
    <x v="291"/>
    <x v="1005"/>
    <x v="102"/>
    <x v="179"/>
    <n v="2"/>
    <s v="Desarrollo Social"/>
    <n v="0"/>
    <s v="Educación"/>
    <n v="1"/>
    <x v="31"/>
    <x v="5"/>
    <x v="209"/>
    <n v="2"/>
    <s v="Gasto de capital"/>
    <x v="0"/>
    <x v="0"/>
    <x v="0"/>
    <x v="0"/>
    <x v="0"/>
    <x v="0"/>
    <x v="0"/>
    <m/>
    <x v="0"/>
    <x v="0"/>
    <m/>
    <n v="4843110446"/>
    <n v="0"/>
    <n v="-152402653"/>
    <n v="4690707793"/>
    <n v="5239196402"/>
    <m/>
    <x v="1"/>
    <n v="5239196402"/>
  </r>
  <r>
    <x v="2"/>
    <x v="35"/>
    <x v="35"/>
    <x v="15"/>
    <s v="Gasto Federalizado"/>
    <x v="291"/>
    <x v="1005"/>
    <x v="102"/>
    <x v="179"/>
    <n v="2"/>
    <s v="Desarrollo Social"/>
    <n v="0"/>
    <s v="Educación"/>
    <n v="3"/>
    <x v="29"/>
    <x v="6"/>
    <x v="210"/>
    <n v="2"/>
    <s v="Gasto de capital"/>
    <x v="0"/>
    <x v="0"/>
    <x v="0"/>
    <x v="0"/>
    <x v="0"/>
    <x v="0"/>
    <x v="0"/>
    <m/>
    <x v="0"/>
    <x v="0"/>
    <m/>
    <n v="2724249626"/>
    <n v="0"/>
    <n v="-85726492"/>
    <n v="2638523134"/>
    <n v="2947047976"/>
    <m/>
    <x v="1"/>
    <n v="2947047976"/>
  </r>
  <r>
    <x v="2"/>
    <x v="35"/>
    <x v="35"/>
    <x v="15"/>
    <s v="Gasto Federalizado"/>
    <x v="292"/>
    <x v="1006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947248"/>
    <n v="0"/>
    <n v="0"/>
    <n v="947248"/>
    <n v="923319"/>
    <m/>
    <x v="1"/>
    <n v="923319"/>
  </r>
  <r>
    <x v="2"/>
    <x v="35"/>
    <x v="35"/>
    <x v="15"/>
    <s v="Gasto Federalizado"/>
    <x v="292"/>
    <x v="1006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38491837"/>
    <n v="0"/>
    <n v="0"/>
    <n v="38491837"/>
    <n v="39278393"/>
    <m/>
    <x v="1"/>
    <n v="39278393"/>
  </r>
  <r>
    <x v="2"/>
    <x v="35"/>
    <x v="35"/>
    <x v="15"/>
    <s v="Gasto Federalizado"/>
    <x v="292"/>
    <x v="1006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979881"/>
    <n v="0"/>
    <n v="0"/>
    <n v="979881"/>
    <n v="930433"/>
    <m/>
    <x v="1"/>
    <n v="930433"/>
  </r>
  <r>
    <x v="2"/>
    <x v="35"/>
    <x v="35"/>
    <x v="15"/>
    <s v="Gasto Federalizado"/>
    <x v="292"/>
    <x v="1006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28240940"/>
    <n v="0"/>
    <n v="0"/>
    <n v="28240940"/>
    <n v="28146509"/>
    <m/>
    <x v="1"/>
    <n v="28146509"/>
  </r>
  <r>
    <x v="2"/>
    <x v="35"/>
    <x v="35"/>
    <x v="15"/>
    <s v="Gasto Federalizado"/>
    <x v="293"/>
    <x v="1007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2379136"/>
    <n v="0"/>
    <n v="0"/>
    <n v="2379136"/>
    <n v="2219462"/>
    <m/>
    <x v="1"/>
    <n v="2219462"/>
  </r>
  <r>
    <x v="2"/>
    <x v="35"/>
    <x v="35"/>
    <x v="15"/>
    <s v="Gasto Federalizado"/>
    <x v="293"/>
    <x v="1007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86727720"/>
    <n v="0"/>
    <n v="0"/>
    <n v="86727720"/>
    <n v="88632707"/>
    <m/>
    <x v="1"/>
    <n v="88632707"/>
  </r>
  <r>
    <x v="2"/>
    <x v="35"/>
    <x v="35"/>
    <x v="15"/>
    <s v="Gasto Federalizado"/>
    <x v="293"/>
    <x v="1007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2031906"/>
    <n v="0"/>
    <n v="0"/>
    <n v="2031906"/>
    <n v="1943838"/>
    <m/>
    <x v="1"/>
    <n v="1943838"/>
  </r>
  <r>
    <x v="2"/>
    <x v="35"/>
    <x v="35"/>
    <x v="15"/>
    <s v="Gasto Federalizado"/>
    <x v="293"/>
    <x v="1007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49619589"/>
    <n v="0"/>
    <n v="0"/>
    <n v="49619589"/>
    <n v="49428381"/>
    <m/>
    <x v="1"/>
    <n v="49428381"/>
  </r>
  <r>
    <x v="2"/>
    <x v="35"/>
    <x v="35"/>
    <x v="15"/>
    <s v="Gasto Federalizado"/>
    <x v="294"/>
    <x v="1008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456557"/>
    <n v="0"/>
    <n v="0"/>
    <n v="456557"/>
    <n v="448526"/>
    <m/>
    <x v="1"/>
    <n v="448526"/>
  </r>
  <r>
    <x v="2"/>
    <x v="35"/>
    <x v="35"/>
    <x v="15"/>
    <s v="Gasto Federalizado"/>
    <x v="294"/>
    <x v="1008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22484018"/>
    <n v="0"/>
    <n v="0"/>
    <n v="22484018"/>
    <n v="22911566"/>
    <m/>
    <x v="1"/>
    <n v="22911566"/>
  </r>
  <r>
    <x v="2"/>
    <x v="35"/>
    <x v="35"/>
    <x v="15"/>
    <s v="Gasto Federalizado"/>
    <x v="294"/>
    <x v="1008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912000"/>
    <n v="0"/>
    <n v="0"/>
    <n v="912000"/>
    <n v="874941"/>
    <m/>
    <x v="1"/>
    <n v="874941"/>
  </r>
  <r>
    <x v="2"/>
    <x v="35"/>
    <x v="35"/>
    <x v="15"/>
    <s v="Gasto Federalizado"/>
    <x v="294"/>
    <x v="1008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21579265"/>
    <n v="0"/>
    <n v="0"/>
    <n v="21579265"/>
    <n v="21385972"/>
    <m/>
    <x v="1"/>
    <n v="21385972"/>
  </r>
  <r>
    <x v="2"/>
    <x v="35"/>
    <x v="35"/>
    <x v="15"/>
    <s v="Gasto Federalizado"/>
    <x v="295"/>
    <x v="1009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1486184"/>
    <n v="0"/>
    <n v="0"/>
    <n v="1486184"/>
    <n v="1295249"/>
    <m/>
    <x v="1"/>
    <n v="1295249"/>
  </r>
  <r>
    <x v="2"/>
    <x v="35"/>
    <x v="35"/>
    <x v="15"/>
    <s v="Gasto Federalizado"/>
    <x v="295"/>
    <x v="1009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32068283"/>
    <n v="0"/>
    <n v="0"/>
    <n v="32068283"/>
    <n v="32766248"/>
    <m/>
    <x v="1"/>
    <n v="32766248"/>
  </r>
  <r>
    <x v="2"/>
    <x v="35"/>
    <x v="35"/>
    <x v="15"/>
    <s v="Gasto Federalizado"/>
    <x v="295"/>
    <x v="1009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420281"/>
    <n v="0"/>
    <n v="0"/>
    <n v="1420281"/>
    <n v="1358582"/>
    <m/>
    <x v="1"/>
    <n v="1358582"/>
  </r>
  <r>
    <x v="2"/>
    <x v="35"/>
    <x v="35"/>
    <x v="15"/>
    <s v="Gasto Federalizado"/>
    <x v="295"/>
    <x v="1009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41548325"/>
    <n v="0"/>
    <n v="0"/>
    <n v="41548325"/>
    <n v="41560036"/>
    <m/>
    <x v="1"/>
    <n v="41560036"/>
  </r>
  <r>
    <x v="2"/>
    <x v="35"/>
    <x v="35"/>
    <x v="15"/>
    <s v="Gasto Federalizado"/>
    <x v="296"/>
    <x v="1010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2731070"/>
    <n v="0"/>
    <n v="0"/>
    <n v="2731070"/>
    <n v="2525566"/>
    <m/>
    <x v="1"/>
    <n v="2525566"/>
  </r>
  <r>
    <x v="2"/>
    <x v="35"/>
    <x v="35"/>
    <x v="15"/>
    <s v="Gasto Federalizado"/>
    <x v="296"/>
    <x v="1010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92329879"/>
    <n v="0"/>
    <n v="0"/>
    <n v="92329879"/>
    <n v="94994324"/>
    <m/>
    <x v="1"/>
    <n v="94994324"/>
  </r>
  <r>
    <x v="2"/>
    <x v="35"/>
    <x v="35"/>
    <x v="15"/>
    <s v="Gasto Federalizado"/>
    <x v="296"/>
    <x v="1010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848712"/>
    <n v="0"/>
    <n v="0"/>
    <n v="1848712"/>
    <n v="1759072"/>
    <m/>
    <x v="1"/>
    <n v="1759072"/>
  </r>
  <r>
    <x v="2"/>
    <x v="35"/>
    <x v="35"/>
    <x v="15"/>
    <s v="Gasto Federalizado"/>
    <x v="296"/>
    <x v="1010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87082995"/>
    <n v="0"/>
    <n v="0"/>
    <n v="87082995"/>
    <n v="88063282"/>
    <m/>
    <x v="1"/>
    <n v="88063282"/>
  </r>
  <r>
    <x v="2"/>
    <x v="35"/>
    <x v="35"/>
    <x v="15"/>
    <s v="Gasto Federalizado"/>
    <x v="297"/>
    <x v="1011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772257"/>
    <n v="0"/>
    <n v="0"/>
    <n v="772257"/>
    <n v="722328"/>
    <m/>
    <x v="1"/>
    <n v="722328"/>
  </r>
  <r>
    <x v="2"/>
    <x v="35"/>
    <x v="35"/>
    <x v="15"/>
    <s v="Gasto Federalizado"/>
    <x v="297"/>
    <x v="1011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25132059"/>
    <n v="0"/>
    <n v="0"/>
    <n v="25132059"/>
    <n v="25911878"/>
    <m/>
    <x v="1"/>
    <n v="25911878"/>
  </r>
  <r>
    <x v="2"/>
    <x v="35"/>
    <x v="35"/>
    <x v="15"/>
    <s v="Gasto Federalizado"/>
    <x v="297"/>
    <x v="1011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008203"/>
    <n v="0"/>
    <n v="0"/>
    <n v="1008203"/>
    <n v="958699"/>
    <m/>
    <x v="1"/>
    <n v="958699"/>
  </r>
  <r>
    <x v="2"/>
    <x v="35"/>
    <x v="35"/>
    <x v="15"/>
    <s v="Gasto Federalizado"/>
    <x v="297"/>
    <x v="1011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23918447"/>
    <n v="0"/>
    <n v="0"/>
    <n v="23918447"/>
    <n v="23696328"/>
    <m/>
    <x v="1"/>
    <n v="23696328"/>
  </r>
  <r>
    <x v="2"/>
    <x v="35"/>
    <x v="35"/>
    <x v="15"/>
    <s v="Gasto Federalizado"/>
    <x v="298"/>
    <x v="1012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2644628"/>
    <n v="0"/>
    <n v="0"/>
    <n v="2644628"/>
    <n v="2435443"/>
    <m/>
    <x v="1"/>
    <n v="2435443"/>
  </r>
  <r>
    <x v="2"/>
    <x v="35"/>
    <x v="35"/>
    <x v="15"/>
    <s v="Gasto Federalizado"/>
    <x v="298"/>
    <x v="1012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92691195"/>
    <n v="0"/>
    <n v="0"/>
    <n v="92691195"/>
    <n v="95211242"/>
    <m/>
    <x v="1"/>
    <n v="95211242"/>
  </r>
  <r>
    <x v="2"/>
    <x v="35"/>
    <x v="35"/>
    <x v="15"/>
    <s v="Gasto Federalizado"/>
    <x v="298"/>
    <x v="1012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4633325"/>
    <n v="0"/>
    <n v="0"/>
    <n v="4633325"/>
    <n v="4416912"/>
    <m/>
    <x v="1"/>
    <n v="4416912"/>
  </r>
  <r>
    <x v="2"/>
    <x v="35"/>
    <x v="35"/>
    <x v="15"/>
    <s v="Gasto Federalizado"/>
    <x v="298"/>
    <x v="1012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125402363"/>
    <n v="0"/>
    <n v="0"/>
    <n v="125402363"/>
    <n v="125938822"/>
    <m/>
    <x v="1"/>
    <n v="125938822"/>
  </r>
  <r>
    <x v="2"/>
    <x v="35"/>
    <x v="35"/>
    <x v="15"/>
    <s v="Gasto Federalizado"/>
    <x v="299"/>
    <x v="1013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2657917"/>
    <n v="0"/>
    <n v="0"/>
    <n v="2657917"/>
    <n v="2460838"/>
    <m/>
    <x v="1"/>
    <n v="2460838"/>
  </r>
  <r>
    <x v="2"/>
    <x v="35"/>
    <x v="35"/>
    <x v="15"/>
    <s v="Gasto Federalizado"/>
    <x v="299"/>
    <x v="1013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88906674"/>
    <n v="0"/>
    <n v="0"/>
    <n v="88906674"/>
    <n v="95474346"/>
    <m/>
    <x v="1"/>
    <n v="95474346"/>
  </r>
  <r>
    <x v="2"/>
    <x v="35"/>
    <x v="35"/>
    <x v="15"/>
    <s v="Gasto Federalizado"/>
    <x v="299"/>
    <x v="1013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873599"/>
    <n v="0"/>
    <n v="0"/>
    <n v="1873599"/>
    <n v="1781315"/>
    <m/>
    <x v="1"/>
    <n v="1781315"/>
  </r>
  <r>
    <x v="2"/>
    <x v="35"/>
    <x v="35"/>
    <x v="15"/>
    <s v="Gasto Federalizado"/>
    <x v="299"/>
    <x v="1013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2495872"/>
    <n v="0"/>
    <n v="0"/>
    <n v="52495872"/>
    <n v="52438739"/>
    <m/>
    <x v="1"/>
    <n v="52438739"/>
  </r>
  <r>
    <x v="2"/>
    <x v="35"/>
    <x v="35"/>
    <x v="15"/>
    <s v="Gasto Federalizado"/>
    <x v="300"/>
    <x v="1014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771442"/>
    <n v="0"/>
    <n v="0"/>
    <n v="771442"/>
    <n v="725168"/>
    <m/>
    <x v="1"/>
    <n v="725168"/>
  </r>
  <r>
    <x v="2"/>
    <x v="35"/>
    <x v="35"/>
    <x v="15"/>
    <s v="Gasto Federalizado"/>
    <x v="300"/>
    <x v="1014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25124701"/>
    <n v="0"/>
    <n v="0"/>
    <n v="25124701"/>
    <n v="25935063"/>
    <m/>
    <x v="1"/>
    <n v="25935063"/>
  </r>
  <r>
    <x v="2"/>
    <x v="35"/>
    <x v="35"/>
    <x v="15"/>
    <s v="Gasto Federalizado"/>
    <x v="300"/>
    <x v="1014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635146"/>
    <n v="0"/>
    <n v="0"/>
    <n v="1635146"/>
    <n v="1554829"/>
    <m/>
    <x v="1"/>
    <n v="1554829"/>
  </r>
  <r>
    <x v="2"/>
    <x v="35"/>
    <x v="35"/>
    <x v="15"/>
    <s v="Gasto Federalizado"/>
    <x v="300"/>
    <x v="1014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45383909"/>
    <n v="0"/>
    <n v="0"/>
    <n v="45383909"/>
    <n v="45158153"/>
    <m/>
    <x v="1"/>
    <n v="45158153"/>
  </r>
  <r>
    <x v="2"/>
    <x v="35"/>
    <x v="35"/>
    <x v="15"/>
    <s v="Gasto Federalizado"/>
    <x v="301"/>
    <x v="1015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4461396"/>
    <n v="0"/>
    <n v="0"/>
    <n v="4461396"/>
    <n v="4131545"/>
    <m/>
    <x v="1"/>
    <n v="4131545"/>
  </r>
  <r>
    <x v="2"/>
    <x v="35"/>
    <x v="35"/>
    <x v="15"/>
    <s v="Gasto Federalizado"/>
    <x v="301"/>
    <x v="1015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130938814"/>
    <n v="0"/>
    <n v="0"/>
    <n v="130938814"/>
    <n v="135118170"/>
    <m/>
    <x v="1"/>
    <n v="135118170"/>
  </r>
  <r>
    <x v="2"/>
    <x v="35"/>
    <x v="35"/>
    <x v="15"/>
    <s v="Gasto Federalizado"/>
    <x v="301"/>
    <x v="1015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3155869"/>
    <n v="0"/>
    <n v="0"/>
    <n v="3155869"/>
    <n v="2981684"/>
    <m/>
    <x v="1"/>
    <n v="2981684"/>
  </r>
  <r>
    <x v="2"/>
    <x v="35"/>
    <x v="35"/>
    <x v="15"/>
    <s v="Gasto Federalizado"/>
    <x v="301"/>
    <x v="1015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1747672"/>
    <n v="0"/>
    <n v="0"/>
    <n v="51747672"/>
    <n v="50601821"/>
    <m/>
    <x v="1"/>
    <n v="50601821"/>
  </r>
  <r>
    <x v="2"/>
    <x v="35"/>
    <x v="35"/>
    <x v="15"/>
    <s v="Gasto Federalizado"/>
    <x v="302"/>
    <x v="1016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2531643"/>
    <n v="0"/>
    <n v="0"/>
    <n v="2531643"/>
    <n v="2323501"/>
    <m/>
    <x v="1"/>
    <n v="2323501"/>
  </r>
  <r>
    <x v="2"/>
    <x v="35"/>
    <x v="35"/>
    <x v="15"/>
    <s v="Gasto Federalizado"/>
    <x v="302"/>
    <x v="1016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76121415"/>
    <n v="0"/>
    <n v="0"/>
    <n v="76121415"/>
    <n v="78653293"/>
    <m/>
    <x v="1"/>
    <n v="78653293"/>
  </r>
  <r>
    <x v="2"/>
    <x v="35"/>
    <x v="35"/>
    <x v="15"/>
    <s v="Gasto Federalizado"/>
    <x v="302"/>
    <x v="1016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2075196"/>
    <n v="0"/>
    <n v="0"/>
    <n v="2075196"/>
    <n v="1967291"/>
    <m/>
    <x v="1"/>
    <n v="1967291"/>
  </r>
  <r>
    <x v="2"/>
    <x v="35"/>
    <x v="35"/>
    <x v="15"/>
    <s v="Gasto Federalizado"/>
    <x v="302"/>
    <x v="1016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69983622"/>
    <n v="0"/>
    <n v="0"/>
    <n v="69983622"/>
    <n v="70378599"/>
    <m/>
    <x v="1"/>
    <n v="70378599"/>
  </r>
  <r>
    <x v="2"/>
    <x v="35"/>
    <x v="35"/>
    <x v="15"/>
    <s v="Gasto Federalizado"/>
    <x v="303"/>
    <x v="1017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1128686"/>
    <n v="0"/>
    <n v="0"/>
    <n v="1128686"/>
    <n v="1057905"/>
    <m/>
    <x v="1"/>
    <n v="1057905"/>
  </r>
  <r>
    <x v="2"/>
    <x v="35"/>
    <x v="35"/>
    <x v="15"/>
    <s v="Gasto Federalizado"/>
    <x v="303"/>
    <x v="1017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40483312"/>
    <n v="0"/>
    <n v="0"/>
    <n v="40483312"/>
    <n v="41619190"/>
    <m/>
    <x v="1"/>
    <n v="41619190"/>
  </r>
  <r>
    <x v="2"/>
    <x v="35"/>
    <x v="35"/>
    <x v="15"/>
    <s v="Gasto Federalizado"/>
    <x v="303"/>
    <x v="1017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853301"/>
    <n v="0"/>
    <n v="0"/>
    <n v="1853301"/>
    <n v="1761605"/>
    <m/>
    <x v="1"/>
    <n v="1761605"/>
  </r>
  <r>
    <x v="2"/>
    <x v="35"/>
    <x v="35"/>
    <x v="15"/>
    <s v="Gasto Federalizado"/>
    <x v="303"/>
    <x v="1017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3510242"/>
    <n v="0"/>
    <n v="0"/>
    <n v="53510242"/>
    <n v="53646307"/>
    <m/>
    <x v="1"/>
    <n v="53646307"/>
  </r>
  <r>
    <x v="2"/>
    <x v="35"/>
    <x v="35"/>
    <x v="15"/>
    <s v="Gasto Federalizado"/>
    <x v="304"/>
    <x v="1018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4803289"/>
    <n v="0"/>
    <n v="0"/>
    <n v="4803289"/>
    <n v="4448528"/>
    <m/>
    <x v="1"/>
    <n v="4448528"/>
  </r>
  <r>
    <x v="2"/>
    <x v="35"/>
    <x v="35"/>
    <x v="15"/>
    <s v="Gasto Federalizado"/>
    <x v="304"/>
    <x v="1018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151199448"/>
    <n v="0"/>
    <n v="0"/>
    <n v="151199448"/>
    <n v="155678449"/>
    <m/>
    <x v="1"/>
    <n v="155678449"/>
  </r>
  <r>
    <x v="2"/>
    <x v="35"/>
    <x v="35"/>
    <x v="15"/>
    <s v="Gasto Federalizado"/>
    <x v="304"/>
    <x v="1018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2656268"/>
    <n v="0"/>
    <n v="0"/>
    <n v="2656268"/>
    <n v="2515321"/>
    <m/>
    <x v="1"/>
    <n v="2515321"/>
  </r>
  <r>
    <x v="2"/>
    <x v="35"/>
    <x v="35"/>
    <x v="15"/>
    <s v="Gasto Federalizado"/>
    <x v="304"/>
    <x v="1018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79050732"/>
    <n v="0"/>
    <n v="0"/>
    <n v="79050732"/>
    <n v="79165594"/>
    <m/>
    <x v="1"/>
    <n v="79165594"/>
  </r>
  <r>
    <x v="2"/>
    <x v="35"/>
    <x v="35"/>
    <x v="15"/>
    <s v="Gasto Federalizado"/>
    <x v="305"/>
    <x v="1019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13654948"/>
    <n v="0"/>
    <n v="0"/>
    <n v="13654948"/>
    <n v="12879414"/>
    <m/>
    <x v="1"/>
    <n v="12879414"/>
  </r>
  <r>
    <x v="2"/>
    <x v="35"/>
    <x v="35"/>
    <x v="15"/>
    <s v="Gasto Federalizado"/>
    <x v="305"/>
    <x v="1019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450624747"/>
    <n v="0"/>
    <n v="0"/>
    <n v="450624747"/>
    <n v="462899103"/>
    <m/>
    <x v="1"/>
    <n v="462899103"/>
  </r>
  <r>
    <x v="2"/>
    <x v="35"/>
    <x v="35"/>
    <x v="15"/>
    <s v="Gasto Federalizado"/>
    <x v="305"/>
    <x v="1019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3232260"/>
    <n v="0"/>
    <n v="0"/>
    <n v="3232260"/>
    <n v="3082127"/>
    <m/>
    <x v="1"/>
    <n v="3082127"/>
  </r>
  <r>
    <x v="2"/>
    <x v="35"/>
    <x v="35"/>
    <x v="15"/>
    <s v="Gasto Federalizado"/>
    <x v="305"/>
    <x v="1019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108901830"/>
    <n v="0"/>
    <n v="0"/>
    <n v="108901830"/>
    <n v="109906260"/>
    <m/>
    <x v="1"/>
    <n v="109906260"/>
  </r>
  <r>
    <x v="2"/>
    <x v="35"/>
    <x v="35"/>
    <x v="15"/>
    <s v="Gasto Federalizado"/>
    <x v="306"/>
    <x v="1020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3949562"/>
    <n v="0"/>
    <n v="0"/>
    <n v="3949562"/>
    <n v="3616478"/>
    <m/>
    <x v="1"/>
    <n v="3616478"/>
  </r>
  <r>
    <x v="2"/>
    <x v="35"/>
    <x v="35"/>
    <x v="15"/>
    <s v="Gasto Federalizado"/>
    <x v="306"/>
    <x v="1020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112804243"/>
    <n v="0"/>
    <n v="0"/>
    <n v="112804243"/>
    <n v="116564646"/>
    <m/>
    <x v="1"/>
    <n v="116564646"/>
  </r>
  <r>
    <x v="2"/>
    <x v="35"/>
    <x v="35"/>
    <x v="15"/>
    <s v="Gasto Federalizado"/>
    <x v="306"/>
    <x v="1020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2388800"/>
    <n v="0"/>
    <n v="0"/>
    <n v="2388800"/>
    <n v="2263553"/>
    <m/>
    <x v="1"/>
    <n v="2263553"/>
  </r>
  <r>
    <x v="2"/>
    <x v="35"/>
    <x v="35"/>
    <x v="15"/>
    <s v="Gasto Federalizado"/>
    <x v="306"/>
    <x v="1020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63245939"/>
    <n v="0"/>
    <n v="0"/>
    <n v="63245939"/>
    <n v="63152939"/>
    <m/>
    <x v="1"/>
    <n v="63152939"/>
  </r>
  <r>
    <x v="2"/>
    <x v="35"/>
    <x v="35"/>
    <x v="15"/>
    <s v="Gasto Federalizado"/>
    <x v="307"/>
    <x v="1021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917407"/>
    <n v="0"/>
    <n v="0"/>
    <n v="917407"/>
    <n v="897732"/>
    <m/>
    <x v="1"/>
    <n v="897732"/>
  </r>
  <r>
    <x v="2"/>
    <x v="35"/>
    <x v="35"/>
    <x v="15"/>
    <s v="Gasto Federalizado"/>
    <x v="307"/>
    <x v="1021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47805046"/>
    <n v="0"/>
    <n v="0"/>
    <n v="47805046"/>
    <n v="48794943"/>
    <m/>
    <x v="1"/>
    <n v="48794943"/>
  </r>
  <r>
    <x v="2"/>
    <x v="35"/>
    <x v="35"/>
    <x v="15"/>
    <s v="Gasto Federalizado"/>
    <x v="307"/>
    <x v="1021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525639"/>
    <n v="0"/>
    <n v="0"/>
    <n v="1525639"/>
    <n v="1443248"/>
    <m/>
    <x v="1"/>
    <n v="1443248"/>
  </r>
  <r>
    <x v="2"/>
    <x v="35"/>
    <x v="35"/>
    <x v="15"/>
    <s v="Gasto Federalizado"/>
    <x v="307"/>
    <x v="1021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39759246"/>
    <n v="0"/>
    <n v="0"/>
    <n v="39759246"/>
    <n v="39704620"/>
    <m/>
    <x v="1"/>
    <n v="39704620"/>
  </r>
  <r>
    <x v="2"/>
    <x v="35"/>
    <x v="35"/>
    <x v="15"/>
    <s v="Gasto Federalizado"/>
    <x v="308"/>
    <x v="1022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885363"/>
    <n v="0"/>
    <n v="0"/>
    <n v="885363"/>
    <n v="849991"/>
    <m/>
    <x v="1"/>
    <n v="849991"/>
  </r>
  <r>
    <x v="2"/>
    <x v="35"/>
    <x v="35"/>
    <x v="15"/>
    <s v="Gasto Federalizado"/>
    <x v="308"/>
    <x v="1022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31043470"/>
    <n v="0"/>
    <n v="0"/>
    <n v="31043470"/>
    <n v="31934749"/>
    <m/>
    <x v="1"/>
    <n v="31934749"/>
  </r>
  <r>
    <x v="2"/>
    <x v="35"/>
    <x v="35"/>
    <x v="15"/>
    <s v="Gasto Federalizado"/>
    <x v="308"/>
    <x v="1022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329487"/>
    <n v="0"/>
    <n v="0"/>
    <n v="1329487"/>
    <n v="1261817"/>
    <m/>
    <x v="1"/>
    <n v="1261817"/>
  </r>
  <r>
    <x v="2"/>
    <x v="35"/>
    <x v="35"/>
    <x v="15"/>
    <s v="Gasto Federalizado"/>
    <x v="308"/>
    <x v="1022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38176860"/>
    <n v="0"/>
    <n v="0"/>
    <n v="38176860"/>
    <n v="38142108"/>
    <m/>
    <x v="1"/>
    <n v="38142108"/>
  </r>
  <r>
    <x v="2"/>
    <x v="35"/>
    <x v="35"/>
    <x v="15"/>
    <s v="Gasto Federalizado"/>
    <x v="309"/>
    <x v="1023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3071758"/>
    <n v="0"/>
    <n v="0"/>
    <n v="3071758"/>
    <n v="2878863"/>
    <m/>
    <x v="1"/>
    <n v="2878863"/>
  </r>
  <r>
    <x v="2"/>
    <x v="35"/>
    <x v="35"/>
    <x v="15"/>
    <s v="Gasto Federalizado"/>
    <x v="309"/>
    <x v="1023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124064241"/>
    <n v="0"/>
    <n v="0"/>
    <n v="124064241"/>
    <n v="126824866"/>
    <m/>
    <x v="1"/>
    <n v="126824866"/>
  </r>
  <r>
    <x v="2"/>
    <x v="35"/>
    <x v="35"/>
    <x v="15"/>
    <s v="Gasto Federalizado"/>
    <x v="310"/>
    <x v="1024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2966194"/>
    <n v="0"/>
    <n v="0"/>
    <n v="2966194"/>
    <n v="2809646"/>
    <m/>
    <x v="1"/>
    <n v="2809646"/>
  </r>
  <r>
    <x v="2"/>
    <x v="35"/>
    <x v="35"/>
    <x v="15"/>
    <s v="Gasto Federalizado"/>
    <x v="310"/>
    <x v="1024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100367968"/>
    <n v="0"/>
    <n v="0"/>
    <n v="100367968"/>
    <n v="100878946"/>
    <m/>
    <x v="1"/>
    <n v="100878946"/>
  </r>
  <r>
    <x v="2"/>
    <x v="35"/>
    <x v="35"/>
    <x v="15"/>
    <s v="Gasto Federalizado"/>
    <x v="311"/>
    <x v="1025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2930832"/>
    <n v="0"/>
    <n v="0"/>
    <n v="2930832"/>
    <n v="2710614"/>
    <m/>
    <x v="1"/>
    <n v="2710614"/>
  </r>
  <r>
    <x v="2"/>
    <x v="35"/>
    <x v="35"/>
    <x v="15"/>
    <s v="Gasto Federalizado"/>
    <x v="311"/>
    <x v="1025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94785124"/>
    <n v="0"/>
    <n v="0"/>
    <n v="94785124"/>
    <n v="97366541"/>
    <m/>
    <x v="1"/>
    <n v="97366541"/>
  </r>
  <r>
    <x v="2"/>
    <x v="35"/>
    <x v="35"/>
    <x v="15"/>
    <s v="Gasto Federalizado"/>
    <x v="311"/>
    <x v="1025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2824650"/>
    <n v="0"/>
    <n v="0"/>
    <n v="2824650"/>
    <n v="2670871"/>
    <m/>
    <x v="1"/>
    <n v="2670871"/>
  </r>
  <r>
    <x v="2"/>
    <x v="35"/>
    <x v="35"/>
    <x v="15"/>
    <s v="Gasto Federalizado"/>
    <x v="311"/>
    <x v="1025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86214708"/>
    <n v="0"/>
    <n v="0"/>
    <n v="86214708"/>
    <n v="86410742"/>
    <m/>
    <x v="1"/>
    <n v="86410742"/>
  </r>
  <r>
    <x v="2"/>
    <x v="35"/>
    <x v="35"/>
    <x v="15"/>
    <s v="Gasto Federalizado"/>
    <x v="312"/>
    <x v="1026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790410"/>
    <n v="0"/>
    <n v="0"/>
    <n v="790410"/>
    <n v="751452"/>
    <m/>
    <x v="1"/>
    <n v="751452"/>
  </r>
  <r>
    <x v="2"/>
    <x v="35"/>
    <x v="35"/>
    <x v="15"/>
    <s v="Gasto Federalizado"/>
    <x v="312"/>
    <x v="1026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27496774"/>
    <n v="0"/>
    <n v="0"/>
    <n v="27496774"/>
    <n v="28215819"/>
    <m/>
    <x v="1"/>
    <n v="28215819"/>
  </r>
  <r>
    <x v="2"/>
    <x v="35"/>
    <x v="35"/>
    <x v="15"/>
    <s v="Gasto Federalizado"/>
    <x v="312"/>
    <x v="1026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817901"/>
    <n v="0"/>
    <n v="0"/>
    <n v="1817901"/>
    <n v="1720973"/>
    <m/>
    <x v="1"/>
    <n v="1720973"/>
  </r>
  <r>
    <x v="2"/>
    <x v="35"/>
    <x v="35"/>
    <x v="15"/>
    <s v="Gasto Federalizado"/>
    <x v="312"/>
    <x v="1026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43630762"/>
    <n v="0"/>
    <n v="0"/>
    <n v="43630762"/>
    <n v="43393938"/>
    <m/>
    <x v="1"/>
    <n v="43393938"/>
  </r>
  <r>
    <x v="2"/>
    <x v="35"/>
    <x v="35"/>
    <x v="15"/>
    <s v="Gasto Federalizado"/>
    <x v="313"/>
    <x v="1027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1398852"/>
    <n v="0"/>
    <n v="0"/>
    <n v="1398852"/>
    <n v="1362719"/>
    <m/>
    <x v="1"/>
    <n v="1362719"/>
  </r>
  <r>
    <x v="2"/>
    <x v="35"/>
    <x v="35"/>
    <x v="15"/>
    <s v="Gasto Federalizado"/>
    <x v="313"/>
    <x v="1027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62634000"/>
    <n v="0"/>
    <n v="0"/>
    <n v="62634000"/>
    <n v="63906547"/>
    <m/>
    <x v="1"/>
    <n v="63906547"/>
  </r>
  <r>
    <x v="2"/>
    <x v="35"/>
    <x v="35"/>
    <x v="15"/>
    <s v="Gasto Federalizado"/>
    <x v="313"/>
    <x v="1027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164378"/>
    <n v="0"/>
    <n v="0"/>
    <n v="1164378"/>
    <n v="1116469"/>
    <m/>
    <x v="1"/>
    <n v="1116469"/>
  </r>
  <r>
    <x v="2"/>
    <x v="35"/>
    <x v="35"/>
    <x v="15"/>
    <s v="Gasto Federalizado"/>
    <x v="313"/>
    <x v="1027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32326149"/>
    <n v="0"/>
    <n v="0"/>
    <n v="32326149"/>
    <n v="32271874"/>
    <m/>
    <x v="1"/>
    <n v="32271874"/>
  </r>
  <r>
    <x v="2"/>
    <x v="35"/>
    <x v="35"/>
    <x v="15"/>
    <s v="Gasto Federalizado"/>
    <x v="314"/>
    <x v="1028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1715190"/>
    <n v="0"/>
    <n v="0"/>
    <n v="1715190"/>
    <n v="1581011"/>
    <m/>
    <x v="1"/>
    <n v="1581011"/>
  </r>
  <r>
    <x v="2"/>
    <x v="35"/>
    <x v="35"/>
    <x v="15"/>
    <s v="Gasto Federalizado"/>
    <x v="314"/>
    <x v="1028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55775007"/>
    <n v="0"/>
    <n v="0"/>
    <n v="55775007"/>
    <n v="57330632"/>
    <m/>
    <x v="1"/>
    <n v="57330632"/>
  </r>
  <r>
    <x v="2"/>
    <x v="35"/>
    <x v="35"/>
    <x v="15"/>
    <s v="Gasto Federalizado"/>
    <x v="314"/>
    <x v="1028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554604"/>
    <n v="0"/>
    <n v="0"/>
    <n v="1554604"/>
    <n v="1473061"/>
    <m/>
    <x v="1"/>
    <n v="1473061"/>
  </r>
  <r>
    <x v="2"/>
    <x v="35"/>
    <x v="35"/>
    <x v="15"/>
    <s v="Gasto Federalizado"/>
    <x v="314"/>
    <x v="1028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1709360"/>
    <n v="0"/>
    <n v="0"/>
    <n v="51709360"/>
    <n v="51878808"/>
    <m/>
    <x v="1"/>
    <n v="51878808"/>
  </r>
  <r>
    <x v="2"/>
    <x v="35"/>
    <x v="35"/>
    <x v="15"/>
    <s v="Gasto Federalizado"/>
    <x v="315"/>
    <x v="1029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4408441"/>
    <n v="0"/>
    <n v="0"/>
    <n v="4408441"/>
    <n v="4027023"/>
    <m/>
    <x v="1"/>
    <n v="4027023"/>
  </r>
  <r>
    <x v="2"/>
    <x v="35"/>
    <x v="35"/>
    <x v="15"/>
    <s v="Gasto Federalizado"/>
    <x v="315"/>
    <x v="1029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118081117"/>
    <n v="0"/>
    <n v="0"/>
    <n v="118081117"/>
    <n v="123595490"/>
    <m/>
    <x v="1"/>
    <n v="123595490"/>
  </r>
  <r>
    <x v="2"/>
    <x v="35"/>
    <x v="35"/>
    <x v="15"/>
    <s v="Gasto Federalizado"/>
    <x v="315"/>
    <x v="1029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877269"/>
    <n v="0"/>
    <n v="0"/>
    <n v="1877269"/>
    <n v="1779899"/>
    <m/>
    <x v="1"/>
    <n v="1779899"/>
  </r>
  <r>
    <x v="2"/>
    <x v="35"/>
    <x v="35"/>
    <x v="15"/>
    <s v="Gasto Federalizado"/>
    <x v="315"/>
    <x v="1029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6206081"/>
    <n v="0"/>
    <n v="0"/>
    <n v="56206081"/>
    <n v="56093003"/>
    <m/>
    <x v="1"/>
    <n v="56093003"/>
  </r>
  <r>
    <x v="2"/>
    <x v="35"/>
    <x v="35"/>
    <x v="15"/>
    <s v="Gasto Federalizado"/>
    <x v="316"/>
    <x v="1030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4272935"/>
    <n v="0"/>
    <n v="0"/>
    <n v="4272935"/>
    <n v="3955167"/>
    <m/>
    <x v="1"/>
    <n v="3955167"/>
  </r>
  <r>
    <x v="2"/>
    <x v="35"/>
    <x v="35"/>
    <x v="15"/>
    <s v="Gasto Federalizado"/>
    <x v="316"/>
    <x v="1030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143463863"/>
    <n v="0"/>
    <n v="0"/>
    <n v="143463863"/>
    <n v="146854664"/>
    <m/>
    <x v="1"/>
    <n v="146854664"/>
  </r>
  <r>
    <x v="2"/>
    <x v="35"/>
    <x v="35"/>
    <x v="15"/>
    <s v="Gasto Federalizado"/>
    <x v="316"/>
    <x v="1030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931844"/>
    <n v="0"/>
    <n v="0"/>
    <n v="1931844"/>
    <n v="1832231"/>
    <m/>
    <x v="1"/>
    <n v="1832231"/>
  </r>
  <r>
    <x v="2"/>
    <x v="35"/>
    <x v="35"/>
    <x v="15"/>
    <s v="Gasto Federalizado"/>
    <x v="316"/>
    <x v="1030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1224642"/>
    <n v="0"/>
    <n v="0"/>
    <n v="51224642"/>
    <n v="51156594"/>
    <m/>
    <x v="1"/>
    <n v="51156594"/>
  </r>
  <r>
    <x v="2"/>
    <x v="35"/>
    <x v="35"/>
    <x v="15"/>
    <s v="Gasto Federalizado"/>
    <x v="317"/>
    <x v="1031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2011967"/>
    <n v="0"/>
    <n v="0"/>
    <n v="2011967"/>
    <n v="1889803"/>
    <m/>
    <x v="1"/>
    <n v="1889803"/>
  </r>
  <r>
    <x v="2"/>
    <x v="35"/>
    <x v="35"/>
    <x v="15"/>
    <s v="Gasto Federalizado"/>
    <x v="317"/>
    <x v="1031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70064796"/>
    <n v="0"/>
    <n v="0"/>
    <n v="70064796"/>
    <n v="71970977"/>
    <m/>
    <x v="1"/>
    <n v="71970977"/>
  </r>
  <r>
    <x v="2"/>
    <x v="35"/>
    <x v="35"/>
    <x v="15"/>
    <s v="Gasto Federalizado"/>
    <x v="317"/>
    <x v="1031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436734"/>
    <n v="0"/>
    <n v="0"/>
    <n v="1436734"/>
    <n v="1374982"/>
    <m/>
    <x v="1"/>
    <n v="1374982"/>
  </r>
  <r>
    <x v="2"/>
    <x v="35"/>
    <x v="35"/>
    <x v="15"/>
    <s v="Gasto Federalizado"/>
    <x v="317"/>
    <x v="1031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3907002"/>
    <n v="0"/>
    <n v="0"/>
    <n v="53907002"/>
    <n v="54400011"/>
    <m/>
    <x v="1"/>
    <n v="54400011"/>
  </r>
  <r>
    <x v="2"/>
    <x v="35"/>
    <x v="35"/>
    <x v="15"/>
    <s v="Gasto Federalizado"/>
    <x v="318"/>
    <x v="1032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3469597"/>
    <n v="0"/>
    <n v="0"/>
    <n v="3469597"/>
    <n v="3195413"/>
    <m/>
    <x v="1"/>
    <n v="3195413"/>
  </r>
  <r>
    <x v="2"/>
    <x v="35"/>
    <x v="35"/>
    <x v="15"/>
    <s v="Gasto Federalizado"/>
    <x v="318"/>
    <x v="1032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106375972"/>
    <n v="0"/>
    <n v="0"/>
    <n v="106375972"/>
    <n v="109134582"/>
    <m/>
    <x v="1"/>
    <n v="109134582"/>
  </r>
  <r>
    <x v="2"/>
    <x v="35"/>
    <x v="35"/>
    <x v="15"/>
    <s v="Gasto Federalizado"/>
    <x v="318"/>
    <x v="1032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874155"/>
    <n v="0"/>
    <n v="0"/>
    <n v="1874155"/>
    <n v="1777654"/>
    <m/>
    <x v="1"/>
    <n v="1777654"/>
  </r>
  <r>
    <x v="2"/>
    <x v="35"/>
    <x v="35"/>
    <x v="15"/>
    <s v="Gasto Federalizado"/>
    <x v="318"/>
    <x v="1032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1071917"/>
    <n v="0"/>
    <n v="0"/>
    <n v="51071917"/>
    <n v="51059619"/>
    <m/>
    <x v="1"/>
    <n v="51059619"/>
  </r>
  <r>
    <x v="2"/>
    <x v="35"/>
    <x v="35"/>
    <x v="15"/>
    <s v="Gasto Federalizado"/>
    <x v="319"/>
    <x v="1033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737139"/>
    <n v="0"/>
    <n v="0"/>
    <n v="737139"/>
    <n v="698569"/>
    <m/>
    <x v="1"/>
    <n v="698569"/>
  </r>
  <r>
    <x v="2"/>
    <x v="35"/>
    <x v="35"/>
    <x v="15"/>
    <s v="Gasto Federalizado"/>
    <x v="319"/>
    <x v="1033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26559922"/>
    <n v="0"/>
    <n v="0"/>
    <n v="26559922"/>
    <n v="27446514"/>
    <m/>
    <x v="1"/>
    <n v="27446514"/>
  </r>
  <r>
    <x v="2"/>
    <x v="35"/>
    <x v="35"/>
    <x v="15"/>
    <s v="Gasto Federalizado"/>
    <x v="319"/>
    <x v="1033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031144"/>
    <n v="0"/>
    <n v="0"/>
    <n v="1031144"/>
    <n v="978319"/>
    <m/>
    <x v="1"/>
    <n v="978319"/>
  </r>
  <r>
    <x v="2"/>
    <x v="35"/>
    <x v="35"/>
    <x v="15"/>
    <s v="Gasto Federalizado"/>
    <x v="319"/>
    <x v="1033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28485720"/>
    <n v="0"/>
    <n v="0"/>
    <n v="28485720"/>
    <n v="28391949"/>
    <m/>
    <x v="1"/>
    <n v="28391949"/>
  </r>
  <r>
    <x v="2"/>
    <x v="35"/>
    <x v="35"/>
    <x v="15"/>
    <s v="Gasto Federalizado"/>
    <x v="320"/>
    <x v="1034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4611695"/>
    <n v="0"/>
    <n v="0"/>
    <n v="4611695"/>
    <n v="4236755"/>
    <m/>
    <x v="1"/>
    <n v="4236755"/>
  </r>
  <r>
    <x v="2"/>
    <x v="35"/>
    <x v="35"/>
    <x v="15"/>
    <s v="Gasto Federalizado"/>
    <x v="320"/>
    <x v="1034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133155493"/>
    <n v="0"/>
    <n v="0"/>
    <n v="133155493"/>
    <n v="137935739"/>
    <m/>
    <x v="1"/>
    <n v="137935739"/>
  </r>
  <r>
    <x v="2"/>
    <x v="35"/>
    <x v="35"/>
    <x v="15"/>
    <s v="Gasto Federalizado"/>
    <x v="320"/>
    <x v="1034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3307095"/>
    <n v="0"/>
    <n v="0"/>
    <n v="3307095"/>
    <n v="3133749"/>
    <m/>
    <x v="1"/>
    <n v="3133749"/>
  </r>
  <r>
    <x v="2"/>
    <x v="35"/>
    <x v="35"/>
    <x v="15"/>
    <s v="Gasto Federalizado"/>
    <x v="320"/>
    <x v="1034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128679868"/>
    <n v="0"/>
    <n v="0"/>
    <n v="128679868"/>
    <n v="129888782"/>
    <m/>
    <x v="1"/>
    <n v="129888782"/>
  </r>
  <r>
    <x v="2"/>
    <x v="35"/>
    <x v="35"/>
    <x v="15"/>
    <s v="Gasto Federalizado"/>
    <x v="321"/>
    <x v="1035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1738132"/>
    <n v="0"/>
    <n v="0"/>
    <n v="1738132"/>
    <n v="1602495"/>
    <m/>
    <x v="1"/>
    <n v="1602495"/>
  </r>
  <r>
    <x v="2"/>
    <x v="35"/>
    <x v="35"/>
    <x v="15"/>
    <s v="Gasto Federalizado"/>
    <x v="321"/>
    <x v="1035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55643081"/>
    <n v="0"/>
    <n v="0"/>
    <n v="55643081"/>
    <n v="57457098"/>
    <m/>
    <x v="1"/>
    <n v="57457098"/>
  </r>
  <r>
    <x v="2"/>
    <x v="35"/>
    <x v="35"/>
    <x v="15"/>
    <s v="Gasto Federalizado"/>
    <x v="321"/>
    <x v="1035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835238"/>
    <n v="0"/>
    <n v="0"/>
    <n v="1835238"/>
    <n v="1749605"/>
    <m/>
    <x v="1"/>
    <n v="1749605"/>
  </r>
  <r>
    <x v="2"/>
    <x v="35"/>
    <x v="35"/>
    <x v="15"/>
    <s v="Gasto Federalizado"/>
    <x v="321"/>
    <x v="1035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51047953"/>
    <n v="0"/>
    <n v="0"/>
    <n v="51047953"/>
    <n v="51101716"/>
    <m/>
    <x v="1"/>
    <n v="51101716"/>
  </r>
  <r>
    <x v="2"/>
    <x v="35"/>
    <x v="35"/>
    <x v="15"/>
    <s v="Gasto Federalizado"/>
    <x v="322"/>
    <x v="1036"/>
    <x v="102"/>
    <x v="179"/>
    <n v="2"/>
    <s v="Desarrollo Social"/>
    <n v="0"/>
    <s v="Educación"/>
    <n v="2"/>
    <x v="28"/>
    <x v="7"/>
    <x v="211"/>
    <n v="1"/>
    <s v="Gasto corriente"/>
    <x v="0"/>
    <x v="1"/>
    <x v="0"/>
    <x v="0"/>
    <x v="0"/>
    <x v="0"/>
    <x v="0"/>
    <m/>
    <x v="0"/>
    <x v="0"/>
    <m/>
    <n v="601128"/>
    <n v="0"/>
    <n v="0"/>
    <n v="601128"/>
    <n v="560355"/>
    <m/>
    <x v="1"/>
    <n v="560355"/>
  </r>
  <r>
    <x v="2"/>
    <x v="35"/>
    <x v="35"/>
    <x v="15"/>
    <s v="Gasto Federalizado"/>
    <x v="322"/>
    <x v="1036"/>
    <x v="102"/>
    <x v="179"/>
    <n v="2"/>
    <s v="Desarrollo Social"/>
    <n v="0"/>
    <s v="Educación"/>
    <n v="2"/>
    <x v="28"/>
    <x v="7"/>
    <x v="211"/>
    <n v="1"/>
    <s v="Gasto corriente"/>
    <x v="0"/>
    <x v="0"/>
    <x v="0"/>
    <x v="0"/>
    <x v="0"/>
    <x v="0"/>
    <x v="0"/>
    <m/>
    <x v="0"/>
    <x v="0"/>
    <m/>
    <n v="20595759"/>
    <n v="0"/>
    <n v="0"/>
    <n v="20595759"/>
    <n v="21365874"/>
    <m/>
    <x v="1"/>
    <n v="21365874"/>
  </r>
  <r>
    <x v="2"/>
    <x v="35"/>
    <x v="35"/>
    <x v="15"/>
    <s v="Gasto Federalizado"/>
    <x v="322"/>
    <x v="1036"/>
    <x v="102"/>
    <x v="179"/>
    <n v="2"/>
    <s v="Desarrollo Social"/>
    <n v="0"/>
    <s v="Educación"/>
    <n v="5"/>
    <x v="48"/>
    <x v="16"/>
    <x v="212"/>
    <n v="1"/>
    <s v="Gasto corriente"/>
    <x v="0"/>
    <x v="1"/>
    <x v="0"/>
    <x v="0"/>
    <x v="0"/>
    <x v="0"/>
    <x v="0"/>
    <m/>
    <x v="0"/>
    <x v="0"/>
    <m/>
    <n v="1259835"/>
    <n v="0"/>
    <n v="0"/>
    <n v="1259835"/>
    <n v="1196142"/>
    <m/>
    <x v="1"/>
    <n v="1196142"/>
  </r>
  <r>
    <x v="2"/>
    <x v="35"/>
    <x v="35"/>
    <x v="15"/>
    <s v="Gasto Federalizado"/>
    <x v="322"/>
    <x v="1036"/>
    <x v="102"/>
    <x v="179"/>
    <n v="2"/>
    <s v="Desarrollo Social"/>
    <n v="0"/>
    <s v="Educación"/>
    <n v="5"/>
    <x v="48"/>
    <x v="16"/>
    <x v="212"/>
    <n v="1"/>
    <s v="Gasto corriente"/>
    <x v="0"/>
    <x v="0"/>
    <x v="0"/>
    <x v="0"/>
    <x v="0"/>
    <x v="0"/>
    <x v="0"/>
    <m/>
    <x v="0"/>
    <x v="0"/>
    <m/>
    <n v="40530287"/>
    <n v="0"/>
    <n v="0"/>
    <n v="40530287"/>
    <n v="40575989"/>
    <m/>
    <x v="1"/>
    <n v="40575989"/>
  </r>
  <r>
    <x v="2"/>
    <x v="35"/>
    <x v="35"/>
    <x v="15"/>
    <s v="Gasto Federalizado"/>
    <x v="323"/>
    <x v="1037"/>
    <x v="102"/>
    <x v="179"/>
    <n v="1"/>
    <s v="Gobierno"/>
    <n v="6"/>
    <s v="Orden, Seguridad y Justicia"/>
    <n v="6"/>
    <x v="11"/>
    <x v="10"/>
    <x v="213"/>
    <n v="1"/>
    <s v="Gasto corriente"/>
    <x v="0"/>
    <x v="0"/>
    <x v="0"/>
    <x v="0"/>
    <x v="0"/>
    <x v="0"/>
    <x v="0"/>
    <m/>
    <x v="0"/>
    <x v="0"/>
    <m/>
    <n v="2488228882"/>
    <n v="0"/>
    <n v="0"/>
    <n v="2488228882"/>
    <n v="2562874309"/>
    <m/>
    <x v="1"/>
    <n v="2562874309"/>
  </r>
  <r>
    <x v="2"/>
    <x v="35"/>
    <x v="35"/>
    <x v="15"/>
    <s v="Gasto Federalizado"/>
    <x v="323"/>
    <x v="1037"/>
    <x v="102"/>
    <x v="179"/>
    <n v="1"/>
    <s v="Gobierno"/>
    <n v="6"/>
    <s v="Orden, Seguridad y Justicia"/>
    <n v="6"/>
    <x v="11"/>
    <x v="10"/>
    <x v="213"/>
    <n v="2"/>
    <s v="Gasto de capital"/>
    <x v="0"/>
    <x v="0"/>
    <x v="0"/>
    <x v="0"/>
    <x v="0"/>
    <x v="0"/>
    <x v="0"/>
    <m/>
    <x v="0"/>
    <x v="0"/>
    <m/>
    <n v="4428571118"/>
    <n v="0"/>
    <n v="0"/>
    <n v="4428571118"/>
    <n v="4561425691"/>
    <m/>
    <x v="1"/>
    <n v="4561425691"/>
  </r>
  <r>
    <x v="2"/>
    <x v="35"/>
    <x v="35"/>
    <x v="15"/>
    <s v="Gasto Federalizado"/>
    <x v="324"/>
    <x v="1038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222102655"/>
    <n v="0"/>
    <n v="-6116466"/>
    <n v="215986189"/>
    <n v="241431591"/>
    <m/>
    <x v="138"/>
    <n v="372664791"/>
  </r>
  <r>
    <x v="2"/>
    <x v="35"/>
    <x v="35"/>
    <x v="15"/>
    <s v="Gasto Federalizado"/>
    <x v="325"/>
    <x v="1039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926834975"/>
    <n v="0"/>
    <n v="-16273520"/>
    <n v="910561455"/>
    <n v="986394144"/>
    <m/>
    <x v="1"/>
    <n v="986394144"/>
  </r>
  <r>
    <x v="2"/>
    <x v="35"/>
    <x v="35"/>
    <x v="15"/>
    <s v="Gasto Federalizado"/>
    <x v="326"/>
    <x v="1040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137778442"/>
    <n v="0"/>
    <n v="-2734617"/>
    <n v="135043825"/>
    <n v="145527566"/>
    <m/>
    <x v="1"/>
    <n v="145527566"/>
  </r>
  <r>
    <x v="2"/>
    <x v="35"/>
    <x v="35"/>
    <x v="15"/>
    <s v="Gasto Federalizado"/>
    <x v="327"/>
    <x v="1041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211531285"/>
    <n v="0"/>
    <n v="-573737"/>
    <n v="210957548"/>
    <n v="211967844"/>
    <m/>
    <x v="1"/>
    <n v="211967844"/>
  </r>
  <r>
    <x v="2"/>
    <x v="35"/>
    <x v="35"/>
    <x v="15"/>
    <s v="Gasto Federalizado"/>
    <x v="328"/>
    <x v="1042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509176553"/>
    <n v="0"/>
    <n v="-10463858"/>
    <n v="498712695"/>
    <n v="544392463"/>
    <m/>
    <x v="1"/>
    <n v="544392463"/>
  </r>
  <r>
    <x v="2"/>
    <x v="35"/>
    <x v="35"/>
    <x v="15"/>
    <s v="Gasto Federalizado"/>
    <x v="329"/>
    <x v="1043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168726016"/>
    <n v="0"/>
    <n v="-3466047"/>
    <n v="165259969"/>
    <n v="178835441"/>
    <m/>
    <x v="1"/>
    <n v="178835441"/>
  </r>
  <r>
    <x v="2"/>
    <x v="35"/>
    <x v="35"/>
    <x v="15"/>
    <s v="Gasto Federalizado"/>
    <x v="330"/>
    <x v="1044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1206253015"/>
    <n v="0"/>
    <n v="-60323226"/>
    <n v="1145929789"/>
    <n v="1330515911"/>
    <m/>
    <x v="1"/>
    <n v="1330515911"/>
  </r>
  <r>
    <x v="2"/>
    <x v="35"/>
    <x v="35"/>
    <x v="15"/>
    <s v="Gasto Federalizado"/>
    <x v="331"/>
    <x v="1045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899538177"/>
    <n v="0"/>
    <n v="-18227527"/>
    <n v="881310650"/>
    <n v="952798426"/>
    <m/>
    <x v="1"/>
    <n v="952798426"/>
  </r>
  <r>
    <x v="2"/>
    <x v="35"/>
    <x v="35"/>
    <x v="15"/>
    <s v="Gasto Federalizado"/>
    <x v="332"/>
    <x v="1046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1661105078"/>
    <n v="0"/>
    <n v="-23797394"/>
    <n v="1637307684"/>
    <n v="1723890066"/>
    <m/>
    <x v="1"/>
    <n v="1723890066"/>
  </r>
  <r>
    <x v="2"/>
    <x v="35"/>
    <x v="35"/>
    <x v="15"/>
    <s v="Gasto Federalizado"/>
    <x v="333"/>
    <x v="1047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414449855"/>
    <n v="0"/>
    <n v="-10525504"/>
    <n v="403924351"/>
    <n v="440201261"/>
    <m/>
    <x v="1"/>
    <n v="440201261"/>
  </r>
  <r>
    <x v="2"/>
    <x v="35"/>
    <x v="35"/>
    <x v="15"/>
    <s v="Gasto Federalizado"/>
    <x v="334"/>
    <x v="1048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953066256"/>
    <n v="0"/>
    <n v="-35528181"/>
    <n v="917538075"/>
    <n v="1043599455"/>
    <m/>
    <x v="1"/>
    <n v="1043599455"/>
  </r>
  <r>
    <x v="2"/>
    <x v="35"/>
    <x v="35"/>
    <x v="15"/>
    <s v="Gasto Federalizado"/>
    <x v="335"/>
    <x v="1049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750237897"/>
    <n v="0"/>
    <n v="-34451290"/>
    <n v="715786607"/>
    <n v="856927037"/>
    <m/>
    <x v="1"/>
    <n v="856927037"/>
  </r>
  <r>
    <x v="2"/>
    <x v="35"/>
    <x v="35"/>
    <x v="15"/>
    <s v="Gasto Federalizado"/>
    <x v="336"/>
    <x v="1050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522830984"/>
    <n v="0"/>
    <n v="-19691696"/>
    <n v="503139288"/>
    <n v="561842515"/>
    <m/>
    <x v="1"/>
    <n v="561842515"/>
  </r>
  <r>
    <x v="2"/>
    <x v="35"/>
    <x v="35"/>
    <x v="15"/>
    <s v="Gasto Federalizado"/>
    <x v="337"/>
    <x v="1051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1581080929"/>
    <n v="0"/>
    <n v="-40340307"/>
    <n v="1540740622"/>
    <n v="1692180044"/>
    <m/>
    <x v="1"/>
    <n v="1692180044"/>
  </r>
  <r>
    <x v="2"/>
    <x v="35"/>
    <x v="35"/>
    <x v="15"/>
    <s v="Gasto Federalizado"/>
    <x v="338"/>
    <x v="1052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3180099370"/>
    <n v="0"/>
    <n v="-124739301"/>
    <n v="3055360069"/>
    <n v="3527311488"/>
    <m/>
    <x v="1"/>
    <n v="3527311488"/>
  </r>
  <r>
    <x v="2"/>
    <x v="35"/>
    <x v="35"/>
    <x v="15"/>
    <s v="Gasto Federalizado"/>
    <x v="339"/>
    <x v="1053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886585764"/>
    <n v="0"/>
    <n v="-35162511"/>
    <n v="851423253"/>
    <n v="962273472"/>
    <m/>
    <x v="1"/>
    <n v="962273472"/>
  </r>
  <r>
    <x v="2"/>
    <x v="35"/>
    <x v="35"/>
    <x v="15"/>
    <s v="Gasto Federalizado"/>
    <x v="340"/>
    <x v="1054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306557151"/>
    <n v="0"/>
    <n v="-13090488"/>
    <n v="293466663"/>
    <n v="351469109"/>
    <m/>
    <x v="1"/>
    <n v="351469109"/>
  </r>
  <r>
    <x v="2"/>
    <x v="35"/>
    <x v="35"/>
    <x v="15"/>
    <s v="Gasto Federalizado"/>
    <x v="341"/>
    <x v="1055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278947298"/>
    <n v="0"/>
    <n v="-8225836"/>
    <n v="270721462"/>
    <n v="300495371"/>
    <m/>
    <x v="1"/>
    <n v="300495371"/>
  </r>
  <r>
    <x v="2"/>
    <x v="35"/>
    <x v="35"/>
    <x v="15"/>
    <s v="Gasto Federalizado"/>
    <x v="342"/>
    <x v="1056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922841504"/>
    <n v="0"/>
    <n v="-12988851"/>
    <n v="909852653"/>
    <n v="959720478"/>
    <m/>
    <x v="1"/>
    <n v="959720478"/>
  </r>
  <r>
    <x v="2"/>
    <x v="35"/>
    <x v="35"/>
    <x v="15"/>
    <s v="Gasto Federalizado"/>
    <x v="343"/>
    <x v="1057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762901065"/>
    <n v="0"/>
    <n v="-43068889"/>
    <n v="719832176"/>
    <n v="859512187"/>
    <m/>
    <x v="1"/>
    <n v="859512187"/>
  </r>
  <r>
    <x v="2"/>
    <x v="35"/>
    <x v="35"/>
    <x v="15"/>
    <s v="Gasto Federalizado"/>
    <x v="344"/>
    <x v="1058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1184585386"/>
    <n v="0"/>
    <n v="-48895060"/>
    <n v="1135690326"/>
    <n v="1312502859"/>
    <m/>
    <x v="1"/>
    <n v="1312502859"/>
  </r>
  <r>
    <x v="2"/>
    <x v="35"/>
    <x v="35"/>
    <x v="15"/>
    <s v="Gasto Federalizado"/>
    <x v="345"/>
    <x v="1059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344588665"/>
    <n v="0"/>
    <n v="-8236719"/>
    <n v="336351946"/>
    <n v="366082032"/>
    <m/>
    <x v="1"/>
    <n v="366082032"/>
  </r>
  <r>
    <x v="2"/>
    <x v="35"/>
    <x v="35"/>
    <x v="15"/>
    <s v="Gasto Federalizado"/>
    <x v="346"/>
    <x v="1060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213044270"/>
    <n v="0"/>
    <n v="-5445603"/>
    <n v="207598667"/>
    <n v="232879112"/>
    <m/>
    <x v="1"/>
    <n v="232879112"/>
  </r>
  <r>
    <x v="2"/>
    <x v="35"/>
    <x v="35"/>
    <x v="15"/>
    <s v="Gasto Federalizado"/>
    <x v="347"/>
    <x v="1061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492038306"/>
    <n v="0"/>
    <n v="-17505159"/>
    <n v="474533147"/>
    <n v="534189366"/>
    <m/>
    <x v="1"/>
    <n v="534189366"/>
  </r>
  <r>
    <x v="2"/>
    <x v="35"/>
    <x v="35"/>
    <x v="15"/>
    <s v="Gasto Federalizado"/>
    <x v="348"/>
    <x v="1062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663171923"/>
    <n v="0"/>
    <n v="-18336055"/>
    <n v="644835868"/>
    <n v="706811331"/>
    <m/>
    <x v="1"/>
    <n v="706811331"/>
  </r>
  <r>
    <x v="2"/>
    <x v="35"/>
    <x v="35"/>
    <x v="15"/>
    <s v="Gasto Federalizado"/>
    <x v="349"/>
    <x v="1063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668337646"/>
    <n v="0"/>
    <n v="-12621887"/>
    <n v="655715759"/>
    <n v="707836645"/>
    <m/>
    <x v="1"/>
    <n v="707836645"/>
  </r>
  <r>
    <x v="2"/>
    <x v="35"/>
    <x v="35"/>
    <x v="15"/>
    <s v="Gasto Federalizado"/>
    <x v="350"/>
    <x v="1064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492411351"/>
    <n v="0"/>
    <n v="-7238009"/>
    <n v="485173342"/>
    <n v="496323706"/>
    <m/>
    <x v="1"/>
    <n v="496323706"/>
  </r>
  <r>
    <x v="2"/>
    <x v="35"/>
    <x v="35"/>
    <x v="15"/>
    <s v="Gasto Federalizado"/>
    <x v="351"/>
    <x v="1065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660216811"/>
    <n v="0"/>
    <n v="-15378577"/>
    <n v="644838234"/>
    <n v="697273913"/>
    <m/>
    <x v="1"/>
    <n v="697273913"/>
  </r>
  <r>
    <x v="2"/>
    <x v="35"/>
    <x v="35"/>
    <x v="15"/>
    <s v="Gasto Federalizado"/>
    <x v="352"/>
    <x v="1066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263221012"/>
    <n v="0"/>
    <n v="-12344226"/>
    <n v="250876786"/>
    <n v="298111485"/>
    <m/>
    <x v="1"/>
    <n v="298111485"/>
  </r>
  <r>
    <x v="2"/>
    <x v="35"/>
    <x v="35"/>
    <x v="15"/>
    <s v="Gasto Federalizado"/>
    <x v="353"/>
    <x v="1067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1598652232"/>
    <n v="0"/>
    <n v="-60098571"/>
    <n v="1538553661"/>
    <n v="1749400573"/>
    <m/>
    <x v="1"/>
    <n v="1749400573"/>
  </r>
  <r>
    <x v="2"/>
    <x v="35"/>
    <x v="35"/>
    <x v="15"/>
    <s v="Gasto Federalizado"/>
    <x v="354"/>
    <x v="1068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482101478"/>
    <n v="0"/>
    <n v="-13785351"/>
    <n v="468316127"/>
    <n v="520052394"/>
    <m/>
    <x v="1"/>
    <n v="520052394"/>
  </r>
  <r>
    <x v="2"/>
    <x v="35"/>
    <x v="35"/>
    <x v="15"/>
    <s v="Gasto Federalizado"/>
    <x v="355"/>
    <x v="1069"/>
    <x v="102"/>
    <x v="179"/>
    <n v="2"/>
    <s v="Desarrollo Social"/>
    <n v="3"/>
    <s v="Urbanización, Vivienda y Desarrollo Regional"/>
    <n v="3"/>
    <x v="70"/>
    <x v="14"/>
    <x v="214"/>
    <n v="2"/>
    <s v="Gasto de capital"/>
    <x v="0"/>
    <x v="0"/>
    <x v="0"/>
    <x v="0"/>
    <x v="0"/>
    <x v="0"/>
    <x v="0"/>
    <m/>
    <x v="0"/>
    <x v="0"/>
    <m/>
    <n v="364461451"/>
    <n v="0"/>
    <n v="-13336537"/>
    <n v="351124914"/>
    <n v="393758915"/>
    <m/>
    <x v="1"/>
    <n v="393758915"/>
  </r>
  <r>
    <x v="2"/>
    <x v="36"/>
    <x v="36"/>
    <x v="18"/>
    <s v="Costo financiero, deuda o apoyos a deudores y ahorradores de la banca"/>
    <x v="2"/>
    <x v="1070"/>
    <x v="4"/>
    <x v="182"/>
    <n v="4"/>
    <s v="Otras"/>
    <n v="4"/>
    <s v="Apoyo a Ahorradores y Deudores de la Banca"/>
    <n v="1"/>
    <x v="84"/>
    <x v="1"/>
    <x v="215"/>
    <n v="1"/>
    <s v="Gasto corriente"/>
    <x v="2"/>
    <x v="0"/>
    <x v="0"/>
    <x v="0"/>
    <x v="0"/>
    <x v="0"/>
    <x v="0"/>
    <m/>
    <x v="0"/>
    <x v="0"/>
    <m/>
    <n v="100"/>
    <n v="0"/>
    <n v="0"/>
    <n v="100"/>
    <n v="100"/>
    <m/>
    <x v="1"/>
    <n v="100"/>
  </r>
  <r>
    <x v="2"/>
    <x v="36"/>
    <x v="36"/>
    <x v="18"/>
    <s v="Costo financiero, deuda o apoyos a deudores y ahorradores de la banca"/>
    <x v="3"/>
    <x v="1071"/>
    <x v="4"/>
    <x v="182"/>
    <n v="4"/>
    <s v="Otras"/>
    <n v="4"/>
    <s v="Apoyo a Ahorradores y Deudores de la Banca"/>
    <n v="1"/>
    <x v="84"/>
    <x v="1"/>
    <x v="215"/>
    <n v="1"/>
    <s v="Gasto corriente"/>
    <x v="2"/>
    <x v="0"/>
    <x v="0"/>
    <x v="0"/>
    <x v="0"/>
    <x v="0"/>
    <x v="0"/>
    <m/>
    <x v="0"/>
    <x v="0"/>
    <m/>
    <n v="2433900000"/>
    <n v="0"/>
    <n v="0"/>
    <n v="2433900000"/>
    <n v="4046400000"/>
    <m/>
    <x v="1"/>
    <n v="4046400000"/>
  </r>
  <r>
    <x v="2"/>
    <x v="36"/>
    <x v="36"/>
    <x v="18"/>
    <s v="Costo financiero, deuda o apoyos a deudores y ahorradores de la banca"/>
    <x v="4"/>
    <x v="1072"/>
    <x v="4"/>
    <x v="182"/>
    <n v="4"/>
    <s v="Otras"/>
    <n v="4"/>
    <s v="Apoyo a Ahorradores y Deudores de la Banca"/>
    <n v="1"/>
    <x v="84"/>
    <x v="1"/>
    <x v="215"/>
    <n v="1"/>
    <s v="Gasto corriente"/>
    <x v="2"/>
    <x v="0"/>
    <x v="0"/>
    <x v="0"/>
    <x v="0"/>
    <x v="0"/>
    <x v="0"/>
    <m/>
    <x v="0"/>
    <x v="0"/>
    <m/>
    <n v="1026000"/>
    <n v="0"/>
    <n v="0"/>
    <n v="1026000"/>
    <n v="45000"/>
    <m/>
    <x v="1"/>
    <n v="45000"/>
  </r>
  <r>
    <x v="2"/>
    <x v="36"/>
    <x v="36"/>
    <x v="18"/>
    <s v="Costo financiero, deuda o apoyos a deudores y ahorradores de la banca"/>
    <x v="5"/>
    <x v="1073"/>
    <x v="4"/>
    <x v="182"/>
    <n v="4"/>
    <s v="Otras"/>
    <n v="4"/>
    <s v="Apoyo a Ahorradores y Deudores de la Banca"/>
    <n v="3"/>
    <x v="85"/>
    <x v="1"/>
    <x v="215"/>
    <n v="1"/>
    <s v="Gasto corriente"/>
    <x v="2"/>
    <x v="0"/>
    <x v="0"/>
    <x v="0"/>
    <x v="0"/>
    <x v="0"/>
    <x v="0"/>
    <m/>
    <x v="0"/>
    <x v="0"/>
    <m/>
    <n v="100"/>
    <n v="0"/>
    <n v="0"/>
    <n v="100"/>
    <n v="100"/>
    <m/>
    <x v="1"/>
    <n v="100"/>
  </r>
  <r>
    <x v="2"/>
    <x v="36"/>
    <x v="36"/>
    <x v="18"/>
    <s v="Costo financiero, deuda o apoyos a deudores y ahorradores de la banca"/>
    <x v="6"/>
    <x v="1074"/>
    <x v="4"/>
    <x v="182"/>
    <n v="4"/>
    <s v="Otras"/>
    <n v="4"/>
    <s v="Apoyo a Ahorradores y Deudores de la Banca"/>
    <n v="3"/>
    <x v="85"/>
    <x v="1"/>
    <x v="215"/>
    <n v="1"/>
    <s v="Gasto corriente"/>
    <x v="2"/>
    <x v="0"/>
    <x v="0"/>
    <x v="0"/>
    <x v="0"/>
    <x v="0"/>
    <x v="0"/>
    <m/>
    <x v="0"/>
    <x v="0"/>
    <m/>
    <n v="100"/>
    <n v="0"/>
    <n v="0"/>
    <n v="100"/>
    <n v="100"/>
    <m/>
    <x v="1"/>
    <n v="100"/>
  </r>
  <r>
    <x v="2"/>
    <x v="36"/>
    <x v="36"/>
    <x v="18"/>
    <s v="Costo financiero, deuda o apoyos a deudores y ahorradores de la banca"/>
    <x v="7"/>
    <x v="1075"/>
    <x v="4"/>
    <x v="182"/>
    <n v="4"/>
    <s v="Otras"/>
    <n v="4"/>
    <s v="Apoyo a Ahorradores y Deudores de la Banca"/>
    <n v="3"/>
    <x v="85"/>
    <x v="1"/>
    <x v="215"/>
    <n v="1"/>
    <s v="Gasto corriente"/>
    <x v="2"/>
    <x v="0"/>
    <x v="0"/>
    <x v="0"/>
    <x v="0"/>
    <x v="0"/>
    <x v="0"/>
    <m/>
    <x v="0"/>
    <x v="0"/>
    <m/>
    <n v="100"/>
    <n v="0"/>
    <n v="0"/>
    <n v="100"/>
    <n v="100"/>
    <m/>
    <x v="1"/>
    <n v="100"/>
  </r>
  <r>
    <x v="2"/>
    <x v="36"/>
    <x v="36"/>
    <x v="18"/>
    <s v="Costo financiero, deuda o apoyos a deudores y ahorradores de la banca"/>
    <x v="8"/>
    <x v="1076"/>
    <x v="4"/>
    <x v="182"/>
    <n v="4"/>
    <s v="Otras"/>
    <n v="4"/>
    <s v="Apoyo a Ahorradores y Deudores de la Banca"/>
    <n v="3"/>
    <x v="85"/>
    <x v="1"/>
    <x v="215"/>
    <n v="1"/>
    <s v="Gasto corriente"/>
    <x v="2"/>
    <x v="0"/>
    <x v="0"/>
    <x v="0"/>
    <x v="0"/>
    <x v="0"/>
    <x v="0"/>
    <m/>
    <x v="0"/>
    <x v="0"/>
    <m/>
    <n v="100"/>
    <n v="0"/>
    <n v="0"/>
    <n v="100"/>
    <n v="1101700000"/>
    <m/>
    <x v="1"/>
    <n v="1101700000"/>
  </r>
  <r>
    <x v="2"/>
    <x v="36"/>
    <x v="36"/>
    <x v="18"/>
    <s v="Costo financiero, deuda o apoyos a deudores y ahorradores de la banca"/>
    <x v="9"/>
    <x v="1077"/>
    <x v="4"/>
    <x v="182"/>
    <n v="4"/>
    <s v="Otras"/>
    <n v="4"/>
    <s v="Apoyo a Ahorradores y Deudores de la Banca"/>
    <n v="2"/>
    <x v="19"/>
    <x v="1"/>
    <x v="215"/>
    <n v="1"/>
    <s v="Gasto corriente"/>
    <x v="2"/>
    <x v="0"/>
    <x v="0"/>
    <x v="0"/>
    <x v="0"/>
    <x v="0"/>
    <x v="0"/>
    <m/>
    <x v="0"/>
    <x v="0"/>
    <m/>
    <n v="100"/>
    <n v="0"/>
    <n v="0"/>
    <n v="100"/>
    <n v="100"/>
    <m/>
    <x v="1"/>
    <n v="100"/>
  </r>
  <r>
    <x v="2"/>
    <x v="36"/>
    <x v="36"/>
    <x v="18"/>
    <s v="Costo financiero, deuda o apoyos a deudores y ahorradores de la banca"/>
    <x v="10"/>
    <x v="1078"/>
    <x v="4"/>
    <x v="182"/>
    <n v="4"/>
    <s v="Otras"/>
    <n v="4"/>
    <s v="Apoyo a Ahorradores y Deudores de la Banca"/>
    <n v="2"/>
    <x v="19"/>
    <x v="1"/>
    <x v="215"/>
    <n v="1"/>
    <s v="Gasto corriente"/>
    <x v="2"/>
    <x v="0"/>
    <x v="0"/>
    <x v="0"/>
    <x v="0"/>
    <x v="0"/>
    <x v="0"/>
    <m/>
    <x v="0"/>
    <x v="0"/>
    <m/>
    <n v="20760"/>
    <n v="0"/>
    <n v="0"/>
    <n v="20760"/>
    <n v="100"/>
    <m/>
    <x v="1"/>
    <n v="100"/>
  </r>
  <r>
    <x v="2"/>
    <x v="36"/>
    <x v="36"/>
    <x v="18"/>
    <s v="Costo financiero, deuda o apoyos a deudores y ahorradores de la banca"/>
    <x v="12"/>
    <x v="1079"/>
    <x v="4"/>
    <x v="182"/>
    <n v="4"/>
    <s v="Otras"/>
    <n v="4"/>
    <s v="Apoyo a Ahorradores y Deudores de la Banca"/>
    <n v="1"/>
    <x v="84"/>
    <x v="1"/>
    <x v="215"/>
    <n v="1"/>
    <s v="Gasto corriente"/>
    <x v="2"/>
    <x v="0"/>
    <x v="0"/>
    <x v="0"/>
    <x v="0"/>
    <x v="0"/>
    <x v="0"/>
    <m/>
    <x v="0"/>
    <x v="0"/>
    <m/>
    <n v="11327500000"/>
    <n v="0"/>
    <n v="0"/>
    <n v="11327500000"/>
    <n v="11516700000"/>
    <m/>
    <x v="1"/>
    <n v="11516700000"/>
  </r>
  <r>
    <x v="3"/>
    <x v="37"/>
    <x v="37"/>
    <x v="4"/>
    <s v="Prestación de Servicios Públicos"/>
    <x v="2"/>
    <x v="1080"/>
    <x v="465"/>
    <x v="1048"/>
    <n v="2"/>
    <s v="Desarrollo Social"/>
    <n v="1"/>
    <s v="Salud"/>
    <n v="2"/>
    <x v="30"/>
    <x v="1"/>
    <x v="216"/>
    <n v="1"/>
    <s v="Gasto corriente"/>
    <x v="0"/>
    <x v="0"/>
    <x v="0"/>
    <x v="0"/>
    <x v="0"/>
    <x v="0"/>
    <x v="0"/>
    <m/>
    <x v="0"/>
    <x v="0"/>
    <m/>
    <n v="264998173"/>
    <n v="0"/>
    <n v="0"/>
    <n v="264998173"/>
    <n v="400060793"/>
    <m/>
    <x v="1"/>
    <n v="400060793"/>
  </r>
  <r>
    <x v="3"/>
    <x v="37"/>
    <x v="37"/>
    <x v="4"/>
    <s v="Prestación de Servicios Públicos"/>
    <x v="3"/>
    <x v="1081"/>
    <x v="465"/>
    <x v="1048"/>
    <n v="2"/>
    <s v="Desarrollo Social"/>
    <n v="1"/>
    <s v="Salud"/>
    <n v="2"/>
    <x v="30"/>
    <x v="1"/>
    <x v="216"/>
    <n v="1"/>
    <s v="Gasto corriente"/>
    <x v="0"/>
    <x v="0"/>
    <x v="0"/>
    <x v="0"/>
    <x v="0"/>
    <x v="0"/>
    <x v="0"/>
    <m/>
    <x v="0"/>
    <x v="0"/>
    <m/>
    <n v="181838364"/>
    <n v="0"/>
    <n v="0"/>
    <n v="181838364"/>
    <n v="215375105"/>
    <m/>
    <x v="1"/>
    <n v="215375105"/>
  </r>
  <r>
    <x v="3"/>
    <x v="37"/>
    <x v="37"/>
    <x v="4"/>
    <s v="Prestación de Servicios Públicos"/>
    <x v="4"/>
    <x v="1082"/>
    <x v="465"/>
    <x v="1048"/>
    <n v="2"/>
    <s v="Desarrollo Social"/>
    <n v="1"/>
    <s v="Salud"/>
    <n v="2"/>
    <x v="30"/>
    <x v="1"/>
    <x v="216"/>
    <n v="1"/>
    <s v="Gasto corriente"/>
    <x v="0"/>
    <x v="0"/>
    <x v="0"/>
    <x v="0"/>
    <x v="0"/>
    <x v="0"/>
    <x v="0"/>
    <m/>
    <x v="0"/>
    <x v="0"/>
    <m/>
    <n v="201234704"/>
    <n v="0"/>
    <n v="0"/>
    <n v="201234704"/>
    <n v="231893506"/>
    <m/>
    <x v="1"/>
    <n v="231893506"/>
  </r>
  <r>
    <x v="3"/>
    <x v="37"/>
    <x v="37"/>
    <x v="4"/>
    <s v="Prestación de Servicios Públicos"/>
    <x v="5"/>
    <x v="1083"/>
    <x v="465"/>
    <x v="1048"/>
    <n v="2"/>
    <s v="Desarrollo Social"/>
    <n v="1"/>
    <s v="Salud"/>
    <n v="2"/>
    <x v="30"/>
    <x v="1"/>
    <x v="216"/>
    <n v="1"/>
    <s v="Gasto corriente"/>
    <x v="0"/>
    <x v="0"/>
    <x v="0"/>
    <x v="0"/>
    <x v="0"/>
    <x v="0"/>
    <x v="0"/>
    <m/>
    <x v="0"/>
    <x v="0"/>
    <m/>
    <n v="85015184"/>
    <n v="0"/>
    <n v="0"/>
    <n v="85015184"/>
    <n v="97327913"/>
    <m/>
    <x v="1"/>
    <n v="97327913"/>
  </r>
  <r>
    <x v="3"/>
    <x v="37"/>
    <x v="37"/>
    <x v="4"/>
    <s v="Prestación de Servicios Públicos"/>
    <x v="6"/>
    <x v="1084"/>
    <x v="465"/>
    <x v="1048"/>
    <n v="2"/>
    <s v="Desarrollo Social"/>
    <n v="1"/>
    <s v="Salud"/>
    <n v="2"/>
    <x v="30"/>
    <x v="1"/>
    <x v="216"/>
    <n v="1"/>
    <s v="Gasto corriente"/>
    <x v="0"/>
    <x v="0"/>
    <x v="0"/>
    <x v="0"/>
    <x v="0"/>
    <x v="0"/>
    <x v="1"/>
    <m/>
    <x v="0"/>
    <x v="0"/>
    <m/>
    <n v="196998429"/>
    <n v="0"/>
    <n v="0"/>
    <n v="196998429"/>
    <n v="227581251"/>
    <m/>
    <x v="1"/>
    <n v="227581251"/>
  </r>
  <r>
    <x v="3"/>
    <x v="37"/>
    <x v="37"/>
    <x v="4"/>
    <s v="Prestación de Servicios Públicos"/>
    <x v="7"/>
    <x v="1085"/>
    <x v="465"/>
    <x v="1048"/>
    <n v="2"/>
    <s v="Desarrollo Social"/>
    <n v="1"/>
    <s v="Salud"/>
    <n v="2"/>
    <x v="30"/>
    <x v="1"/>
    <x v="216"/>
    <n v="1"/>
    <s v="Gasto corriente"/>
    <x v="0"/>
    <x v="0"/>
    <x v="0"/>
    <x v="0"/>
    <x v="0"/>
    <x v="0"/>
    <x v="0"/>
    <m/>
    <x v="0"/>
    <x v="0"/>
    <m/>
    <n v="127244961"/>
    <n v="0"/>
    <n v="0"/>
    <n v="127244961"/>
    <n v="147087035"/>
    <m/>
    <x v="1"/>
    <n v="147087035"/>
  </r>
  <r>
    <x v="3"/>
    <x v="37"/>
    <x v="37"/>
    <x v="4"/>
    <s v="Prestación de Servicios Públicos"/>
    <x v="8"/>
    <x v="1086"/>
    <x v="465"/>
    <x v="1048"/>
    <n v="2"/>
    <s v="Desarrollo Social"/>
    <n v="1"/>
    <s v="Salud"/>
    <n v="2"/>
    <x v="30"/>
    <x v="1"/>
    <x v="216"/>
    <n v="1"/>
    <s v="Gasto corriente"/>
    <x v="0"/>
    <x v="0"/>
    <x v="0"/>
    <x v="0"/>
    <x v="0"/>
    <x v="0"/>
    <x v="0"/>
    <m/>
    <x v="0"/>
    <x v="0"/>
    <m/>
    <n v="694025609"/>
    <n v="0"/>
    <n v="0"/>
    <n v="694025609"/>
    <n v="775348142"/>
    <m/>
    <x v="1"/>
    <n v="775348142"/>
  </r>
  <r>
    <x v="3"/>
    <x v="37"/>
    <x v="37"/>
    <x v="4"/>
    <s v="Prestación de Servicios Públicos"/>
    <x v="10"/>
    <x v="1087"/>
    <x v="465"/>
    <x v="1048"/>
    <n v="2"/>
    <s v="Desarrollo Social"/>
    <n v="1"/>
    <s v="Salud"/>
    <n v="2"/>
    <x v="30"/>
    <x v="0"/>
    <x v="217"/>
    <n v="1"/>
    <s v="Gasto corriente"/>
    <x v="0"/>
    <x v="0"/>
    <x v="0"/>
    <x v="0"/>
    <x v="0"/>
    <x v="0"/>
    <x v="0"/>
    <m/>
    <x v="0"/>
    <x v="0"/>
    <m/>
    <n v="4061014608"/>
    <n v="0"/>
    <n v="0"/>
    <n v="4061014608"/>
    <n v="5266721690"/>
    <m/>
    <x v="1"/>
    <n v="5266721690"/>
  </r>
  <r>
    <x v="3"/>
    <x v="37"/>
    <x v="37"/>
    <x v="4"/>
    <s v="Prestación de Servicios Públicos"/>
    <x v="11"/>
    <x v="1088"/>
    <x v="465"/>
    <x v="1048"/>
    <n v="2"/>
    <s v="Desarrollo Social"/>
    <n v="1"/>
    <s v="Salud"/>
    <n v="2"/>
    <x v="30"/>
    <x v="0"/>
    <x v="217"/>
    <n v="1"/>
    <s v="Gasto corriente"/>
    <x v="0"/>
    <x v="0"/>
    <x v="0"/>
    <x v="0"/>
    <x v="0"/>
    <x v="0"/>
    <x v="0"/>
    <m/>
    <x v="0"/>
    <x v="0"/>
    <m/>
    <n v="4110327204"/>
    <n v="0"/>
    <n v="0"/>
    <n v="4110327204"/>
    <n v="4227446381"/>
    <m/>
    <x v="1"/>
    <n v="4227446381"/>
  </r>
  <r>
    <x v="3"/>
    <x v="37"/>
    <x v="37"/>
    <x v="4"/>
    <s v="Prestación de Servicios Públicos"/>
    <x v="12"/>
    <x v="1089"/>
    <x v="465"/>
    <x v="1048"/>
    <n v="2"/>
    <s v="Desarrollo Social"/>
    <n v="1"/>
    <s v="Salud"/>
    <n v="2"/>
    <x v="30"/>
    <x v="0"/>
    <x v="217"/>
    <n v="1"/>
    <s v="Gasto corriente"/>
    <x v="0"/>
    <x v="0"/>
    <x v="0"/>
    <x v="0"/>
    <x v="0"/>
    <x v="0"/>
    <x v="0"/>
    <m/>
    <x v="0"/>
    <x v="0"/>
    <m/>
    <n v="2647430866"/>
    <n v="0"/>
    <n v="0"/>
    <n v="2647430866"/>
    <n v="2971180360"/>
    <m/>
    <x v="1"/>
    <n v="2971180360"/>
  </r>
  <r>
    <x v="3"/>
    <x v="37"/>
    <x v="37"/>
    <x v="4"/>
    <s v="Prestación de Servicios Públicos"/>
    <x v="13"/>
    <x v="1090"/>
    <x v="465"/>
    <x v="1048"/>
    <n v="2"/>
    <s v="Desarrollo Social"/>
    <n v="1"/>
    <s v="Salud"/>
    <n v="2"/>
    <x v="30"/>
    <x v="0"/>
    <x v="217"/>
    <n v="1"/>
    <s v="Gasto corriente"/>
    <x v="0"/>
    <x v="0"/>
    <x v="0"/>
    <x v="0"/>
    <x v="0"/>
    <x v="0"/>
    <x v="0"/>
    <m/>
    <x v="0"/>
    <x v="0"/>
    <m/>
    <n v="4180071684"/>
    <n v="0"/>
    <n v="0"/>
    <n v="4180071684"/>
    <n v="4429350496"/>
    <m/>
    <x v="1"/>
    <n v="4429350496"/>
  </r>
  <r>
    <x v="3"/>
    <x v="37"/>
    <x v="37"/>
    <x v="4"/>
    <s v="Prestación de Servicios Públicos"/>
    <x v="14"/>
    <x v="1091"/>
    <x v="465"/>
    <x v="1048"/>
    <n v="2"/>
    <s v="Desarrollo Social"/>
    <n v="1"/>
    <s v="Salud"/>
    <n v="2"/>
    <x v="30"/>
    <x v="0"/>
    <x v="217"/>
    <n v="1"/>
    <s v="Gasto corriente"/>
    <x v="0"/>
    <x v="0"/>
    <x v="0"/>
    <x v="0"/>
    <x v="0"/>
    <x v="0"/>
    <x v="0"/>
    <m/>
    <x v="0"/>
    <x v="0"/>
    <m/>
    <n v="1472429535"/>
    <n v="0"/>
    <n v="0"/>
    <n v="1472429535"/>
    <n v="1489408523"/>
    <m/>
    <x v="1"/>
    <n v="1489408523"/>
  </r>
  <r>
    <x v="3"/>
    <x v="37"/>
    <x v="37"/>
    <x v="4"/>
    <s v="Prestación de Servicios Públicos"/>
    <x v="15"/>
    <x v="1092"/>
    <x v="465"/>
    <x v="1048"/>
    <n v="2"/>
    <s v="Desarrollo Social"/>
    <n v="1"/>
    <s v="Salud"/>
    <n v="2"/>
    <x v="30"/>
    <x v="0"/>
    <x v="217"/>
    <n v="1"/>
    <s v="Gasto corriente"/>
    <x v="0"/>
    <x v="0"/>
    <x v="0"/>
    <x v="0"/>
    <x v="0"/>
    <x v="0"/>
    <x v="0"/>
    <m/>
    <x v="0"/>
    <x v="0"/>
    <m/>
    <n v="107364893"/>
    <n v="0"/>
    <n v="0"/>
    <n v="107364893"/>
    <n v="91966039"/>
    <m/>
    <x v="1"/>
    <n v="91966039"/>
  </r>
  <r>
    <x v="3"/>
    <x v="37"/>
    <x v="37"/>
    <x v="4"/>
    <s v="Prestación de Servicios Públicos"/>
    <x v="16"/>
    <x v="511"/>
    <x v="465"/>
    <x v="1048"/>
    <n v="2"/>
    <s v="Desarrollo Social"/>
    <n v="1"/>
    <s v="Salud"/>
    <n v="2"/>
    <x v="30"/>
    <x v="4"/>
    <x v="218"/>
    <n v="1"/>
    <s v="Gasto corriente"/>
    <x v="0"/>
    <x v="0"/>
    <x v="0"/>
    <x v="0"/>
    <x v="0"/>
    <x v="0"/>
    <x v="0"/>
    <m/>
    <x v="0"/>
    <x v="0"/>
    <m/>
    <n v="48815911"/>
    <n v="0"/>
    <n v="0"/>
    <n v="48815911"/>
    <n v="64489095"/>
    <m/>
    <x v="1"/>
    <n v="64489095"/>
  </r>
  <r>
    <x v="3"/>
    <x v="37"/>
    <x v="37"/>
    <x v="4"/>
    <s v="Prestación de Servicios Públicos"/>
    <x v="17"/>
    <x v="1093"/>
    <x v="465"/>
    <x v="1048"/>
    <n v="2"/>
    <s v="Desarrollo Social"/>
    <n v="1"/>
    <s v="Salud"/>
    <n v="2"/>
    <x v="30"/>
    <x v="4"/>
    <x v="218"/>
    <n v="1"/>
    <s v="Gasto corriente"/>
    <x v="0"/>
    <x v="0"/>
    <x v="0"/>
    <x v="0"/>
    <x v="0"/>
    <x v="0"/>
    <x v="0"/>
    <m/>
    <x v="0"/>
    <x v="0"/>
    <m/>
    <n v="226400685"/>
    <n v="0"/>
    <n v="0"/>
    <n v="226400685"/>
    <n v="241210411"/>
    <m/>
    <x v="1"/>
    <n v="241210411"/>
  </r>
  <r>
    <x v="3"/>
    <x v="37"/>
    <x v="37"/>
    <x v="4"/>
    <s v="Prestación de Servicios Públicos"/>
    <x v="18"/>
    <x v="1094"/>
    <x v="465"/>
    <x v="1048"/>
    <n v="2"/>
    <s v="Desarrollo Social"/>
    <n v="1"/>
    <s v="Salud"/>
    <n v="2"/>
    <x v="30"/>
    <x v="4"/>
    <x v="218"/>
    <n v="1"/>
    <s v="Gasto corriente"/>
    <x v="0"/>
    <x v="0"/>
    <x v="0"/>
    <x v="0"/>
    <x v="0"/>
    <x v="0"/>
    <x v="0"/>
    <m/>
    <x v="0"/>
    <x v="0"/>
    <m/>
    <n v="409643913"/>
    <n v="0"/>
    <n v="0"/>
    <n v="409643913"/>
    <n v="442476593"/>
    <m/>
    <x v="1"/>
    <n v="442476593"/>
  </r>
  <r>
    <x v="3"/>
    <x v="37"/>
    <x v="37"/>
    <x v="4"/>
    <s v="Prestación de Servicios Públicos"/>
    <x v="19"/>
    <x v="1095"/>
    <x v="465"/>
    <x v="1048"/>
    <n v="2"/>
    <s v="Desarrollo Social"/>
    <n v="1"/>
    <s v="Salud"/>
    <n v="2"/>
    <x v="30"/>
    <x v="4"/>
    <x v="218"/>
    <n v="1"/>
    <s v="Gasto corriente"/>
    <x v="0"/>
    <x v="0"/>
    <x v="0"/>
    <x v="0"/>
    <x v="0"/>
    <x v="0"/>
    <x v="0"/>
    <m/>
    <x v="0"/>
    <x v="0"/>
    <m/>
    <n v="13081051615"/>
    <n v="0"/>
    <n v="0"/>
    <n v="13081051615"/>
    <n v="14080470209"/>
    <m/>
    <x v="1"/>
    <n v="14080470209"/>
  </r>
  <r>
    <x v="3"/>
    <x v="37"/>
    <x v="37"/>
    <x v="4"/>
    <s v="Prestación de Servicios Públicos"/>
    <x v="27"/>
    <x v="1096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n v="64563437"/>
    <n v="0"/>
    <n v="0"/>
    <n v="64563437"/>
    <n v="42481374"/>
    <m/>
    <x v="1"/>
    <n v="42481374"/>
  </r>
  <r>
    <x v="3"/>
    <x v="37"/>
    <x v="37"/>
    <x v="4"/>
    <s v="Prestación de Servicios Públicos"/>
    <x v="28"/>
    <x v="1097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n v="125729824"/>
    <n v="0"/>
    <n v="0"/>
    <n v="125729824"/>
    <n v="77889772"/>
    <m/>
    <x v="1"/>
    <n v="77889772"/>
  </r>
  <r>
    <x v="3"/>
    <x v="37"/>
    <x v="37"/>
    <x v="4"/>
    <s v="Prestación de Servicios Públicos"/>
    <x v="30"/>
    <x v="1098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n v="22963964"/>
    <n v="0"/>
    <n v="0"/>
    <n v="22963964"/>
    <n v="22999922"/>
    <m/>
    <x v="1"/>
    <n v="22999922"/>
  </r>
  <r>
    <x v="3"/>
    <x v="37"/>
    <x v="37"/>
    <x v="4"/>
    <s v="Prestación de Servicios Públicos"/>
    <x v="53"/>
    <x v="1099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n v="44796273"/>
    <n v="0"/>
    <n v="0"/>
    <n v="44796273"/>
    <n v="44261399"/>
    <m/>
    <x v="1"/>
    <n v="44261399"/>
  </r>
  <r>
    <x v="3"/>
    <x v="37"/>
    <x v="37"/>
    <x v="4"/>
    <s v="Prestación de Servicios Públicos"/>
    <x v="54"/>
    <x v="1100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n v="112446212"/>
    <n v="0"/>
    <n v="0"/>
    <n v="112446212"/>
    <n v="466310655"/>
    <m/>
    <x v="1"/>
    <n v="466310655"/>
  </r>
  <r>
    <x v="3"/>
    <x v="37"/>
    <x v="37"/>
    <x v="4"/>
    <s v="Prestación de Servicios Públicos"/>
    <x v="55"/>
    <x v="1101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1"/>
    <m/>
    <x v="0"/>
    <x v="0"/>
    <m/>
    <n v="8126602"/>
    <n v="0"/>
    <n v="0"/>
    <n v="8126602"/>
    <n v="50925432"/>
    <m/>
    <x v="1"/>
    <n v="50925432"/>
  </r>
  <r>
    <x v="3"/>
    <x v="37"/>
    <x v="37"/>
    <x v="4"/>
    <s v="Prestación de Servicios Públicos"/>
    <x v="56"/>
    <x v="1102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n v="137617517"/>
    <n v="0"/>
    <n v="0"/>
    <n v="137617517"/>
    <n v="141853018"/>
    <m/>
    <x v="1"/>
    <n v="141853018"/>
  </r>
  <r>
    <x v="3"/>
    <x v="37"/>
    <x v="37"/>
    <x v="4"/>
    <s v="Prestación de Servicios Públicos"/>
    <x v="57"/>
    <x v="1103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n v="1377102520"/>
    <n v="0"/>
    <n v="0"/>
    <n v="1377102520"/>
    <n v="1126348117"/>
    <m/>
    <x v="1"/>
    <n v="1126348117"/>
  </r>
  <r>
    <x v="3"/>
    <x v="37"/>
    <x v="37"/>
    <x v="4"/>
    <s v="Prestación de Servicios Públicos"/>
    <x v="58"/>
    <x v="1104"/>
    <x v="465"/>
    <x v="1048"/>
    <n v="2"/>
    <s v="Desarrollo Social"/>
    <n v="2"/>
    <s v="Seguridad Social"/>
    <n v="3"/>
    <x v="14"/>
    <x v="16"/>
    <x v="220"/>
    <n v="1"/>
    <s v="Gasto corriente"/>
    <x v="0"/>
    <x v="0"/>
    <x v="0"/>
    <x v="0"/>
    <x v="0"/>
    <x v="0"/>
    <x v="0"/>
    <m/>
    <x v="0"/>
    <x v="0"/>
    <m/>
    <n v="1321791976"/>
    <n v="0"/>
    <n v="0"/>
    <n v="1321791976"/>
    <n v="1242760907"/>
    <m/>
    <x v="1"/>
    <n v="1242760907"/>
  </r>
  <r>
    <x v="3"/>
    <x v="37"/>
    <x v="37"/>
    <x v="4"/>
    <s v="Prestación de Servicios Públicos"/>
    <x v="59"/>
    <x v="1105"/>
    <x v="465"/>
    <x v="1048"/>
    <n v="2"/>
    <s v="Desarrollo Social"/>
    <n v="2"/>
    <s v="Seguridad Social"/>
    <n v="3"/>
    <x v="14"/>
    <x v="16"/>
    <x v="220"/>
    <n v="1"/>
    <s v="Gasto corriente"/>
    <x v="0"/>
    <x v="0"/>
    <x v="0"/>
    <x v="0"/>
    <x v="0"/>
    <x v="0"/>
    <x v="0"/>
    <m/>
    <x v="0"/>
    <x v="0"/>
    <m/>
    <n v="193932876"/>
    <n v="0"/>
    <n v="0"/>
    <n v="193932876"/>
    <n v="183017911"/>
    <m/>
    <x v="1"/>
    <n v="183017911"/>
  </r>
  <r>
    <x v="3"/>
    <x v="37"/>
    <x v="37"/>
    <x v="4"/>
    <s v="Prestación de Servicios Públicos"/>
    <x v="60"/>
    <x v="1106"/>
    <x v="465"/>
    <x v="1048"/>
    <n v="2"/>
    <s v="Desarrollo Social"/>
    <n v="2"/>
    <s v="Seguridad Social"/>
    <n v="3"/>
    <x v="14"/>
    <x v="14"/>
    <x v="221"/>
    <n v="1"/>
    <s v="Gasto corriente"/>
    <x v="0"/>
    <x v="0"/>
    <x v="0"/>
    <x v="0"/>
    <x v="0"/>
    <x v="0"/>
    <x v="0"/>
    <m/>
    <x v="0"/>
    <x v="0"/>
    <m/>
    <n v="39058818"/>
    <n v="0"/>
    <n v="0"/>
    <n v="39058818"/>
    <n v="41132604"/>
    <m/>
    <x v="1"/>
    <n v="41132604"/>
  </r>
  <r>
    <x v="3"/>
    <x v="37"/>
    <x v="37"/>
    <x v="4"/>
    <s v="Prestación de Servicios Públicos"/>
    <x v="66"/>
    <x v="1107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m/>
    <m/>
    <m/>
    <m/>
    <n v="850204"/>
    <m/>
    <x v="1"/>
    <n v="850204"/>
  </r>
  <r>
    <x v="3"/>
    <x v="37"/>
    <x v="37"/>
    <x v="16"/>
    <s v="Pensiones y jubilaciones"/>
    <x v="22"/>
    <x v="1108"/>
    <x v="465"/>
    <x v="1048"/>
    <n v="2"/>
    <s v="Desarrollo Social"/>
    <n v="2"/>
    <s v="Seguridad Social"/>
    <n v="1"/>
    <x v="78"/>
    <x v="11"/>
    <x v="222"/>
    <n v="1"/>
    <s v="Gasto corriente"/>
    <x v="0"/>
    <x v="0"/>
    <x v="0"/>
    <x v="0"/>
    <x v="0"/>
    <x v="0"/>
    <x v="0"/>
    <m/>
    <x v="0"/>
    <x v="0"/>
    <m/>
    <n v="2203077540"/>
    <n v="0"/>
    <n v="0"/>
    <n v="2203077540"/>
    <n v="1230129808"/>
    <m/>
    <x v="1"/>
    <n v="1230129808"/>
  </r>
  <r>
    <x v="3"/>
    <x v="37"/>
    <x v="37"/>
    <x v="16"/>
    <s v="Pensiones y jubilaciones"/>
    <x v="23"/>
    <x v="1109"/>
    <x v="465"/>
    <x v="1048"/>
    <n v="2"/>
    <s v="Desarrollo Social"/>
    <n v="2"/>
    <s v="Seguridad Social"/>
    <n v="1"/>
    <x v="78"/>
    <x v="11"/>
    <x v="222"/>
    <n v="1"/>
    <s v="Gasto corriente"/>
    <x v="0"/>
    <x v="0"/>
    <x v="0"/>
    <x v="0"/>
    <x v="0"/>
    <x v="0"/>
    <x v="0"/>
    <m/>
    <x v="0"/>
    <x v="0"/>
    <m/>
    <n v="24143972"/>
    <n v="0"/>
    <n v="0"/>
    <n v="24143972"/>
    <n v="24383881"/>
    <m/>
    <x v="1"/>
    <n v="24383881"/>
  </r>
  <r>
    <x v="3"/>
    <x v="37"/>
    <x v="37"/>
    <x v="16"/>
    <s v="Pensiones y jubilaciones"/>
    <x v="24"/>
    <x v="1110"/>
    <x v="465"/>
    <x v="1048"/>
    <n v="2"/>
    <s v="Desarrollo Social"/>
    <n v="2"/>
    <s v="Seguridad Social"/>
    <n v="1"/>
    <x v="78"/>
    <x v="15"/>
    <x v="223"/>
    <n v="1"/>
    <s v="Gasto corriente"/>
    <x v="0"/>
    <x v="0"/>
    <x v="0"/>
    <x v="0"/>
    <x v="0"/>
    <x v="0"/>
    <x v="0"/>
    <m/>
    <x v="0"/>
    <x v="0"/>
    <m/>
    <n v="1738900717"/>
    <n v="0"/>
    <n v="0"/>
    <n v="1738900717"/>
    <n v="1810824222"/>
    <m/>
    <x v="1"/>
    <n v="1810824222"/>
  </r>
  <r>
    <x v="3"/>
    <x v="37"/>
    <x v="37"/>
    <x v="16"/>
    <s v="Pensiones y jubilaciones"/>
    <x v="20"/>
    <x v="1111"/>
    <x v="465"/>
    <x v="1048"/>
    <n v="2"/>
    <s v="Desarrollo Social"/>
    <n v="2"/>
    <s v="Seguridad Social"/>
    <n v="1"/>
    <x v="78"/>
    <x v="15"/>
    <x v="223"/>
    <n v="1"/>
    <s v="Gasto corriente"/>
    <x v="0"/>
    <x v="0"/>
    <x v="0"/>
    <x v="0"/>
    <x v="0"/>
    <x v="0"/>
    <x v="0"/>
    <m/>
    <x v="0"/>
    <x v="0"/>
    <m/>
    <n v="79004904"/>
    <n v="0"/>
    <n v="0"/>
    <n v="79004904"/>
    <n v="81523247"/>
    <m/>
    <x v="1"/>
    <n v="81523247"/>
  </r>
  <r>
    <x v="3"/>
    <x v="37"/>
    <x v="37"/>
    <x v="16"/>
    <s v="Pensiones y jubilaciones"/>
    <x v="47"/>
    <x v="1112"/>
    <x v="465"/>
    <x v="1048"/>
    <n v="2"/>
    <s v="Desarrollo Social"/>
    <n v="2"/>
    <s v="Seguridad Social"/>
    <n v="1"/>
    <x v="78"/>
    <x v="9"/>
    <x v="224"/>
    <n v="1"/>
    <s v="Gasto corriente"/>
    <x v="0"/>
    <x v="0"/>
    <x v="0"/>
    <x v="0"/>
    <x v="0"/>
    <x v="0"/>
    <x v="0"/>
    <m/>
    <x v="0"/>
    <x v="0"/>
    <m/>
    <n v="24500283"/>
    <n v="0"/>
    <n v="0"/>
    <n v="24500283"/>
    <n v="24538649"/>
    <m/>
    <x v="1"/>
    <n v="24538649"/>
  </r>
  <r>
    <x v="3"/>
    <x v="37"/>
    <x v="37"/>
    <x v="16"/>
    <s v="Pensiones y jubilaciones"/>
    <x v="0"/>
    <x v="1113"/>
    <x v="465"/>
    <x v="1048"/>
    <n v="2"/>
    <s v="Desarrollo Social"/>
    <n v="2"/>
    <s v="Seguridad Social"/>
    <n v="1"/>
    <x v="78"/>
    <x v="9"/>
    <x v="224"/>
    <n v="1"/>
    <s v="Gasto corriente"/>
    <x v="0"/>
    <x v="0"/>
    <x v="0"/>
    <x v="0"/>
    <x v="0"/>
    <x v="0"/>
    <x v="0"/>
    <m/>
    <x v="0"/>
    <x v="0"/>
    <m/>
    <n v="24500283"/>
    <n v="0"/>
    <n v="0"/>
    <n v="24500283"/>
    <n v="24538649"/>
    <m/>
    <x v="1"/>
    <n v="24538649"/>
  </r>
  <r>
    <x v="3"/>
    <x v="37"/>
    <x v="37"/>
    <x v="16"/>
    <s v="Pensiones y jubilaciones"/>
    <x v="25"/>
    <x v="1114"/>
    <x v="465"/>
    <x v="1048"/>
    <n v="2"/>
    <s v="Desarrollo Social"/>
    <n v="2"/>
    <s v="Seguridad Social"/>
    <n v="1"/>
    <x v="78"/>
    <x v="5"/>
    <x v="225"/>
    <n v="1"/>
    <s v="Gasto corriente"/>
    <x v="0"/>
    <x v="0"/>
    <x v="0"/>
    <x v="0"/>
    <x v="0"/>
    <x v="0"/>
    <x v="0"/>
    <m/>
    <x v="0"/>
    <x v="0"/>
    <m/>
    <n v="57459130412"/>
    <n v="0"/>
    <n v="-5268606641"/>
    <n v="52190523771"/>
    <n v="55687534742"/>
    <n v="2000000000"/>
    <x v="1"/>
    <n v="53687534742"/>
  </r>
  <r>
    <x v="3"/>
    <x v="37"/>
    <x v="37"/>
    <x v="16"/>
    <s v="Pensiones y jubilaciones"/>
    <x v="1"/>
    <x v="1115"/>
    <x v="465"/>
    <x v="1048"/>
    <n v="2"/>
    <s v="Desarrollo Social"/>
    <n v="2"/>
    <s v="Seguridad Social"/>
    <n v="1"/>
    <x v="78"/>
    <x v="5"/>
    <x v="225"/>
    <n v="1"/>
    <s v="Gasto corriente"/>
    <x v="0"/>
    <x v="0"/>
    <x v="0"/>
    <x v="0"/>
    <x v="0"/>
    <x v="0"/>
    <x v="0"/>
    <m/>
    <x v="0"/>
    <x v="0"/>
    <m/>
    <n v="54158309"/>
    <n v="0"/>
    <n v="0"/>
    <n v="54158309"/>
    <n v="55631812"/>
    <m/>
    <x v="1"/>
    <n v="55631812"/>
  </r>
  <r>
    <x v="3"/>
    <x v="37"/>
    <x v="37"/>
    <x v="16"/>
    <s v="Pensiones y jubilaciones"/>
    <x v="31"/>
    <x v="1116"/>
    <x v="465"/>
    <x v="1048"/>
    <n v="2"/>
    <s v="Desarrollo Social"/>
    <n v="2"/>
    <s v="Seguridad Social"/>
    <n v="1"/>
    <x v="78"/>
    <x v="5"/>
    <x v="225"/>
    <n v="1"/>
    <s v="Gasto corriente"/>
    <x v="0"/>
    <x v="0"/>
    <x v="0"/>
    <x v="0"/>
    <x v="0"/>
    <x v="0"/>
    <x v="0"/>
    <m/>
    <x v="0"/>
    <x v="0"/>
    <m/>
    <n v="184990585"/>
    <n v="0"/>
    <n v="0"/>
    <n v="184990585"/>
    <n v="191927757"/>
    <m/>
    <x v="1"/>
    <n v="191927757"/>
  </r>
  <r>
    <x v="3"/>
    <x v="37"/>
    <x v="37"/>
    <x v="0"/>
    <s v="Proyectos de Inversión"/>
    <x v="12"/>
    <x v="444"/>
    <x v="465"/>
    <x v="1048"/>
    <n v="2"/>
    <s v="Desarrollo Social"/>
    <n v="1"/>
    <s v="Salud"/>
    <n v="2"/>
    <x v="30"/>
    <x v="4"/>
    <x v="218"/>
    <n v="2"/>
    <s v="Gasto de capital"/>
    <x v="0"/>
    <x v="0"/>
    <x v="0"/>
    <x v="0"/>
    <x v="0"/>
    <x v="0"/>
    <x v="0"/>
    <m/>
    <x v="0"/>
    <x v="0"/>
    <m/>
    <n v="839989890"/>
    <n v="0"/>
    <n v="0"/>
    <n v="839989890"/>
    <n v="451684150"/>
    <m/>
    <x v="1"/>
    <n v="451684150"/>
  </r>
  <r>
    <x v="3"/>
    <x v="37"/>
    <x v="37"/>
    <x v="0"/>
    <s v="Proyectos de Inversión"/>
    <x v="1"/>
    <x v="1"/>
    <x v="465"/>
    <x v="1048"/>
    <n v="2"/>
    <s v="Desarrollo Social"/>
    <n v="2"/>
    <s v="Seguridad Social"/>
    <n v="3"/>
    <x v="14"/>
    <x v="16"/>
    <x v="220"/>
    <n v="2"/>
    <s v="Gasto de capital"/>
    <x v="0"/>
    <x v="0"/>
    <x v="0"/>
    <x v="0"/>
    <x v="0"/>
    <x v="0"/>
    <x v="0"/>
    <m/>
    <x v="0"/>
    <x v="0"/>
    <m/>
    <n v="60000000"/>
    <n v="0"/>
    <n v="0"/>
    <n v="60000000"/>
    <m/>
    <m/>
    <x v="1"/>
    <n v="0"/>
  </r>
  <r>
    <x v="3"/>
    <x v="37"/>
    <x v="37"/>
    <x v="2"/>
    <s v="Apoyo al proceso presupuestario y para mejorar la eficiencia institucional"/>
    <x v="2"/>
    <x v="34"/>
    <x v="465"/>
    <x v="1048"/>
    <n v="2"/>
    <s v="Desarrollo Social"/>
    <n v="2"/>
    <s v="Seguridad Social"/>
    <n v="3"/>
    <x v="14"/>
    <x v="3"/>
    <x v="12"/>
    <n v="1"/>
    <s v="Gasto corriente"/>
    <x v="0"/>
    <x v="0"/>
    <x v="0"/>
    <x v="0"/>
    <x v="0"/>
    <x v="0"/>
    <x v="0"/>
    <m/>
    <x v="0"/>
    <x v="0"/>
    <m/>
    <n v="778177464"/>
    <n v="0"/>
    <n v="-119938816"/>
    <n v="658238648"/>
    <n v="467773654"/>
    <m/>
    <x v="1"/>
    <n v="467773654"/>
  </r>
  <r>
    <x v="3"/>
    <x v="37"/>
    <x v="37"/>
    <x v="2"/>
    <s v="Apoyo al proceso presupuestario y para mejorar la eficiencia institucional"/>
    <x v="2"/>
    <x v="34"/>
    <x v="465"/>
    <x v="1048"/>
    <n v="2"/>
    <s v="Desarrollo Social"/>
    <n v="2"/>
    <s v="Seguridad Social"/>
    <n v="3"/>
    <x v="14"/>
    <x v="3"/>
    <x v="12"/>
    <n v="2"/>
    <s v="Gasto de capital"/>
    <x v="0"/>
    <x v="0"/>
    <x v="0"/>
    <x v="0"/>
    <x v="0"/>
    <x v="0"/>
    <x v="0"/>
    <m/>
    <x v="0"/>
    <x v="0"/>
    <m/>
    <n v="7146423"/>
    <n v="0"/>
    <n v="0"/>
    <n v="7146423"/>
    <m/>
    <m/>
    <x v="1"/>
    <n v="0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1"/>
    <s v="Salud"/>
    <n v="2"/>
    <x v="30"/>
    <x v="4"/>
    <x v="218"/>
    <n v="1"/>
    <s v="Gasto corriente"/>
    <x v="0"/>
    <x v="0"/>
    <x v="0"/>
    <x v="0"/>
    <x v="0"/>
    <x v="0"/>
    <x v="0"/>
    <m/>
    <x v="0"/>
    <x v="0"/>
    <m/>
    <n v="5019387052"/>
    <n v="0"/>
    <n v="0"/>
    <n v="5019387052"/>
    <n v="6251777423"/>
    <m/>
    <x v="1"/>
    <n v="6251777423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1"/>
    <s v="Salud"/>
    <n v="2"/>
    <x v="30"/>
    <x v="4"/>
    <x v="218"/>
    <n v="2"/>
    <s v="Gasto de capital"/>
    <x v="0"/>
    <x v="0"/>
    <x v="0"/>
    <x v="0"/>
    <x v="0"/>
    <x v="0"/>
    <x v="0"/>
    <m/>
    <x v="0"/>
    <x v="0"/>
    <m/>
    <n v="666545712"/>
    <n v="0"/>
    <n v="0"/>
    <n v="666545712"/>
    <n v="1148315850"/>
    <m/>
    <x v="1"/>
    <n v="1148315850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2"/>
    <s v="Seguridad Social"/>
    <n v="1"/>
    <x v="78"/>
    <x v="6"/>
    <x v="226"/>
    <n v="1"/>
    <s v="Gasto corriente"/>
    <x v="0"/>
    <x v="0"/>
    <x v="0"/>
    <x v="0"/>
    <x v="0"/>
    <x v="0"/>
    <x v="0"/>
    <m/>
    <x v="0"/>
    <x v="0"/>
    <m/>
    <n v="294009565"/>
    <n v="0"/>
    <n v="0"/>
    <n v="294009565"/>
    <n v="324241810"/>
    <m/>
    <x v="1"/>
    <n v="324241810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2"/>
    <s v="Seguridad Social"/>
    <n v="3"/>
    <x v="14"/>
    <x v="7"/>
    <x v="219"/>
    <n v="1"/>
    <s v="Gasto corriente"/>
    <x v="0"/>
    <x v="0"/>
    <x v="0"/>
    <x v="0"/>
    <x v="0"/>
    <x v="0"/>
    <x v="0"/>
    <m/>
    <x v="0"/>
    <x v="0"/>
    <m/>
    <n v="447215312"/>
    <n v="0"/>
    <n v="0"/>
    <n v="447215312"/>
    <n v="486232358"/>
    <m/>
    <x v="1"/>
    <n v="486232358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2"/>
    <s v="Seguridad Social"/>
    <n v="3"/>
    <x v="14"/>
    <x v="7"/>
    <x v="219"/>
    <n v="2"/>
    <s v="Gasto de capital"/>
    <x v="0"/>
    <x v="0"/>
    <x v="0"/>
    <x v="0"/>
    <x v="0"/>
    <x v="0"/>
    <x v="0"/>
    <m/>
    <x v="0"/>
    <x v="0"/>
    <m/>
    <n v="15000000"/>
    <n v="0"/>
    <n v="0"/>
    <n v="15000000"/>
    <m/>
    <m/>
    <x v="1"/>
    <n v="0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2"/>
    <s v="Seguridad Social"/>
    <n v="3"/>
    <x v="14"/>
    <x v="16"/>
    <x v="220"/>
    <n v="1"/>
    <s v="Gasto corriente"/>
    <x v="0"/>
    <x v="0"/>
    <x v="0"/>
    <x v="0"/>
    <x v="0"/>
    <x v="0"/>
    <x v="0"/>
    <m/>
    <x v="0"/>
    <x v="0"/>
    <m/>
    <n v="513890868"/>
    <n v="0"/>
    <n v="0"/>
    <n v="513890868"/>
    <n v="835064002"/>
    <m/>
    <x v="1"/>
    <n v="835064002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2"/>
    <s v="Seguridad Social"/>
    <n v="3"/>
    <x v="14"/>
    <x v="16"/>
    <x v="220"/>
    <n v="2"/>
    <s v="Gasto de capital"/>
    <x v="0"/>
    <x v="0"/>
    <x v="0"/>
    <x v="0"/>
    <x v="0"/>
    <x v="0"/>
    <x v="0"/>
    <m/>
    <x v="0"/>
    <x v="0"/>
    <m/>
    <n v="15000000"/>
    <n v="0"/>
    <n v="0"/>
    <n v="15000000"/>
    <m/>
    <m/>
    <x v="1"/>
    <n v="0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2"/>
    <s v="Seguridad Social"/>
    <n v="3"/>
    <x v="14"/>
    <x v="14"/>
    <x v="221"/>
    <n v="1"/>
    <s v="Gasto corriente"/>
    <x v="0"/>
    <x v="0"/>
    <x v="0"/>
    <x v="0"/>
    <x v="0"/>
    <x v="0"/>
    <x v="0"/>
    <m/>
    <x v="0"/>
    <x v="0"/>
    <m/>
    <n v="47050730"/>
    <n v="0"/>
    <n v="0"/>
    <n v="47050730"/>
    <n v="47858262"/>
    <m/>
    <x v="1"/>
    <n v="47858262"/>
  </r>
  <r>
    <x v="3"/>
    <x v="37"/>
    <x v="37"/>
    <x v="2"/>
    <s v="Apoyo al proceso presupuestario y para mejorar la eficiencia institucional"/>
    <x v="3"/>
    <x v="1117"/>
    <x v="465"/>
    <x v="1048"/>
    <n v="2"/>
    <s v="Desarrollo Social"/>
    <n v="3"/>
    <s v="Urbanización, Vivienda y Desarrollo Regional"/>
    <n v="2"/>
    <x v="23"/>
    <x v="10"/>
    <x v="227"/>
    <n v="1"/>
    <s v="Gasto corriente"/>
    <x v="0"/>
    <x v="0"/>
    <x v="0"/>
    <x v="0"/>
    <x v="0"/>
    <x v="0"/>
    <x v="0"/>
    <m/>
    <x v="0"/>
    <x v="0"/>
    <m/>
    <n v="652870885"/>
    <n v="0"/>
    <n v="0"/>
    <n v="652870885"/>
    <n v="681893597"/>
    <m/>
    <x v="1"/>
    <n v="681893597"/>
  </r>
  <r>
    <x v="3"/>
    <x v="37"/>
    <x v="37"/>
    <x v="2"/>
    <s v="Apoyo al proceso presupuestario y para mejorar la eficiencia institucional"/>
    <x v="4"/>
    <x v="1118"/>
    <x v="465"/>
    <x v="1048"/>
    <n v="2"/>
    <s v="Desarrollo Social"/>
    <n v="2"/>
    <s v="Seguridad Social"/>
    <n v="3"/>
    <x v="14"/>
    <x v="3"/>
    <x v="12"/>
    <n v="1"/>
    <s v="Gasto corriente"/>
    <x v="0"/>
    <x v="0"/>
    <x v="0"/>
    <x v="0"/>
    <x v="0"/>
    <x v="0"/>
    <x v="0"/>
    <m/>
    <x v="0"/>
    <x v="0"/>
    <m/>
    <n v="5533577196"/>
    <n v="0"/>
    <n v="0"/>
    <n v="5533577196"/>
    <n v="5675824614"/>
    <m/>
    <x v="1"/>
    <n v="5675824614"/>
  </r>
  <r>
    <x v="3"/>
    <x v="37"/>
    <x v="37"/>
    <x v="2"/>
    <s v="Apoyo al proceso presupuestario y para mejorar la eficiencia institucional"/>
    <x v="4"/>
    <x v="1118"/>
    <x v="465"/>
    <x v="1048"/>
    <n v="2"/>
    <s v="Desarrollo Social"/>
    <n v="2"/>
    <s v="Seguridad Social"/>
    <n v="3"/>
    <x v="14"/>
    <x v="3"/>
    <x v="12"/>
    <n v="2"/>
    <s v="Gasto de capital"/>
    <x v="0"/>
    <x v="0"/>
    <x v="0"/>
    <x v="0"/>
    <x v="0"/>
    <x v="0"/>
    <x v="0"/>
    <m/>
    <x v="0"/>
    <x v="0"/>
    <m/>
    <n v="25306055"/>
    <n v="0"/>
    <n v="0"/>
    <n v="25306055"/>
    <m/>
    <m/>
    <x v="1"/>
    <n v="0"/>
  </r>
  <r>
    <x v="3"/>
    <x v="37"/>
    <x v="37"/>
    <x v="3"/>
    <s v="Apoyo a la función pública y al mejoramiento de la gestión"/>
    <x v="2"/>
    <x v="42"/>
    <x v="465"/>
    <x v="1048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37089486"/>
    <n v="0"/>
    <n v="-34525610"/>
    <n v="202563876"/>
    <n v="206476656"/>
    <m/>
    <x v="1"/>
    <n v="206476656"/>
  </r>
  <r>
    <x v="3"/>
    <x v="38"/>
    <x v="38"/>
    <x v="4"/>
    <s v="Prestación de Servicios Públicos"/>
    <x v="2"/>
    <x v="1119"/>
    <x v="466"/>
    <x v="1049"/>
    <n v="2"/>
    <s v="Desarrollo Social"/>
    <n v="1"/>
    <s v="Salud"/>
    <n v="2"/>
    <x v="30"/>
    <x v="1"/>
    <x v="228"/>
    <n v="1"/>
    <s v="Gasto corriente"/>
    <x v="0"/>
    <x v="0"/>
    <x v="0"/>
    <x v="0"/>
    <x v="0"/>
    <x v="0"/>
    <x v="0"/>
    <m/>
    <x v="0"/>
    <x v="0"/>
    <m/>
    <n v="2540213153"/>
    <n v="0"/>
    <n v="0"/>
    <n v="2540213153"/>
    <n v="3038174295"/>
    <m/>
    <x v="1"/>
    <n v="3038174295"/>
  </r>
  <r>
    <x v="3"/>
    <x v="38"/>
    <x v="38"/>
    <x v="4"/>
    <s v="Prestación de Servicios Públicos"/>
    <x v="3"/>
    <x v="1120"/>
    <x v="466"/>
    <x v="1049"/>
    <n v="2"/>
    <s v="Desarrollo Social"/>
    <n v="1"/>
    <s v="Salud"/>
    <n v="2"/>
    <x v="30"/>
    <x v="0"/>
    <x v="229"/>
    <n v="1"/>
    <s v="Gasto corriente"/>
    <x v="0"/>
    <x v="0"/>
    <x v="0"/>
    <x v="0"/>
    <x v="0"/>
    <x v="0"/>
    <x v="0"/>
    <m/>
    <x v="0"/>
    <x v="0"/>
    <m/>
    <n v="104110667793"/>
    <n v="0"/>
    <n v="0"/>
    <n v="104110667793"/>
    <n v="124133364493"/>
    <m/>
    <x v="1"/>
    <n v="124133364493"/>
  </r>
  <r>
    <x v="3"/>
    <x v="38"/>
    <x v="38"/>
    <x v="4"/>
    <s v="Prestación de Servicios Públicos"/>
    <x v="4"/>
    <x v="1121"/>
    <x v="466"/>
    <x v="1049"/>
    <n v="2"/>
    <s v="Desarrollo Social"/>
    <n v="1"/>
    <s v="Salud"/>
    <n v="2"/>
    <x v="30"/>
    <x v="0"/>
    <x v="229"/>
    <n v="1"/>
    <s v="Gasto corriente"/>
    <x v="0"/>
    <x v="0"/>
    <x v="0"/>
    <x v="0"/>
    <x v="0"/>
    <x v="0"/>
    <x v="0"/>
    <m/>
    <x v="0"/>
    <x v="0"/>
    <m/>
    <n v="642684607"/>
    <n v="0"/>
    <n v="0"/>
    <n v="642684607"/>
    <n v="766503751"/>
    <m/>
    <x v="1"/>
    <n v="766503751"/>
  </r>
  <r>
    <x v="3"/>
    <x v="38"/>
    <x v="38"/>
    <x v="4"/>
    <s v="Prestación de Servicios Públicos"/>
    <x v="5"/>
    <x v="1122"/>
    <x v="466"/>
    <x v="1049"/>
    <n v="2"/>
    <s v="Desarrollo Social"/>
    <n v="1"/>
    <s v="Salud"/>
    <n v="2"/>
    <x v="30"/>
    <x v="0"/>
    <x v="229"/>
    <n v="1"/>
    <s v="Gasto corriente"/>
    <x v="0"/>
    <x v="0"/>
    <x v="0"/>
    <x v="0"/>
    <x v="0"/>
    <x v="0"/>
    <x v="0"/>
    <m/>
    <x v="0"/>
    <x v="0"/>
    <m/>
    <n v="347720610"/>
    <n v="0"/>
    <n v="0"/>
    <n v="347720610"/>
    <n v="496544671"/>
    <m/>
    <x v="1"/>
    <n v="496544671"/>
  </r>
  <r>
    <x v="3"/>
    <x v="38"/>
    <x v="38"/>
    <x v="4"/>
    <s v="Prestación de Servicios Públicos"/>
    <x v="7"/>
    <x v="1123"/>
    <x v="466"/>
    <x v="1049"/>
    <n v="2"/>
    <s v="Desarrollo Social"/>
    <n v="1"/>
    <s v="Salud"/>
    <n v="3"/>
    <x v="53"/>
    <x v="4"/>
    <x v="230"/>
    <n v="1"/>
    <s v="Gasto corriente"/>
    <x v="0"/>
    <x v="0"/>
    <x v="0"/>
    <x v="0"/>
    <x v="0"/>
    <x v="0"/>
    <x v="0"/>
    <m/>
    <x v="0"/>
    <x v="0"/>
    <m/>
    <n v="4666641713"/>
    <n v="0"/>
    <n v="0"/>
    <n v="4666641713"/>
    <n v="5168355640"/>
    <m/>
    <x v="1"/>
    <n v="5168355640"/>
  </r>
  <r>
    <x v="3"/>
    <x v="38"/>
    <x v="38"/>
    <x v="4"/>
    <s v="Prestación de Servicios Públicos"/>
    <x v="8"/>
    <x v="1124"/>
    <x v="466"/>
    <x v="1049"/>
    <n v="2"/>
    <s v="Desarrollo Social"/>
    <n v="2"/>
    <s v="Seguridad Social"/>
    <n v="3"/>
    <x v="14"/>
    <x v="5"/>
    <x v="231"/>
    <n v="1"/>
    <s v="Gasto corriente"/>
    <x v="0"/>
    <x v="0"/>
    <x v="0"/>
    <x v="0"/>
    <x v="0"/>
    <x v="0"/>
    <x v="1"/>
    <m/>
    <x v="0"/>
    <x v="0"/>
    <m/>
    <n v="8270475083"/>
    <n v="0"/>
    <n v="0"/>
    <n v="8270475083"/>
    <n v="7954943517"/>
    <m/>
    <x v="1"/>
    <n v="7954943517"/>
  </r>
  <r>
    <x v="3"/>
    <x v="38"/>
    <x v="38"/>
    <x v="4"/>
    <s v="Prestación de Servicios Públicos"/>
    <x v="9"/>
    <x v="1125"/>
    <x v="466"/>
    <x v="1049"/>
    <n v="2"/>
    <s v="Desarrollo Social"/>
    <n v="1"/>
    <s v="Salud"/>
    <n v="2"/>
    <x v="30"/>
    <x v="1"/>
    <x v="228"/>
    <n v="1"/>
    <s v="Gasto corriente"/>
    <x v="0"/>
    <x v="0"/>
    <x v="0"/>
    <x v="0"/>
    <x v="0"/>
    <x v="0"/>
    <x v="1"/>
    <m/>
    <x v="0"/>
    <x v="0"/>
    <m/>
    <n v="538886360"/>
    <n v="0"/>
    <n v="0"/>
    <n v="538886360"/>
    <n v="598388853"/>
    <m/>
    <x v="1"/>
    <n v="598388853"/>
  </r>
  <r>
    <x v="3"/>
    <x v="38"/>
    <x v="38"/>
    <x v="4"/>
    <s v="Prestación de Servicios Públicos"/>
    <x v="10"/>
    <x v="1126"/>
    <x v="466"/>
    <x v="1049"/>
    <n v="2"/>
    <s v="Desarrollo Social"/>
    <n v="2"/>
    <s v="Seguridad Social"/>
    <n v="3"/>
    <x v="14"/>
    <x v="9"/>
    <x v="232"/>
    <n v="1"/>
    <s v="Gasto corriente"/>
    <x v="0"/>
    <x v="0"/>
    <x v="0"/>
    <x v="0"/>
    <x v="0"/>
    <x v="0"/>
    <x v="0"/>
    <m/>
    <x v="0"/>
    <x v="0"/>
    <m/>
    <n v="638196847"/>
    <n v="0"/>
    <n v="0"/>
    <n v="638196847"/>
    <n v="712884542"/>
    <m/>
    <x v="1"/>
    <n v="712884542"/>
  </r>
  <r>
    <x v="3"/>
    <x v="38"/>
    <x v="38"/>
    <x v="4"/>
    <s v="Prestación de Servicios Públicos"/>
    <x v="11"/>
    <x v="1127"/>
    <x v="466"/>
    <x v="1049"/>
    <n v="2"/>
    <s v="Desarrollo Social"/>
    <n v="2"/>
    <s v="Seguridad Social"/>
    <n v="3"/>
    <x v="14"/>
    <x v="6"/>
    <x v="233"/>
    <n v="1"/>
    <s v="Gasto corriente"/>
    <x v="0"/>
    <x v="0"/>
    <x v="0"/>
    <x v="0"/>
    <x v="0"/>
    <x v="0"/>
    <x v="0"/>
    <m/>
    <x v="0"/>
    <x v="0"/>
    <m/>
    <n v="778063686"/>
    <n v="0"/>
    <n v="0"/>
    <n v="778063686"/>
    <n v="874025603"/>
    <m/>
    <x v="1"/>
    <n v="874025603"/>
  </r>
  <r>
    <x v="3"/>
    <x v="38"/>
    <x v="38"/>
    <x v="16"/>
    <s v="Pensiones y jubilaciones"/>
    <x v="2"/>
    <x v="1128"/>
    <x v="466"/>
    <x v="1049"/>
    <n v="2"/>
    <s v="Desarrollo Social"/>
    <n v="2"/>
    <s v="Seguridad Social"/>
    <n v="1"/>
    <x v="78"/>
    <x v="15"/>
    <x v="234"/>
    <n v="1"/>
    <s v="Gasto corriente"/>
    <x v="0"/>
    <x v="0"/>
    <x v="0"/>
    <x v="0"/>
    <x v="0"/>
    <x v="0"/>
    <x v="0"/>
    <m/>
    <x v="0"/>
    <x v="0"/>
    <m/>
    <n v="105361600000"/>
    <n v="0"/>
    <n v="0"/>
    <n v="105361600000"/>
    <n v="112086000000"/>
    <m/>
    <x v="1"/>
    <n v="112086000000"/>
  </r>
  <r>
    <x v="3"/>
    <x v="38"/>
    <x v="38"/>
    <x v="16"/>
    <s v="Pensiones y jubilaciones"/>
    <x v="3"/>
    <x v="1129"/>
    <x v="466"/>
    <x v="1049"/>
    <n v="2"/>
    <s v="Desarrollo Social"/>
    <n v="2"/>
    <s v="Seguridad Social"/>
    <n v="1"/>
    <x v="78"/>
    <x v="15"/>
    <x v="234"/>
    <n v="1"/>
    <s v="Gasto corriente"/>
    <x v="0"/>
    <x v="0"/>
    <x v="0"/>
    <x v="0"/>
    <x v="0"/>
    <x v="0"/>
    <x v="0"/>
    <m/>
    <x v="0"/>
    <x v="0"/>
    <m/>
    <n v="10759000000"/>
    <n v="0"/>
    <n v="0"/>
    <n v="10759000000"/>
    <n v="13495508000"/>
    <m/>
    <x v="1"/>
    <n v="13495508000"/>
  </r>
  <r>
    <x v="3"/>
    <x v="38"/>
    <x v="38"/>
    <x v="16"/>
    <s v="Pensiones y jubilaciones"/>
    <x v="4"/>
    <x v="1130"/>
    <x v="466"/>
    <x v="1049"/>
    <n v="2"/>
    <s v="Desarrollo Social"/>
    <n v="2"/>
    <s v="Seguridad Social"/>
    <n v="1"/>
    <x v="78"/>
    <x v="15"/>
    <x v="234"/>
    <n v="1"/>
    <s v="Gasto corriente"/>
    <x v="0"/>
    <x v="0"/>
    <x v="0"/>
    <x v="0"/>
    <x v="0"/>
    <x v="0"/>
    <x v="0"/>
    <m/>
    <x v="0"/>
    <x v="0"/>
    <m/>
    <n v="23092000000"/>
    <n v="0"/>
    <n v="0"/>
    <n v="23092000000"/>
    <n v="20200511213"/>
    <m/>
    <x v="1"/>
    <n v="20200511213"/>
  </r>
  <r>
    <x v="3"/>
    <x v="38"/>
    <x v="38"/>
    <x v="16"/>
    <s v="Pensiones y jubilaciones"/>
    <x v="5"/>
    <x v="1131"/>
    <x v="466"/>
    <x v="1049"/>
    <n v="2"/>
    <s v="Desarrollo Social"/>
    <n v="2"/>
    <s v="Seguridad Social"/>
    <n v="2"/>
    <x v="86"/>
    <x v="15"/>
    <x v="234"/>
    <n v="1"/>
    <s v="Gasto corriente"/>
    <x v="0"/>
    <x v="0"/>
    <x v="0"/>
    <x v="0"/>
    <x v="0"/>
    <x v="0"/>
    <x v="0"/>
    <m/>
    <x v="0"/>
    <x v="0"/>
    <m/>
    <n v="10957000000"/>
    <n v="0"/>
    <n v="0"/>
    <n v="10957000000"/>
    <n v="10813463000"/>
    <m/>
    <x v="1"/>
    <n v="10813463000"/>
  </r>
  <r>
    <x v="3"/>
    <x v="38"/>
    <x v="38"/>
    <x v="0"/>
    <s v="Proyectos de Inversión"/>
    <x v="13"/>
    <x v="471"/>
    <x v="466"/>
    <x v="1049"/>
    <n v="2"/>
    <s v="Desarrollo Social"/>
    <n v="1"/>
    <s v="Salud"/>
    <n v="2"/>
    <x v="30"/>
    <x v="0"/>
    <x v="229"/>
    <n v="2"/>
    <s v="Gasto de capital"/>
    <x v="0"/>
    <x v="0"/>
    <x v="0"/>
    <x v="0"/>
    <x v="0"/>
    <x v="0"/>
    <x v="0"/>
    <m/>
    <x v="0"/>
    <x v="0"/>
    <m/>
    <n v="4402000000"/>
    <n v="0"/>
    <n v="0"/>
    <n v="4402000000"/>
    <n v="4034712300"/>
    <m/>
    <x v="1"/>
    <n v="4034712300"/>
  </r>
  <r>
    <x v="3"/>
    <x v="38"/>
    <x v="38"/>
    <x v="0"/>
    <s v="Proyectos de Inversión"/>
    <x v="1"/>
    <x v="1"/>
    <x v="466"/>
    <x v="1049"/>
    <n v="2"/>
    <s v="Desarrollo Social"/>
    <n v="1"/>
    <s v="Salud"/>
    <n v="2"/>
    <x v="30"/>
    <x v="0"/>
    <x v="229"/>
    <n v="2"/>
    <s v="Gasto de capital"/>
    <x v="0"/>
    <x v="0"/>
    <x v="0"/>
    <x v="0"/>
    <x v="0"/>
    <x v="0"/>
    <x v="0"/>
    <m/>
    <x v="0"/>
    <x v="0"/>
    <m/>
    <m/>
    <m/>
    <m/>
    <m/>
    <n v="115287700"/>
    <m/>
    <x v="1"/>
    <n v="115287700"/>
  </r>
  <r>
    <x v="3"/>
    <x v="38"/>
    <x v="38"/>
    <x v="0"/>
    <s v="Proyectos de Inversión"/>
    <x v="26"/>
    <x v="1132"/>
    <x v="466"/>
    <x v="1049"/>
    <n v="2"/>
    <s v="Desarrollo Social"/>
    <n v="1"/>
    <s v="Salud"/>
    <n v="2"/>
    <x v="30"/>
    <x v="0"/>
    <x v="229"/>
    <n v="2"/>
    <s v="Gasto de capital"/>
    <x v="0"/>
    <x v="0"/>
    <x v="0"/>
    <x v="0"/>
    <x v="0"/>
    <x v="0"/>
    <x v="0"/>
    <m/>
    <x v="0"/>
    <x v="0"/>
    <m/>
    <n v="2086000000"/>
    <n v="0"/>
    <n v="0"/>
    <n v="2086000000"/>
    <n v="1188000000"/>
    <m/>
    <x v="1"/>
    <n v="1188000000"/>
  </r>
  <r>
    <x v="3"/>
    <x v="38"/>
    <x v="38"/>
    <x v="2"/>
    <s v="Apoyo al proceso presupuestario y para mejorar la eficiencia institucional"/>
    <x v="2"/>
    <x v="34"/>
    <x v="466"/>
    <x v="1049"/>
    <n v="2"/>
    <s v="Desarrollo Social"/>
    <n v="1"/>
    <s v="Salud"/>
    <n v="2"/>
    <x v="30"/>
    <x v="3"/>
    <x v="235"/>
    <n v="1"/>
    <s v="Gasto corriente"/>
    <x v="0"/>
    <x v="0"/>
    <x v="0"/>
    <x v="0"/>
    <x v="0"/>
    <x v="0"/>
    <x v="0"/>
    <m/>
    <x v="0"/>
    <x v="0"/>
    <m/>
    <n v="42302882224"/>
    <n v="0"/>
    <n v="0"/>
    <n v="42302882224"/>
    <n v="34989515487"/>
    <m/>
    <x v="1"/>
    <n v="34989515487"/>
  </r>
  <r>
    <x v="3"/>
    <x v="38"/>
    <x v="38"/>
    <x v="2"/>
    <s v="Apoyo al proceso presupuestario y para mejorar la eficiencia institucional"/>
    <x v="2"/>
    <x v="34"/>
    <x v="466"/>
    <x v="1049"/>
    <n v="2"/>
    <s v="Desarrollo Social"/>
    <n v="1"/>
    <s v="Salud"/>
    <n v="2"/>
    <x v="30"/>
    <x v="0"/>
    <x v="229"/>
    <n v="1"/>
    <s v="Gasto corriente"/>
    <x v="0"/>
    <x v="0"/>
    <x v="0"/>
    <x v="0"/>
    <x v="0"/>
    <x v="0"/>
    <x v="0"/>
    <m/>
    <x v="0"/>
    <x v="0"/>
    <m/>
    <n v="538350183"/>
    <n v="0"/>
    <n v="0"/>
    <n v="538350183"/>
    <n v="918272985"/>
    <m/>
    <x v="1"/>
    <n v="918272985"/>
  </r>
  <r>
    <x v="3"/>
    <x v="38"/>
    <x v="38"/>
    <x v="2"/>
    <s v="Apoyo al proceso presupuestario y para mejorar la eficiencia institucional"/>
    <x v="2"/>
    <x v="34"/>
    <x v="466"/>
    <x v="1049"/>
    <n v="2"/>
    <s v="Desarrollo Social"/>
    <n v="1"/>
    <s v="Salud"/>
    <n v="3"/>
    <x v="53"/>
    <x v="4"/>
    <x v="230"/>
    <n v="1"/>
    <s v="Gasto corriente"/>
    <x v="0"/>
    <x v="0"/>
    <x v="0"/>
    <x v="0"/>
    <x v="0"/>
    <x v="0"/>
    <x v="0"/>
    <m/>
    <x v="0"/>
    <x v="0"/>
    <m/>
    <n v="39929753"/>
    <n v="0"/>
    <n v="0"/>
    <n v="39929753"/>
    <n v="117478860"/>
    <m/>
    <x v="1"/>
    <n v="117478860"/>
  </r>
  <r>
    <x v="3"/>
    <x v="38"/>
    <x v="38"/>
    <x v="2"/>
    <s v="Apoyo al proceso presupuestario y para mejorar la eficiencia institucional"/>
    <x v="2"/>
    <x v="34"/>
    <x v="466"/>
    <x v="1049"/>
    <n v="2"/>
    <s v="Desarrollo Social"/>
    <n v="2"/>
    <s v="Seguridad Social"/>
    <n v="1"/>
    <x v="78"/>
    <x v="15"/>
    <x v="234"/>
    <n v="1"/>
    <s v="Gasto corriente"/>
    <x v="0"/>
    <x v="0"/>
    <x v="0"/>
    <x v="0"/>
    <x v="0"/>
    <x v="0"/>
    <x v="0"/>
    <m/>
    <x v="0"/>
    <x v="0"/>
    <m/>
    <n v="1230194411"/>
    <n v="0"/>
    <n v="0"/>
    <n v="1230194411"/>
    <n v="1082739404"/>
    <m/>
    <x v="1"/>
    <n v="1082739404"/>
  </r>
  <r>
    <x v="3"/>
    <x v="38"/>
    <x v="38"/>
    <x v="3"/>
    <s v="Apoyo a la función pública y al mejoramiento de la gestión"/>
    <x v="2"/>
    <x v="42"/>
    <x v="466"/>
    <x v="1049"/>
    <n v="1"/>
    <s v="Gobierno"/>
    <n v="8"/>
    <s v="Administración Pública"/>
    <n v="3"/>
    <x v="6"/>
    <x v="2"/>
    <x v="236"/>
    <n v="1"/>
    <s v="Gasto corriente"/>
    <x v="0"/>
    <x v="0"/>
    <x v="0"/>
    <x v="0"/>
    <x v="0"/>
    <x v="0"/>
    <x v="0"/>
    <m/>
    <x v="0"/>
    <x v="0"/>
    <m/>
    <n v="320093577"/>
    <n v="0"/>
    <n v="0"/>
    <n v="320093577"/>
    <n v="380052031"/>
    <m/>
    <x v="1"/>
    <n v="380052031"/>
  </r>
  <r>
    <x v="3"/>
    <x v="38"/>
    <x v="38"/>
    <x v="21"/>
    <s v="Operaciones ajenas"/>
    <x v="2"/>
    <x v="1133"/>
    <x v="466"/>
    <x v="1049"/>
    <n v="2"/>
    <s v="Desarrollo Social"/>
    <n v="1"/>
    <s v="Salud"/>
    <n v="2"/>
    <x v="30"/>
    <x v="3"/>
    <x v="235"/>
    <n v="1"/>
    <s v="Gasto corriente"/>
    <x v="0"/>
    <x v="0"/>
    <x v="0"/>
    <x v="0"/>
    <x v="0"/>
    <x v="0"/>
    <x v="0"/>
    <m/>
    <x v="0"/>
    <x v="0"/>
    <m/>
    <n v="-3243000000"/>
    <n v="0"/>
    <n v="0"/>
    <n v="-3243000000"/>
    <n v="-4924726345"/>
    <m/>
    <x v="1"/>
    <n v="-4924726345"/>
  </r>
  <r>
    <x v="3"/>
    <x v="39"/>
    <x v="39"/>
    <x v="4"/>
    <s v="Prestación de Servicios Públicos"/>
    <x v="118"/>
    <x v="1134"/>
    <x v="407"/>
    <x v="835"/>
    <n v="3"/>
    <s v="Desarrollo Económico"/>
    <n v="0"/>
    <s v="Energía"/>
    <n v="1"/>
    <x v="67"/>
    <x v="26"/>
    <x v="237"/>
    <n v="1"/>
    <s v="Gasto corriente"/>
    <x v="0"/>
    <x v="0"/>
    <x v="0"/>
    <x v="0"/>
    <x v="0"/>
    <x v="0"/>
    <x v="0"/>
    <m/>
    <x v="0"/>
    <x v="0"/>
    <m/>
    <n v="6348172522"/>
    <n v="0"/>
    <n v="-6348172522"/>
    <n v="0"/>
    <m/>
    <m/>
    <x v="1"/>
    <n v="0"/>
  </r>
  <r>
    <x v="3"/>
    <x v="39"/>
    <x v="39"/>
    <x v="4"/>
    <s v="Prestación de Servicios Públicos"/>
    <x v="90"/>
    <x v="1135"/>
    <x v="407"/>
    <x v="835"/>
    <n v="3"/>
    <s v="Desarrollo Económico"/>
    <n v="0"/>
    <s v="Energía"/>
    <n v="1"/>
    <x v="67"/>
    <x v="10"/>
    <x v="238"/>
    <n v="1"/>
    <s v="Gasto corriente"/>
    <x v="0"/>
    <x v="0"/>
    <x v="0"/>
    <x v="0"/>
    <x v="0"/>
    <x v="0"/>
    <x v="0"/>
    <m/>
    <x v="0"/>
    <x v="0"/>
    <m/>
    <n v="1083649983"/>
    <n v="0"/>
    <n v="-1083649983"/>
    <n v="0"/>
    <m/>
    <m/>
    <x v="1"/>
    <n v="0"/>
  </r>
  <r>
    <x v="3"/>
    <x v="39"/>
    <x v="39"/>
    <x v="4"/>
    <s v="Prestación de Servicios Públicos"/>
    <x v="91"/>
    <x v="1136"/>
    <x v="407"/>
    <x v="835"/>
    <n v="3"/>
    <s v="Desarrollo Económico"/>
    <n v="0"/>
    <s v="Energía"/>
    <n v="1"/>
    <x v="67"/>
    <x v="14"/>
    <x v="239"/>
    <n v="1"/>
    <s v="Gasto corriente"/>
    <x v="0"/>
    <x v="0"/>
    <x v="0"/>
    <x v="0"/>
    <x v="0"/>
    <x v="0"/>
    <x v="0"/>
    <m/>
    <x v="0"/>
    <x v="0"/>
    <m/>
    <n v="1474749637"/>
    <n v="0"/>
    <n v="-1474749637"/>
    <n v="0"/>
    <m/>
    <m/>
    <x v="1"/>
    <n v="0"/>
  </r>
  <r>
    <x v="3"/>
    <x v="39"/>
    <x v="39"/>
    <x v="4"/>
    <s v="Prestación de Servicios Públicos"/>
    <x v="94"/>
    <x v="1137"/>
    <x v="407"/>
    <x v="835"/>
    <n v="3"/>
    <s v="Desarrollo Económico"/>
    <n v="0"/>
    <s v="Energía"/>
    <n v="1"/>
    <x v="67"/>
    <x v="1"/>
    <x v="145"/>
    <n v="1"/>
    <s v="Gasto corriente"/>
    <x v="0"/>
    <x v="0"/>
    <x v="0"/>
    <x v="0"/>
    <x v="0"/>
    <x v="0"/>
    <x v="0"/>
    <m/>
    <x v="0"/>
    <x v="0"/>
    <m/>
    <n v="4308947092"/>
    <n v="0"/>
    <n v="-4308947092"/>
    <n v="0"/>
    <m/>
    <m/>
    <x v="1"/>
    <n v="0"/>
  </r>
  <r>
    <x v="3"/>
    <x v="39"/>
    <x v="39"/>
    <x v="4"/>
    <s v="Prestación de Servicios Públicos"/>
    <x v="95"/>
    <x v="1138"/>
    <x v="407"/>
    <x v="835"/>
    <n v="3"/>
    <s v="Desarrollo Económico"/>
    <n v="0"/>
    <s v="Energía"/>
    <n v="1"/>
    <x v="67"/>
    <x v="1"/>
    <x v="145"/>
    <n v="1"/>
    <s v="Gasto corriente"/>
    <x v="0"/>
    <x v="0"/>
    <x v="0"/>
    <x v="0"/>
    <x v="0"/>
    <x v="0"/>
    <x v="0"/>
    <m/>
    <x v="0"/>
    <x v="0"/>
    <m/>
    <n v="3050709995"/>
    <n v="0"/>
    <n v="-3050709995"/>
    <n v="0"/>
    <m/>
    <m/>
    <x v="1"/>
    <n v="0"/>
  </r>
  <r>
    <x v="3"/>
    <x v="39"/>
    <x v="39"/>
    <x v="16"/>
    <s v="Pensiones y jubilaciones"/>
    <x v="115"/>
    <x v="1139"/>
    <x v="407"/>
    <x v="835"/>
    <n v="2"/>
    <s v="Desarrollo Social"/>
    <n v="2"/>
    <s v="Seguridad Social"/>
    <n v="1"/>
    <x v="78"/>
    <x v="9"/>
    <x v="240"/>
    <n v="1"/>
    <s v="Gasto corriente"/>
    <x v="0"/>
    <x v="0"/>
    <x v="0"/>
    <x v="0"/>
    <x v="0"/>
    <x v="0"/>
    <x v="0"/>
    <m/>
    <x v="0"/>
    <x v="0"/>
    <m/>
    <n v="9737262225"/>
    <n v="0"/>
    <n v="-9737262225"/>
    <n v="0"/>
    <m/>
    <m/>
    <x v="1"/>
    <n v="0"/>
  </r>
  <r>
    <x v="3"/>
    <x v="39"/>
    <x v="39"/>
    <x v="0"/>
    <s v="Proyectos de Inversión"/>
    <x v="2"/>
    <x v="1140"/>
    <x v="407"/>
    <x v="835"/>
    <n v="3"/>
    <s v="Desarrollo Económico"/>
    <n v="0"/>
    <s v="Energía"/>
    <n v="1"/>
    <x v="67"/>
    <x v="1"/>
    <x v="145"/>
    <n v="2"/>
    <s v="Gasto de capital"/>
    <x v="0"/>
    <x v="0"/>
    <x v="0"/>
    <x v="0"/>
    <x v="0"/>
    <x v="0"/>
    <x v="0"/>
    <m/>
    <x v="0"/>
    <x v="0"/>
    <m/>
    <n v="216407383"/>
    <n v="0"/>
    <n v="-216407383"/>
    <n v="0"/>
    <m/>
    <m/>
    <x v="1"/>
    <n v="0"/>
  </r>
  <r>
    <x v="3"/>
    <x v="39"/>
    <x v="39"/>
    <x v="0"/>
    <s v="Proyectos de Inversión"/>
    <x v="2"/>
    <x v="1140"/>
    <x v="407"/>
    <x v="835"/>
    <n v="3"/>
    <s v="Desarrollo Económico"/>
    <n v="0"/>
    <s v="Energía"/>
    <n v="1"/>
    <x v="67"/>
    <x v="14"/>
    <x v="239"/>
    <n v="2"/>
    <s v="Gasto de capital"/>
    <x v="0"/>
    <x v="0"/>
    <x v="0"/>
    <x v="0"/>
    <x v="0"/>
    <x v="0"/>
    <x v="0"/>
    <m/>
    <x v="0"/>
    <x v="0"/>
    <m/>
    <n v="1425296379"/>
    <n v="0"/>
    <n v="-1425296379"/>
    <n v="0"/>
    <m/>
    <m/>
    <x v="1"/>
    <n v="0"/>
  </r>
  <r>
    <x v="3"/>
    <x v="39"/>
    <x v="39"/>
    <x v="2"/>
    <s v="Apoyo al proceso presupuestario y para mejorar la eficiencia institucional"/>
    <x v="2"/>
    <x v="34"/>
    <x v="407"/>
    <x v="835"/>
    <n v="3"/>
    <s v="Desarrollo Económico"/>
    <n v="0"/>
    <s v="Energía"/>
    <n v="1"/>
    <x v="67"/>
    <x v="3"/>
    <x v="12"/>
    <n v="1"/>
    <s v="Gasto corriente"/>
    <x v="0"/>
    <x v="0"/>
    <x v="0"/>
    <x v="0"/>
    <x v="0"/>
    <x v="0"/>
    <x v="0"/>
    <m/>
    <x v="0"/>
    <x v="0"/>
    <m/>
    <n v="1838382390"/>
    <n v="0"/>
    <n v="-1838382390"/>
    <n v="0"/>
    <m/>
    <m/>
    <x v="1"/>
    <n v="0"/>
  </r>
  <r>
    <x v="3"/>
    <x v="39"/>
    <x v="39"/>
    <x v="3"/>
    <s v="Apoyo a la función pública y al mejoramiento de la gestión"/>
    <x v="2"/>
    <x v="42"/>
    <x v="407"/>
    <x v="835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90645069"/>
    <n v="0"/>
    <n v="-90645069"/>
    <n v="0"/>
    <m/>
    <m/>
    <x v="1"/>
    <n v="0"/>
  </r>
  <r>
    <x v="3"/>
    <x v="39"/>
    <x v="39"/>
    <x v="21"/>
    <s v="Operaciones ajenas"/>
    <x v="2"/>
    <x v="1133"/>
    <x v="407"/>
    <x v="835"/>
    <n v="3"/>
    <s v="Desarrollo Económico"/>
    <n v="0"/>
    <s v="Energía"/>
    <n v="1"/>
    <x v="67"/>
    <x v="3"/>
    <x v="12"/>
    <n v="2"/>
    <s v="Gasto de capital"/>
    <x v="0"/>
    <x v="0"/>
    <x v="0"/>
    <x v="0"/>
    <x v="0"/>
    <x v="0"/>
    <x v="0"/>
    <m/>
    <x v="0"/>
    <x v="0"/>
    <m/>
    <n v="474900000"/>
    <n v="0"/>
    <n v="-474900000"/>
    <n v="0"/>
    <m/>
    <m/>
    <x v="1"/>
    <n v="0"/>
  </r>
  <r>
    <x v="3"/>
    <x v="40"/>
    <x v="40"/>
    <x v="4"/>
    <s v="Prestación de Servicios Públicos"/>
    <x v="356"/>
    <x v="1141"/>
    <x v="468"/>
    <x v="1052"/>
    <n v="3"/>
    <s v="Desarrollo Económico"/>
    <n v="0"/>
    <s v="Energía"/>
    <n v="1"/>
    <x v="67"/>
    <x v="14"/>
    <x v="239"/>
    <n v="1"/>
    <s v="Gasto corriente"/>
    <x v="0"/>
    <x v="0"/>
    <x v="0"/>
    <x v="0"/>
    <x v="0"/>
    <x v="0"/>
    <x v="0"/>
    <m/>
    <x v="0"/>
    <x v="0"/>
    <m/>
    <n v="1526457479"/>
    <n v="0"/>
    <n v="0"/>
    <n v="1526457479"/>
    <n v="1011473413"/>
    <m/>
    <x v="1"/>
    <n v="1011473413"/>
  </r>
  <r>
    <x v="3"/>
    <x v="40"/>
    <x v="40"/>
    <x v="4"/>
    <s v="Prestación de Servicios Públicos"/>
    <x v="357"/>
    <x v="1142"/>
    <x v="468"/>
    <x v="1052"/>
    <n v="3"/>
    <s v="Desarrollo Económico"/>
    <n v="0"/>
    <s v="Energía"/>
    <n v="1"/>
    <x v="67"/>
    <x v="10"/>
    <x v="238"/>
    <n v="1"/>
    <s v="Gasto corriente"/>
    <x v="2"/>
    <x v="0"/>
    <x v="0"/>
    <x v="0"/>
    <x v="0"/>
    <x v="0"/>
    <x v="0"/>
    <m/>
    <x v="0"/>
    <x v="0"/>
    <m/>
    <n v="2584871677"/>
    <n v="0"/>
    <n v="0"/>
    <n v="2584871677"/>
    <n v="4356716914"/>
    <m/>
    <x v="1"/>
    <n v="4356716914"/>
  </r>
  <r>
    <x v="3"/>
    <x v="40"/>
    <x v="40"/>
    <x v="4"/>
    <s v="Prestación de Servicios Públicos"/>
    <x v="357"/>
    <x v="1142"/>
    <x v="468"/>
    <x v="1052"/>
    <n v="3"/>
    <s v="Desarrollo Económico"/>
    <n v="0"/>
    <s v="Energía"/>
    <n v="1"/>
    <x v="67"/>
    <x v="10"/>
    <x v="238"/>
    <n v="1"/>
    <s v="Gasto corriente"/>
    <x v="0"/>
    <x v="0"/>
    <x v="0"/>
    <x v="0"/>
    <x v="0"/>
    <x v="0"/>
    <x v="0"/>
    <m/>
    <x v="0"/>
    <x v="0"/>
    <m/>
    <n v="59868343037"/>
    <n v="0"/>
    <n v="-9835223146"/>
    <n v="50033119891"/>
    <n v="65312110186"/>
    <n v="4705600000"/>
    <x v="1"/>
    <n v="60606510186"/>
  </r>
  <r>
    <x v="3"/>
    <x v="40"/>
    <x v="40"/>
    <x v="4"/>
    <s v="Prestación de Servicios Públicos"/>
    <x v="358"/>
    <x v="1143"/>
    <x v="468"/>
    <x v="1052"/>
    <n v="3"/>
    <s v="Desarrollo Económico"/>
    <n v="0"/>
    <s v="Energía"/>
    <n v="1"/>
    <x v="67"/>
    <x v="10"/>
    <x v="238"/>
    <n v="1"/>
    <s v="Gasto corriente"/>
    <x v="0"/>
    <x v="0"/>
    <x v="0"/>
    <x v="0"/>
    <x v="0"/>
    <x v="0"/>
    <x v="0"/>
    <m/>
    <x v="0"/>
    <x v="0"/>
    <m/>
    <n v="4003582261"/>
    <n v="0"/>
    <n v="-3401195"/>
    <n v="4000181066"/>
    <n v="3504416108"/>
    <m/>
    <x v="1"/>
    <n v="3504416108"/>
  </r>
  <r>
    <x v="3"/>
    <x v="40"/>
    <x v="40"/>
    <x v="4"/>
    <s v="Prestación de Servicios Públicos"/>
    <x v="359"/>
    <x v="1144"/>
    <x v="468"/>
    <x v="1052"/>
    <n v="3"/>
    <s v="Desarrollo Económico"/>
    <n v="0"/>
    <s v="Energía"/>
    <n v="1"/>
    <x v="67"/>
    <x v="10"/>
    <x v="238"/>
    <n v="1"/>
    <s v="Gasto corriente"/>
    <x v="0"/>
    <x v="0"/>
    <x v="0"/>
    <x v="0"/>
    <x v="0"/>
    <x v="0"/>
    <x v="0"/>
    <m/>
    <x v="0"/>
    <x v="0"/>
    <m/>
    <n v="737921698"/>
    <n v="0"/>
    <n v="0"/>
    <n v="737921698"/>
    <n v="12045297225"/>
    <m/>
    <x v="1"/>
    <n v="12045297225"/>
  </r>
  <r>
    <x v="3"/>
    <x v="40"/>
    <x v="40"/>
    <x v="4"/>
    <s v="Prestación de Servicios Públicos"/>
    <x v="360"/>
    <x v="1145"/>
    <x v="468"/>
    <x v="1052"/>
    <n v="3"/>
    <s v="Desarrollo Económico"/>
    <n v="0"/>
    <s v="Energía"/>
    <n v="1"/>
    <x v="67"/>
    <x v="14"/>
    <x v="239"/>
    <n v="1"/>
    <s v="Gasto corriente"/>
    <x v="2"/>
    <x v="0"/>
    <x v="0"/>
    <x v="0"/>
    <x v="0"/>
    <x v="0"/>
    <x v="0"/>
    <m/>
    <x v="0"/>
    <x v="0"/>
    <m/>
    <n v="1828217816"/>
    <n v="0"/>
    <n v="0"/>
    <n v="1828217816"/>
    <n v="2110930395"/>
    <m/>
    <x v="1"/>
    <n v="2110930395"/>
  </r>
  <r>
    <x v="3"/>
    <x v="40"/>
    <x v="40"/>
    <x v="4"/>
    <s v="Prestación de Servicios Públicos"/>
    <x v="360"/>
    <x v="1145"/>
    <x v="468"/>
    <x v="1052"/>
    <n v="3"/>
    <s v="Desarrollo Económico"/>
    <n v="0"/>
    <s v="Energía"/>
    <n v="1"/>
    <x v="67"/>
    <x v="14"/>
    <x v="239"/>
    <n v="1"/>
    <s v="Gasto corriente"/>
    <x v="0"/>
    <x v="0"/>
    <x v="0"/>
    <x v="0"/>
    <x v="0"/>
    <x v="0"/>
    <x v="0"/>
    <m/>
    <x v="0"/>
    <x v="0"/>
    <m/>
    <n v="4364631486"/>
    <n v="0"/>
    <n v="0"/>
    <n v="4364631486"/>
    <n v="6520539168"/>
    <m/>
    <x v="1"/>
    <n v="6520539168"/>
  </r>
  <r>
    <x v="3"/>
    <x v="40"/>
    <x v="40"/>
    <x v="4"/>
    <s v="Prestación de Servicios Públicos"/>
    <x v="361"/>
    <x v="1146"/>
    <x v="468"/>
    <x v="1052"/>
    <n v="3"/>
    <s v="Desarrollo Económico"/>
    <n v="0"/>
    <s v="Energía"/>
    <n v="1"/>
    <x v="67"/>
    <x v="14"/>
    <x v="239"/>
    <n v="1"/>
    <s v="Gasto corriente"/>
    <x v="0"/>
    <x v="0"/>
    <x v="0"/>
    <x v="0"/>
    <x v="0"/>
    <x v="0"/>
    <x v="0"/>
    <m/>
    <x v="0"/>
    <x v="0"/>
    <m/>
    <n v="2464785756"/>
    <n v="0"/>
    <n v="0"/>
    <n v="2464785756"/>
    <n v="2977362365"/>
    <m/>
    <x v="1"/>
    <n v="2977362365"/>
  </r>
  <r>
    <x v="3"/>
    <x v="40"/>
    <x v="40"/>
    <x v="4"/>
    <s v="Prestación de Servicios Públicos"/>
    <x v="362"/>
    <x v="1147"/>
    <x v="468"/>
    <x v="1052"/>
    <n v="3"/>
    <s v="Desarrollo Económico"/>
    <n v="0"/>
    <s v="Energía"/>
    <n v="1"/>
    <x v="67"/>
    <x v="1"/>
    <x v="145"/>
    <n v="1"/>
    <s v="Gasto corriente"/>
    <x v="2"/>
    <x v="0"/>
    <x v="0"/>
    <x v="0"/>
    <x v="0"/>
    <x v="0"/>
    <x v="0"/>
    <m/>
    <x v="0"/>
    <x v="0"/>
    <m/>
    <n v="599591769"/>
    <n v="0"/>
    <n v="0"/>
    <n v="599591769"/>
    <n v="847618723"/>
    <m/>
    <x v="1"/>
    <n v="847618723"/>
  </r>
  <r>
    <x v="3"/>
    <x v="40"/>
    <x v="40"/>
    <x v="4"/>
    <s v="Prestación de Servicios Públicos"/>
    <x v="362"/>
    <x v="1147"/>
    <x v="468"/>
    <x v="1052"/>
    <n v="3"/>
    <s v="Desarrollo Económico"/>
    <n v="0"/>
    <s v="Energía"/>
    <n v="1"/>
    <x v="67"/>
    <x v="1"/>
    <x v="145"/>
    <n v="1"/>
    <s v="Gasto corriente"/>
    <x v="0"/>
    <x v="0"/>
    <x v="0"/>
    <x v="0"/>
    <x v="0"/>
    <x v="0"/>
    <x v="0"/>
    <m/>
    <x v="0"/>
    <x v="0"/>
    <m/>
    <n v="20573242216"/>
    <n v="0"/>
    <n v="0"/>
    <n v="20573242216"/>
    <n v="29210472464"/>
    <m/>
    <x v="1"/>
    <n v="29210472464"/>
  </r>
  <r>
    <x v="3"/>
    <x v="40"/>
    <x v="40"/>
    <x v="4"/>
    <s v="Prestación de Servicios Públicos"/>
    <x v="363"/>
    <x v="1148"/>
    <x v="468"/>
    <x v="1052"/>
    <n v="3"/>
    <s v="Desarrollo Económico"/>
    <n v="0"/>
    <s v="Energía"/>
    <n v="1"/>
    <x v="67"/>
    <x v="13"/>
    <x v="241"/>
    <n v="1"/>
    <s v="Gasto corriente"/>
    <x v="0"/>
    <x v="0"/>
    <x v="0"/>
    <x v="0"/>
    <x v="0"/>
    <x v="0"/>
    <x v="0"/>
    <m/>
    <x v="0"/>
    <x v="1"/>
    <m/>
    <n v="250000000"/>
    <n v="0"/>
    <n v="0"/>
    <n v="250000000"/>
    <n v="127284242"/>
    <m/>
    <x v="1"/>
    <n v="127284242"/>
  </r>
  <r>
    <x v="3"/>
    <x v="40"/>
    <x v="40"/>
    <x v="9"/>
    <s v="Promoción y fomento"/>
    <x v="364"/>
    <x v="1149"/>
    <x v="468"/>
    <x v="1052"/>
    <n v="3"/>
    <s v="Desarrollo Económico"/>
    <n v="0"/>
    <s v="Energía"/>
    <n v="1"/>
    <x v="67"/>
    <x v="1"/>
    <x v="145"/>
    <n v="1"/>
    <s v="Gasto corriente"/>
    <x v="0"/>
    <x v="0"/>
    <x v="0"/>
    <x v="0"/>
    <x v="0"/>
    <x v="0"/>
    <x v="0"/>
    <m/>
    <x v="0"/>
    <x v="1"/>
    <m/>
    <n v="45922223"/>
    <n v="0"/>
    <n v="0"/>
    <n v="45922223"/>
    <n v="44103715"/>
    <m/>
    <x v="1"/>
    <n v="44103715"/>
  </r>
  <r>
    <x v="3"/>
    <x v="40"/>
    <x v="40"/>
    <x v="16"/>
    <s v="Pensiones y jubilaciones"/>
    <x v="2"/>
    <x v="1150"/>
    <x v="468"/>
    <x v="1052"/>
    <n v="2"/>
    <s v="Desarrollo Social"/>
    <n v="2"/>
    <s v="Seguridad Social"/>
    <n v="1"/>
    <x v="78"/>
    <x v="16"/>
    <x v="242"/>
    <n v="1"/>
    <s v="Gasto corriente"/>
    <x v="0"/>
    <x v="0"/>
    <x v="0"/>
    <x v="0"/>
    <x v="0"/>
    <x v="0"/>
    <x v="0"/>
    <m/>
    <x v="0"/>
    <x v="0"/>
    <m/>
    <n v="15073496935"/>
    <n v="0"/>
    <n v="0"/>
    <n v="15073496935"/>
    <n v="15284516865"/>
    <m/>
    <x v="1"/>
    <n v="15284516865"/>
  </r>
  <r>
    <x v="3"/>
    <x v="40"/>
    <x v="40"/>
    <x v="0"/>
    <s v="Proyectos de Inversión"/>
    <x v="2"/>
    <x v="1140"/>
    <x v="468"/>
    <x v="1052"/>
    <n v="3"/>
    <s v="Desarrollo Económico"/>
    <n v="0"/>
    <s v="Energía"/>
    <n v="1"/>
    <x v="67"/>
    <x v="1"/>
    <x v="145"/>
    <n v="2"/>
    <s v="Gasto de capital"/>
    <x v="0"/>
    <x v="0"/>
    <x v="0"/>
    <x v="0"/>
    <x v="0"/>
    <x v="0"/>
    <x v="0"/>
    <m/>
    <x v="0"/>
    <x v="0"/>
    <m/>
    <n v="1197546800"/>
    <n v="0"/>
    <n v="0"/>
    <n v="1197546800"/>
    <n v="31665225"/>
    <m/>
    <x v="1"/>
    <n v="31665225"/>
  </r>
  <r>
    <x v="3"/>
    <x v="40"/>
    <x v="40"/>
    <x v="0"/>
    <s v="Proyectos de Inversión"/>
    <x v="2"/>
    <x v="1140"/>
    <x v="468"/>
    <x v="1052"/>
    <n v="3"/>
    <s v="Desarrollo Económico"/>
    <n v="0"/>
    <s v="Energía"/>
    <n v="1"/>
    <x v="67"/>
    <x v="10"/>
    <x v="238"/>
    <n v="2"/>
    <s v="Gasto de capital"/>
    <x v="0"/>
    <x v="0"/>
    <x v="0"/>
    <x v="0"/>
    <x v="0"/>
    <x v="0"/>
    <x v="0"/>
    <m/>
    <x v="0"/>
    <x v="0"/>
    <m/>
    <n v="1117305767"/>
    <n v="0"/>
    <n v="0"/>
    <n v="1117305767"/>
    <n v="730099216"/>
    <m/>
    <x v="1"/>
    <n v="730099216"/>
  </r>
  <r>
    <x v="3"/>
    <x v="40"/>
    <x v="40"/>
    <x v="0"/>
    <s v="Proyectos de Inversión"/>
    <x v="2"/>
    <x v="1140"/>
    <x v="468"/>
    <x v="1052"/>
    <n v="3"/>
    <s v="Desarrollo Económico"/>
    <n v="0"/>
    <s v="Energía"/>
    <n v="1"/>
    <x v="67"/>
    <x v="14"/>
    <x v="239"/>
    <n v="2"/>
    <s v="Gasto de capital"/>
    <x v="0"/>
    <x v="0"/>
    <x v="0"/>
    <x v="0"/>
    <x v="0"/>
    <x v="0"/>
    <x v="0"/>
    <m/>
    <x v="0"/>
    <x v="0"/>
    <m/>
    <n v="1018540800"/>
    <n v="0"/>
    <n v="0"/>
    <n v="1018540800"/>
    <n v="5029445757"/>
    <m/>
    <x v="1"/>
    <n v="5029445757"/>
  </r>
  <r>
    <x v="3"/>
    <x v="40"/>
    <x v="40"/>
    <x v="0"/>
    <s v="Proyectos de Inversión"/>
    <x v="2"/>
    <x v="1140"/>
    <x v="468"/>
    <x v="1052"/>
    <n v="3"/>
    <s v="Desarrollo Económico"/>
    <n v="0"/>
    <s v="Energía"/>
    <n v="1"/>
    <x v="67"/>
    <x v="13"/>
    <x v="241"/>
    <n v="2"/>
    <s v="Gasto de capital"/>
    <x v="0"/>
    <x v="0"/>
    <x v="0"/>
    <x v="0"/>
    <x v="0"/>
    <x v="0"/>
    <x v="0"/>
    <m/>
    <x v="0"/>
    <x v="0"/>
    <m/>
    <n v="247074194"/>
    <n v="0"/>
    <n v="0"/>
    <n v="247074194"/>
    <n v="589010401"/>
    <m/>
    <x v="1"/>
    <n v="589010401"/>
  </r>
  <r>
    <x v="3"/>
    <x v="40"/>
    <x v="40"/>
    <x v="0"/>
    <s v="Proyectos de Inversión"/>
    <x v="47"/>
    <x v="185"/>
    <x v="468"/>
    <x v="1052"/>
    <n v="3"/>
    <s v="Desarrollo Económico"/>
    <n v="0"/>
    <s v="Energía"/>
    <n v="1"/>
    <x v="67"/>
    <x v="10"/>
    <x v="238"/>
    <n v="2"/>
    <s v="Gasto de capital"/>
    <x v="0"/>
    <x v="0"/>
    <x v="0"/>
    <x v="0"/>
    <x v="0"/>
    <x v="0"/>
    <x v="0"/>
    <m/>
    <x v="0"/>
    <x v="0"/>
    <m/>
    <n v="17883424"/>
    <n v="0"/>
    <n v="0"/>
    <n v="17883424"/>
    <n v="265230301"/>
    <m/>
    <x v="1"/>
    <n v="265230301"/>
  </r>
  <r>
    <x v="3"/>
    <x v="40"/>
    <x v="40"/>
    <x v="0"/>
    <s v="Proyectos de Inversión"/>
    <x v="47"/>
    <x v="185"/>
    <x v="468"/>
    <x v="1052"/>
    <n v="3"/>
    <s v="Desarrollo Económico"/>
    <n v="0"/>
    <s v="Energía"/>
    <n v="1"/>
    <x v="67"/>
    <x v="14"/>
    <x v="239"/>
    <n v="2"/>
    <s v="Gasto de capital"/>
    <x v="0"/>
    <x v="0"/>
    <x v="0"/>
    <x v="0"/>
    <x v="0"/>
    <x v="0"/>
    <x v="0"/>
    <m/>
    <x v="0"/>
    <x v="0"/>
    <m/>
    <m/>
    <m/>
    <m/>
    <m/>
    <n v="156308148"/>
    <m/>
    <x v="1"/>
    <n v="156308148"/>
  </r>
  <r>
    <x v="3"/>
    <x v="40"/>
    <x v="40"/>
    <x v="0"/>
    <s v="Proyectos de Inversión"/>
    <x v="0"/>
    <x v="0"/>
    <x v="468"/>
    <x v="1052"/>
    <n v="3"/>
    <s v="Desarrollo Económico"/>
    <n v="0"/>
    <s v="Energía"/>
    <n v="1"/>
    <x v="67"/>
    <x v="1"/>
    <x v="145"/>
    <n v="2"/>
    <s v="Gasto de capital"/>
    <x v="0"/>
    <x v="0"/>
    <x v="0"/>
    <x v="0"/>
    <x v="0"/>
    <x v="0"/>
    <x v="0"/>
    <m/>
    <x v="0"/>
    <x v="0"/>
    <m/>
    <n v="865333073"/>
    <n v="0"/>
    <n v="0"/>
    <n v="865333073"/>
    <m/>
    <m/>
    <x v="1"/>
    <n v="0"/>
  </r>
  <r>
    <x v="3"/>
    <x v="40"/>
    <x v="40"/>
    <x v="0"/>
    <s v="Proyectos de Inversión"/>
    <x v="0"/>
    <x v="0"/>
    <x v="468"/>
    <x v="1052"/>
    <n v="3"/>
    <s v="Desarrollo Económico"/>
    <n v="0"/>
    <s v="Energía"/>
    <n v="1"/>
    <x v="67"/>
    <x v="10"/>
    <x v="238"/>
    <n v="2"/>
    <s v="Gasto de capital"/>
    <x v="0"/>
    <x v="0"/>
    <x v="0"/>
    <x v="0"/>
    <x v="0"/>
    <x v="0"/>
    <x v="0"/>
    <m/>
    <x v="0"/>
    <x v="0"/>
    <m/>
    <n v="273414187"/>
    <n v="0"/>
    <n v="0"/>
    <n v="273414187"/>
    <m/>
    <m/>
    <x v="1"/>
    <n v="0"/>
  </r>
  <r>
    <x v="3"/>
    <x v="40"/>
    <x v="40"/>
    <x v="0"/>
    <s v="Proyectos de Inversión"/>
    <x v="0"/>
    <x v="0"/>
    <x v="468"/>
    <x v="1052"/>
    <n v="3"/>
    <s v="Desarrollo Económico"/>
    <n v="0"/>
    <s v="Energía"/>
    <n v="1"/>
    <x v="67"/>
    <x v="14"/>
    <x v="239"/>
    <n v="2"/>
    <s v="Gasto de capital"/>
    <x v="0"/>
    <x v="0"/>
    <x v="0"/>
    <x v="0"/>
    <x v="0"/>
    <x v="0"/>
    <x v="0"/>
    <m/>
    <x v="0"/>
    <x v="0"/>
    <m/>
    <n v="55441126"/>
    <n v="0"/>
    <n v="0"/>
    <n v="55441126"/>
    <n v="21401902"/>
    <m/>
    <x v="1"/>
    <n v="21401902"/>
  </r>
  <r>
    <x v="3"/>
    <x v="40"/>
    <x v="40"/>
    <x v="0"/>
    <s v="Proyectos de Inversión"/>
    <x v="0"/>
    <x v="0"/>
    <x v="468"/>
    <x v="1052"/>
    <n v="3"/>
    <s v="Desarrollo Económico"/>
    <n v="0"/>
    <s v="Energía"/>
    <n v="1"/>
    <x v="67"/>
    <x v="13"/>
    <x v="241"/>
    <n v="2"/>
    <s v="Gasto de capital"/>
    <x v="0"/>
    <x v="0"/>
    <x v="0"/>
    <x v="0"/>
    <x v="0"/>
    <x v="0"/>
    <x v="0"/>
    <m/>
    <x v="0"/>
    <x v="0"/>
    <m/>
    <n v="61195020"/>
    <n v="0"/>
    <n v="0"/>
    <n v="61195020"/>
    <n v="2850000"/>
    <m/>
    <x v="1"/>
    <n v="2850000"/>
  </r>
  <r>
    <x v="3"/>
    <x v="40"/>
    <x v="40"/>
    <x v="0"/>
    <s v="Proyectos de Inversión"/>
    <x v="25"/>
    <x v="186"/>
    <x v="468"/>
    <x v="1052"/>
    <n v="3"/>
    <s v="Desarrollo Económico"/>
    <n v="0"/>
    <s v="Energía"/>
    <n v="1"/>
    <x v="67"/>
    <x v="14"/>
    <x v="239"/>
    <n v="2"/>
    <s v="Gasto de capital"/>
    <x v="0"/>
    <x v="0"/>
    <x v="0"/>
    <x v="0"/>
    <x v="0"/>
    <x v="0"/>
    <x v="0"/>
    <m/>
    <x v="0"/>
    <x v="0"/>
    <m/>
    <n v="10694000"/>
    <n v="0"/>
    <n v="0"/>
    <n v="10694000"/>
    <m/>
    <m/>
    <x v="1"/>
    <n v="0"/>
  </r>
  <r>
    <x v="3"/>
    <x v="40"/>
    <x v="40"/>
    <x v="0"/>
    <s v="Proyectos de Inversión"/>
    <x v="25"/>
    <x v="186"/>
    <x v="468"/>
    <x v="1052"/>
    <n v="3"/>
    <s v="Desarrollo Económico"/>
    <n v="0"/>
    <s v="Energía"/>
    <n v="1"/>
    <x v="67"/>
    <x v="13"/>
    <x v="241"/>
    <n v="2"/>
    <s v="Gasto de capital"/>
    <x v="0"/>
    <x v="0"/>
    <x v="0"/>
    <x v="0"/>
    <x v="0"/>
    <x v="0"/>
    <x v="0"/>
    <m/>
    <x v="0"/>
    <x v="0"/>
    <m/>
    <n v="777857245"/>
    <n v="0"/>
    <n v="0"/>
    <n v="777857245"/>
    <m/>
    <m/>
    <x v="1"/>
    <n v="0"/>
  </r>
  <r>
    <x v="3"/>
    <x v="40"/>
    <x v="40"/>
    <x v="0"/>
    <s v="Proyectos de Inversión"/>
    <x v="1"/>
    <x v="1"/>
    <x v="468"/>
    <x v="1052"/>
    <n v="3"/>
    <s v="Desarrollo Económico"/>
    <n v="0"/>
    <s v="Energía"/>
    <n v="1"/>
    <x v="67"/>
    <x v="3"/>
    <x v="12"/>
    <n v="2"/>
    <s v="Gasto de capital"/>
    <x v="0"/>
    <x v="0"/>
    <x v="0"/>
    <x v="0"/>
    <x v="0"/>
    <x v="0"/>
    <x v="0"/>
    <m/>
    <x v="0"/>
    <x v="0"/>
    <m/>
    <n v="19212985"/>
    <n v="0"/>
    <n v="0"/>
    <n v="19212985"/>
    <m/>
    <m/>
    <x v="1"/>
    <n v="0"/>
  </r>
  <r>
    <x v="3"/>
    <x v="40"/>
    <x v="40"/>
    <x v="0"/>
    <s v="Proyectos de Inversión"/>
    <x v="1"/>
    <x v="1"/>
    <x v="468"/>
    <x v="1052"/>
    <n v="3"/>
    <s v="Desarrollo Económico"/>
    <n v="0"/>
    <s v="Energía"/>
    <n v="1"/>
    <x v="67"/>
    <x v="10"/>
    <x v="238"/>
    <n v="2"/>
    <s v="Gasto de capital"/>
    <x v="0"/>
    <x v="0"/>
    <x v="0"/>
    <x v="0"/>
    <x v="0"/>
    <x v="0"/>
    <x v="0"/>
    <m/>
    <x v="0"/>
    <x v="0"/>
    <m/>
    <n v="2991188285"/>
    <n v="0"/>
    <n v="0"/>
    <n v="2991188285"/>
    <n v="9201639335"/>
    <m/>
    <x v="1"/>
    <n v="9201639335"/>
  </r>
  <r>
    <x v="3"/>
    <x v="40"/>
    <x v="40"/>
    <x v="0"/>
    <s v="Proyectos de Inversión"/>
    <x v="1"/>
    <x v="1"/>
    <x v="468"/>
    <x v="1052"/>
    <n v="3"/>
    <s v="Desarrollo Económico"/>
    <n v="0"/>
    <s v="Energía"/>
    <n v="1"/>
    <x v="67"/>
    <x v="13"/>
    <x v="241"/>
    <n v="2"/>
    <s v="Gasto de capital"/>
    <x v="0"/>
    <x v="0"/>
    <x v="0"/>
    <x v="0"/>
    <x v="0"/>
    <x v="0"/>
    <x v="0"/>
    <m/>
    <x v="0"/>
    <x v="0"/>
    <m/>
    <m/>
    <m/>
    <m/>
    <m/>
    <n v="114209459"/>
    <m/>
    <x v="1"/>
    <n v="114209459"/>
  </r>
  <r>
    <x v="3"/>
    <x v="40"/>
    <x v="40"/>
    <x v="0"/>
    <s v="Proyectos de Inversión"/>
    <x v="31"/>
    <x v="120"/>
    <x v="468"/>
    <x v="1052"/>
    <n v="3"/>
    <s v="Desarrollo Económico"/>
    <n v="0"/>
    <s v="Energía"/>
    <n v="1"/>
    <x v="67"/>
    <x v="10"/>
    <x v="238"/>
    <n v="2"/>
    <s v="Gasto de capital"/>
    <x v="0"/>
    <x v="0"/>
    <x v="0"/>
    <x v="0"/>
    <x v="0"/>
    <x v="0"/>
    <x v="0"/>
    <m/>
    <x v="0"/>
    <x v="0"/>
    <m/>
    <n v="389150000"/>
    <n v="0"/>
    <n v="0"/>
    <n v="389150000"/>
    <n v="216161749"/>
    <m/>
    <x v="1"/>
    <n v="216161749"/>
  </r>
  <r>
    <x v="3"/>
    <x v="40"/>
    <x v="40"/>
    <x v="0"/>
    <s v="Proyectos de Inversión"/>
    <x v="26"/>
    <x v="1151"/>
    <x v="468"/>
    <x v="1052"/>
    <n v="3"/>
    <s v="Desarrollo Económico"/>
    <n v="0"/>
    <s v="Energía"/>
    <n v="1"/>
    <x v="67"/>
    <x v="3"/>
    <x v="12"/>
    <n v="2"/>
    <s v="Gasto de capital"/>
    <x v="0"/>
    <x v="0"/>
    <x v="0"/>
    <x v="0"/>
    <x v="0"/>
    <x v="0"/>
    <x v="0"/>
    <m/>
    <x v="0"/>
    <x v="0"/>
    <m/>
    <n v="201860072"/>
    <n v="0"/>
    <n v="0"/>
    <n v="201860072"/>
    <m/>
    <m/>
    <x v="1"/>
    <n v="0"/>
  </r>
  <r>
    <x v="3"/>
    <x v="40"/>
    <x v="40"/>
    <x v="0"/>
    <s v="Proyectos de Inversión"/>
    <x v="26"/>
    <x v="1151"/>
    <x v="468"/>
    <x v="1052"/>
    <n v="3"/>
    <s v="Desarrollo Económico"/>
    <n v="0"/>
    <s v="Energía"/>
    <n v="1"/>
    <x v="67"/>
    <x v="1"/>
    <x v="145"/>
    <n v="2"/>
    <s v="Gasto de capital"/>
    <x v="0"/>
    <x v="0"/>
    <x v="0"/>
    <x v="0"/>
    <x v="0"/>
    <x v="0"/>
    <x v="0"/>
    <m/>
    <x v="0"/>
    <x v="0"/>
    <m/>
    <n v="2644731298"/>
    <n v="0"/>
    <n v="0"/>
    <n v="2644731298"/>
    <m/>
    <m/>
    <x v="1"/>
    <n v="0"/>
  </r>
  <r>
    <x v="3"/>
    <x v="40"/>
    <x v="40"/>
    <x v="0"/>
    <s v="Proyectos de Inversión"/>
    <x v="26"/>
    <x v="1151"/>
    <x v="468"/>
    <x v="1052"/>
    <n v="3"/>
    <s v="Desarrollo Económico"/>
    <n v="0"/>
    <s v="Energía"/>
    <n v="1"/>
    <x v="67"/>
    <x v="10"/>
    <x v="238"/>
    <n v="2"/>
    <s v="Gasto de capital"/>
    <x v="0"/>
    <x v="0"/>
    <x v="0"/>
    <x v="0"/>
    <x v="0"/>
    <x v="0"/>
    <x v="0"/>
    <m/>
    <x v="0"/>
    <x v="0"/>
    <m/>
    <n v="592022218"/>
    <n v="0"/>
    <n v="0"/>
    <n v="592022218"/>
    <n v="53692845"/>
    <m/>
    <x v="1"/>
    <n v="53692845"/>
  </r>
  <r>
    <x v="3"/>
    <x v="40"/>
    <x v="40"/>
    <x v="0"/>
    <s v="Proyectos de Inversión"/>
    <x v="26"/>
    <x v="1151"/>
    <x v="468"/>
    <x v="1052"/>
    <n v="3"/>
    <s v="Desarrollo Económico"/>
    <n v="0"/>
    <s v="Energía"/>
    <n v="1"/>
    <x v="67"/>
    <x v="14"/>
    <x v="239"/>
    <n v="2"/>
    <s v="Gasto de capital"/>
    <x v="0"/>
    <x v="0"/>
    <x v="0"/>
    <x v="0"/>
    <x v="0"/>
    <x v="0"/>
    <x v="0"/>
    <m/>
    <x v="0"/>
    <x v="0"/>
    <m/>
    <n v="243393283"/>
    <n v="0"/>
    <n v="0"/>
    <n v="243393283"/>
    <n v="171508388"/>
    <m/>
    <x v="1"/>
    <n v="171508388"/>
  </r>
  <r>
    <x v="3"/>
    <x v="40"/>
    <x v="40"/>
    <x v="0"/>
    <s v="Proyectos de Inversión"/>
    <x v="26"/>
    <x v="1151"/>
    <x v="468"/>
    <x v="1052"/>
    <n v="3"/>
    <s v="Desarrollo Económico"/>
    <n v="0"/>
    <s v="Energía"/>
    <n v="1"/>
    <x v="67"/>
    <x v="13"/>
    <x v="241"/>
    <n v="2"/>
    <s v="Gasto de capital"/>
    <x v="0"/>
    <x v="0"/>
    <x v="0"/>
    <x v="0"/>
    <x v="0"/>
    <x v="0"/>
    <x v="0"/>
    <m/>
    <x v="0"/>
    <x v="0"/>
    <m/>
    <n v="231558095"/>
    <n v="0"/>
    <n v="0"/>
    <n v="231558095"/>
    <n v="133640000"/>
    <m/>
    <x v="1"/>
    <n v="133640000"/>
  </r>
  <r>
    <x v="3"/>
    <x v="40"/>
    <x v="40"/>
    <x v="0"/>
    <s v="Proyectos de Inversión"/>
    <x v="76"/>
    <x v="1152"/>
    <x v="468"/>
    <x v="1052"/>
    <n v="3"/>
    <s v="Desarrollo Económico"/>
    <n v="0"/>
    <s v="Energía"/>
    <n v="1"/>
    <x v="67"/>
    <x v="1"/>
    <x v="145"/>
    <n v="2"/>
    <s v="Gasto de capital"/>
    <x v="0"/>
    <x v="0"/>
    <x v="0"/>
    <x v="0"/>
    <x v="0"/>
    <x v="0"/>
    <x v="0"/>
    <m/>
    <x v="0"/>
    <x v="1"/>
    <n v="1"/>
    <n v="1469208368"/>
    <n v="0"/>
    <n v="0"/>
    <n v="1469208368"/>
    <n v="1996092741"/>
    <m/>
    <x v="1"/>
    <n v="1996092741"/>
  </r>
  <r>
    <x v="3"/>
    <x v="40"/>
    <x v="40"/>
    <x v="0"/>
    <s v="Proyectos de Inversión"/>
    <x v="76"/>
    <x v="1152"/>
    <x v="468"/>
    <x v="1052"/>
    <n v="3"/>
    <s v="Desarrollo Económico"/>
    <n v="0"/>
    <s v="Energía"/>
    <n v="1"/>
    <x v="67"/>
    <x v="10"/>
    <x v="238"/>
    <n v="2"/>
    <s v="Gasto de capital"/>
    <x v="0"/>
    <x v="0"/>
    <x v="0"/>
    <x v="0"/>
    <x v="0"/>
    <x v="0"/>
    <x v="0"/>
    <m/>
    <x v="0"/>
    <x v="1"/>
    <n v="1"/>
    <n v="4677225482"/>
    <n v="0"/>
    <n v="0"/>
    <n v="4677225482"/>
    <n v="6443202344"/>
    <m/>
    <x v="1"/>
    <n v="6443202344"/>
  </r>
  <r>
    <x v="3"/>
    <x v="40"/>
    <x v="40"/>
    <x v="0"/>
    <s v="Proyectos de Inversión"/>
    <x v="76"/>
    <x v="1152"/>
    <x v="468"/>
    <x v="1052"/>
    <n v="3"/>
    <s v="Desarrollo Económico"/>
    <n v="0"/>
    <s v="Energía"/>
    <n v="1"/>
    <x v="67"/>
    <x v="14"/>
    <x v="239"/>
    <n v="2"/>
    <s v="Gasto de capital"/>
    <x v="0"/>
    <x v="0"/>
    <x v="0"/>
    <x v="0"/>
    <x v="0"/>
    <x v="0"/>
    <x v="0"/>
    <m/>
    <x v="0"/>
    <x v="1"/>
    <n v="1"/>
    <n v="5791605087"/>
    <n v="0"/>
    <n v="0"/>
    <n v="5791605087"/>
    <n v="6204444269"/>
    <m/>
    <x v="1"/>
    <n v="6204444269"/>
  </r>
  <r>
    <x v="3"/>
    <x v="40"/>
    <x v="40"/>
    <x v="0"/>
    <s v="Proyectos de Inversión"/>
    <x v="76"/>
    <x v="1152"/>
    <x v="468"/>
    <x v="1052"/>
    <n v="3"/>
    <s v="Desarrollo Económico"/>
    <n v="0"/>
    <s v="Energía"/>
    <n v="1"/>
    <x v="67"/>
    <x v="13"/>
    <x v="241"/>
    <n v="2"/>
    <s v="Gasto de capital"/>
    <x v="0"/>
    <x v="0"/>
    <x v="0"/>
    <x v="0"/>
    <x v="0"/>
    <x v="0"/>
    <x v="0"/>
    <m/>
    <x v="0"/>
    <x v="1"/>
    <n v="1"/>
    <n v="2088567445"/>
    <n v="0"/>
    <n v="0"/>
    <n v="2088567445"/>
    <n v="3759178133"/>
    <m/>
    <x v="1"/>
    <n v="3759178133"/>
  </r>
  <r>
    <x v="3"/>
    <x v="40"/>
    <x v="40"/>
    <x v="2"/>
    <s v="Apoyo al proceso presupuestario y para mejorar la eficiencia institucional"/>
    <x v="2"/>
    <x v="34"/>
    <x v="468"/>
    <x v="1052"/>
    <n v="3"/>
    <s v="Desarrollo Económico"/>
    <n v="0"/>
    <s v="Energía"/>
    <n v="1"/>
    <x v="67"/>
    <x v="3"/>
    <x v="12"/>
    <n v="1"/>
    <s v="Gasto corriente"/>
    <x v="2"/>
    <x v="0"/>
    <x v="0"/>
    <x v="0"/>
    <x v="0"/>
    <x v="0"/>
    <x v="0"/>
    <m/>
    <x v="0"/>
    <x v="0"/>
    <m/>
    <n v="3869254166"/>
    <n v="0"/>
    <n v="0"/>
    <n v="3869254166"/>
    <n v="2760733968"/>
    <m/>
    <x v="1"/>
    <n v="2760733968"/>
  </r>
  <r>
    <x v="3"/>
    <x v="40"/>
    <x v="40"/>
    <x v="2"/>
    <s v="Apoyo al proceso presupuestario y para mejorar la eficiencia institucional"/>
    <x v="2"/>
    <x v="34"/>
    <x v="468"/>
    <x v="1052"/>
    <n v="3"/>
    <s v="Desarrollo Económico"/>
    <n v="0"/>
    <s v="Energía"/>
    <n v="1"/>
    <x v="67"/>
    <x v="3"/>
    <x v="12"/>
    <n v="1"/>
    <s v="Gasto corriente"/>
    <x v="0"/>
    <x v="0"/>
    <x v="0"/>
    <x v="0"/>
    <x v="0"/>
    <x v="0"/>
    <x v="0"/>
    <m/>
    <x v="0"/>
    <x v="0"/>
    <m/>
    <n v="7904552815"/>
    <n v="0"/>
    <n v="0"/>
    <n v="7904552815"/>
    <n v="6622240143"/>
    <m/>
    <x v="1"/>
    <n v="6622240143"/>
  </r>
  <r>
    <x v="3"/>
    <x v="40"/>
    <x v="40"/>
    <x v="3"/>
    <s v="Apoyo a la función pública y al mejoramiento de la gestión"/>
    <x v="2"/>
    <x v="42"/>
    <x v="468"/>
    <x v="1052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240132107"/>
    <n v="0"/>
    <n v="0"/>
    <n v="240132107"/>
    <n v="238561077"/>
    <m/>
    <x v="1"/>
    <n v="238561077"/>
  </r>
  <r>
    <x v="3"/>
    <x v="40"/>
    <x v="40"/>
    <x v="5"/>
    <s v="Planeación, seguimiento y evaluación de políticas públicas"/>
    <x v="365"/>
    <x v="1153"/>
    <x v="468"/>
    <x v="1052"/>
    <n v="3"/>
    <s v="Desarrollo Económico"/>
    <n v="0"/>
    <s v="Energía"/>
    <n v="1"/>
    <x v="67"/>
    <x v="13"/>
    <x v="241"/>
    <n v="1"/>
    <s v="Gasto corriente"/>
    <x v="0"/>
    <x v="0"/>
    <x v="0"/>
    <x v="0"/>
    <x v="0"/>
    <x v="0"/>
    <x v="0"/>
    <m/>
    <x v="0"/>
    <x v="0"/>
    <m/>
    <n v="2897403659"/>
    <n v="0"/>
    <n v="0"/>
    <n v="2897403659"/>
    <n v="2574127740"/>
    <m/>
    <x v="1"/>
    <n v="2574127740"/>
  </r>
  <r>
    <x v="3"/>
    <x v="40"/>
    <x v="40"/>
    <x v="5"/>
    <s v="Planeación, seguimiento y evaluación de políticas públicas"/>
    <x v="366"/>
    <x v="1154"/>
    <x v="468"/>
    <x v="1052"/>
    <n v="3"/>
    <s v="Desarrollo Económico"/>
    <n v="0"/>
    <s v="Energía"/>
    <n v="1"/>
    <x v="67"/>
    <x v="1"/>
    <x v="145"/>
    <n v="1"/>
    <s v="Gasto corriente"/>
    <x v="0"/>
    <x v="0"/>
    <x v="0"/>
    <x v="0"/>
    <x v="0"/>
    <x v="0"/>
    <x v="0"/>
    <m/>
    <x v="0"/>
    <x v="0"/>
    <m/>
    <n v="146520089"/>
    <n v="0"/>
    <n v="0"/>
    <n v="146520089"/>
    <n v="169912712"/>
    <m/>
    <x v="1"/>
    <n v="169912712"/>
  </r>
  <r>
    <x v="3"/>
    <x v="40"/>
    <x v="40"/>
    <x v="1"/>
    <s v="Específicos"/>
    <x v="367"/>
    <x v="1155"/>
    <x v="468"/>
    <x v="1052"/>
    <n v="3"/>
    <s v="Desarrollo Económico"/>
    <n v="0"/>
    <s v="Energía"/>
    <n v="1"/>
    <x v="67"/>
    <x v="10"/>
    <x v="238"/>
    <n v="1"/>
    <s v="Gasto corriente"/>
    <x v="0"/>
    <x v="0"/>
    <x v="0"/>
    <x v="0"/>
    <x v="0"/>
    <x v="0"/>
    <x v="0"/>
    <m/>
    <x v="0"/>
    <x v="0"/>
    <m/>
    <m/>
    <m/>
    <m/>
    <m/>
    <n v="968898381"/>
    <m/>
    <x v="1"/>
    <n v="968898381"/>
  </r>
  <r>
    <x v="3"/>
    <x v="40"/>
    <x v="40"/>
    <x v="1"/>
    <s v="Específicos"/>
    <x v="368"/>
    <x v="1156"/>
    <x v="468"/>
    <x v="1052"/>
    <n v="3"/>
    <s v="Desarrollo Económico"/>
    <n v="0"/>
    <s v="Energía"/>
    <n v="1"/>
    <x v="67"/>
    <x v="10"/>
    <x v="238"/>
    <n v="1"/>
    <s v="Gasto corriente"/>
    <x v="0"/>
    <x v="0"/>
    <x v="0"/>
    <x v="0"/>
    <x v="0"/>
    <x v="0"/>
    <x v="0"/>
    <m/>
    <x v="0"/>
    <x v="0"/>
    <m/>
    <n v="72374438106"/>
    <n v="0"/>
    <n v="0"/>
    <n v="72374438106"/>
    <n v="60511094413"/>
    <m/>
    <x v="1"/>
    <n v="60511094413"/>
  </r>
  <r>
    <x v="3"/>
    <x v="40"/>
    <x v="40"/>
    <x v="1"/>
    <s v="Específicos"/>
    <x v="369"/>
    <x v="1157"/>
    <x v="468"/>
    <x v="1052"/>
    <n v="3"/>
    <s v="Desarrollo Económico"/>
    <n v="0"/>
    <s v="Energía"/>
    <n v="1"/>
    <x v="67"/>
    <x v="10"/>
    <x v="238"/>
    <n v="1"/>
    <s v="Gasto corriente"/>
    <x v="0"/>
    <x v="0"/>
    <x v="0"/>
    <x v="0"/>
    <x v="0"/>
    <x v="0"/>
    <x v="0"/>
    <m/>
    <x v="0"/>
    <x v="0"/>
    <m/>
    <n v="405069779"/>
    <n v="0"/>
    <n v="0"/>
    <n v="405069779"/>
    <n v="573809570"/>
    <m/>
    <x v="1"/>
    <n v="573809570"/>
  </r>
  <r>
    <x v="3"/>
    <x v="40"/>
    <x v="40"/>
    <x v="21"/>
    <s v="Operaciones ajenas"/>
    <x v="2"/>
    <x v="1133"/>
    <x v="468"/>
    <x v="1052"/>
    <n v="3"/>
    <s v="Desarrollo Económico"/>
    <n v="0"/>
    <s v="Energía"/>
    <n v="1"/>
    <x v="67"/>
    <x v="3"/>
    <x v="12"/>
    <n v="2"/>
    <s v="Gasto de capital"/>
    <x v="0"/>
    <x v="0"/>
    <x v="0"/>
    <x v="0"/>
    <x v="0"/>
    <x v="0"/>
    <x v="0"/>
    <m/>
    <x v="0"/>
    <x v="0"/>
    <m/>
    <n v="462267500"/>
    <n v="0"/>
    <n v="0"/>
    <n v="462267500"/>
    <n v="500000000"/>
    <m/>
    <x v="1"/>
    <n v="500000000"/>
  </r>
  <r>
    <x v="3"/>
    <x v="41"/>
    <x v="41"/>
    <x v="8"/>
    <s v="Provisión de Bienes Públicos"/>
    <x v="2"/>
    <x v="1158"/>
    <x v="469"/>
    <x v="1053"/>
    <n v="3"/>
    <s v="Desarrollo Económico"/>
    <n v="0"/>
    <s v="Energía"/>
    <n v="2"/>
    <x v="68"/>
    <x v="27"/>
    <x v="243"/>
    <n v="1"/>
    <s v="Gasto corriente"/>
    <x v="0"/>
    <x v="0"/>
    <x v="0"/>
    <x v="0"/>
    <x v="0"/>
    <x v="0"/>
    <x v="0"/>
    <m/>
    <x v="0"/>
    <x v="0"/>
    <m/>
    <n v="56512893677"/>
    <n v="0"/>
    <n v="-5124666855"/>
    <n v="51388226822"/>
    <n v="58381416082"/>
    <n v="2000000000"/>
    <x v="1"/>
    <n v="56381416082"/>
  </r>
  <r>
    <x v="3"/>
    <x v="41"/>
    <x v="41"/>
    <x v="4"/>
    <s v="Prestación de Servicios Públicos"/>
    <x v="11"/>
    <x v="1159"/>
    <x v="469"/>
    <x v="1053"/>
    <n v="3"/>
    <s v="Desarrollo Económico"/>
    <n v="0"/>
    <s v="Energía"/>
    <n v="2"/>
    <x v="68"/>
    <x v="28"/>
    <x v="244"/>
    <n v="1"/>
    <s v="Gasto corriente"/>
    <x v="0"/>
    <x v="0"/>
    <x v="0"/>
    <x v="0"/>
    <x v="0"/>
    <x v="0"/>
    <x v="0"/>
    <m/>
    <x v="0"/>
    <x v="0"/>
    <m/>
    <n v="14428346564"/>
    <n v="0"/>
    <n v="-1709402346"/>
    <n v="12718944218"/>
    <n v="17009280013"/>
    <m/>
    <x v="1"/>
    <n v="17009280013"/>
  </r>
  <r>
    <x v="3"/>
    <x v="41"/>
    <x v="41"/>
    <x v="4"/>
    <s v="Prestación de Servicios Públicos"/>
    <x v="12"/>
    <x v="1160"/>
    <x v="469"/>
    <x v="1053"/>
    <n v="3"/>
    <s v="Desarrollo Económico"/>
    <n v="0"/>
    <s v="Energía"/>
    <n v="2"/>
    <x v="68"/>
    <x v="29"/>
    <x v="245"/>
    <n v="1"/>
    <s v="Gasto corriente"/>
    <x v="0"/>
    <x v="0"/>
    <x v="0"/>
    <x v="0"/>
    <x v="0"/>
    <x v="0"/>
    <x v="0"/>
    <m/>
    <x v="0"/>
    <x v="0"/>
    <m/>
    <n v="3572241637"/>
    <n v="0"/>
    <n v="-371472709"/>
    <n v="3200768928"/>
    <n v="4155648611"/>
    <m/>
    <x v="1"/>
    <n v="4155648611"/>
  </r>
  <r>
    <x v="3"/>
    <x v="41"/>
    <x v="41"/>
    <x v="4"/>
    <s v="Prestación de Servicios Públicos"/>
    <x v="13"/>
    <x v="1161"/>
    <x v="469"/>
    <x v="1053"/>
    <n v="3"/>
    <s v="Desarrollo Económico"/>
    <n v="0"/>
    <s v="Energía"/>
    <n v="2"/>
    <x v="68"/>
    <x v="30"/>
    <x v="246"/>
    <n v="1"/>
    <s v="Gasto corriente"/>
    <x v="0"/>
    <x v="0"/>
    <x v="0"/>
    <x v="0"/>
    <x v="0"/>
    <x v="0"/>
    <x v="0"/>
    <m/>
    <x v="0"/>
    <x v="1"/>
    <m/>
    <n v="2653747736"/>
    <n v="0"/>
    <n v="-264187021"/>
    <n v="2389560715"/>
    <n v="3059999489"/>
    <m/>
    <x v="1"/>
    <n v="3059999489"/>
  </r>
  <r>
    <x v="3"/>
    <x v="41"/>
    <x v="41"/>
    <x v="4"/>
    <s v="Prestación de Servicios Públicos"/>
    <x v="14"/>
    <x v="1162"/>
    <x v="469"/>
    <x v="1053"/>
    <n v="3"/>
    <s v="Desarrollo Económico"/>
    <n v="0"/>
    <s v="Energía"/>
    <n v="2"/>
    <x v="68"/>
    <x v="31"/>
    <x v="247"/>
    <n v="1"/>
    <s v="Gasto corriente"/>
    <x v="0"/>
    <x v="0"/>
    <x v="0"/>
    <x v="0"/>
    <x v="0"/>
    <x v="0"/>
    <x v="0"/>
    <m/>
    <x v="0"/>
    <x v="0"/>
    <m/>
    <n v="6626937798"/>
    <n v="0"/>
    <n v="-217955495"/>
    <n v="6408982303"/>
    <n v="7406596695"/>
    <m/>
    <x v="1"/>
    <n v="7406596695"/>
  </r>
  <r>
    <x v="3"/>
    <x v="41"/>
    <x v="41"/>
    <x v="4"/>
    <s v="Prestación de Servicios Públicos"/>
    <x v="15"/>
    <x v="1163"/>
    <x v="469"/>
    <x v="1053"/>
    <n v="3"/>
    <s v="Desarrollo Económico"/>
    <n v="0"/>
    <s v="Energía"/>
    <n v="2"/>
    <x v="68"/>
    <x v="32"/>
    <x v="248"/>
    <n v="1"/>
    <s v="Gasto corriente"/>
    <x v="0"/>
    <x v="0"/>
    <x v="0"/>
    <x v="0"/>
    <x v="0"/>
    <x v="0"/>
    <x v="0"/>
    <m/>
    <x v="0"/>
    <x v="0"/>
    <m/>
    <n v="1022525011"/>
    <n v="0"/>
    <n v="-83060561"/>
    <n v="939464450"/>
    <n v="1017514666"/>
    <m/>
    <x v="1"/>
    <n v="1017514666"/>
  </r>
  <r>
    <x v="3"/>
    <x v="41"/>
    <x v="41"/>
    <x v="4"/>
    <s v="Prestación de Servicios Públicos"/>
    <x v="16"/>
    <x v="1164"/>
    <x v="469"/>
    <x v="1053"/>
    <n v="3"/>
    <s v="Desarrollo Económico"/>
    <n v="0"/>
    <s v="Energía"/>
    <n v="2"/>
    <x v="68"/>
    <x v="33"/>
    <x v="249"/>
    <n v="1"/>
    <s v="Gasto corriente"/>
    <x v="2"/>
    <x v="0"/>
    <x v="0"/>
    <x v="0"/>
    <x v="0"/>
    <x v="0"/>
    <x v="0"/>
    <m/>
    <x v="0"/>
    <x v="0"/>
    <m/>
    <n v="40298435649"/>
    <n v="0"/>
    <n v="0"/>
    <n v="40298435649"/>
    <n v="42495000006"/>
    <m/>
    <x v="1"/>
    <n v="42495000006"/>
  </r>
  <r>
    <x v="3"/>
    <x v="41"/>
    <x v="41"/>
    <x v="4"/>
    <s v="Prestación de Servicios Públicos"/>
    <x v="16"/>
    <x v="1164"/>
    <x v="469"/>
    <x v="1053"/>
    <n v="3"/>
    <s v="Desarrollo Económico"/>
    <n v="0"/>
    <s v="Energía"/>
    <n v="2"/>
    <x v="68"/>
    <x v="33"/>
    <x v="249"/>
    <n v="1"/>
    <s v="Gasto corriente"/>
    <x v="0"/>
    <x v="0"/>
    <x v="0"/>
    <x v="0"/>
    <x v="0"/>
    <x v="0"/>
    <x v="0"/>
    <m/>
    <x v="0"/>
    <x v="0"/>
    <m/>
    <n v="3215635164"/>
    <n v="0"/>
    <n v="-285019765"/>
    <n v="2930615399"/>
    <n v="8056960732"/>
    <m/>
    <x v="1"/>
    <n v="8056960732"/>
  </r>
  <r>
    <x v="3"/>
    <x v="41"/>
    <x v="41"/>
    <x v="16"/>
    <s v="Pensiones y jubilaciones"/>
    <x v="3"/>
    <x v="1165"/>
    <x v="469"/>
    <x v="1053"/>
    <n v="3"/>
    <s v="Desarrollo Económico"/>
    <n v="0"/>
    <s v="Energía"/>
    <n v="2"/>
    <x v="68"/>
    <x v="34"/>
    <x v="250"/>
    <n v="1"/>
    <s v="Gasto corriente"/>
    <x v="0"/>
    <x v="0"/>
    <x v="0"/>
    <x v="0"/>
    <x v="0"/>
    <x v="0"/>
    <x v="0"/>
    <m/>
    <x v="0"/>
    <x v="0"/>
    <m/>
    <n v="26181900003"/>
    <n v="0"/>
    <n v="0"/>
    <n v="26181900003"/>
    <n v="29173527251"/>
    <m/>
    <x v="1"/>
    <n v="29173527251"/>
  </r>
  <r>
    <x v="3"/>
    <x v="41"/>
    <x v="41"/>
    <x v="0"/>
    <s v="Proyectos de Inversión"/>
    <x v="3"/>
    <x v="1166"/>
    <x v="469"/>
    <x v="1053"/>
    <n v="3"/>
    <s v="Desarrollo Económico"/>
    <n v="0"/>
    <s v="Energía"/>
    <n v="2"/>
    <x v="68"/>
    <x v="27"/>
    <x v="243"/>
    <n v="2"/>
    <s v="Gasto de capital"/>
    <x v="0"/>
    <x v="0"/>
    <x v="0"/>
    <x v="0"/>
    <x v="0"/>
    <x v="0"/>
    <x v="0"/>
    <m/>
    <x v="0"/>
    <x v="0"/>
    <m/>
    <n v="185243415656"/>
    <n v="0"/>
    <n v="0"/>
    <n v="185243415656"/>
    <n v="198514714954"/>
    <m/>
    <x v="1"/>
    <n v="198514714954"/>
  </r>
  <r>
    <x v="3"/>
    <x v="41"/>
    <x v="41"/>
    <x v="0"/>
    <s v="Proyectos de Inversión"/>
    <x v="3"/>
    <x v="1166"/>
    <x v="469"/>
    <x v="1053"/>
    <n v="3"/>
    <s v="Desarrollo Económico"/>
    <n v="0"/>
    <s v="Energía"/>
    <n v="2"/>
    <x v="68"/>
    <x v="28"/>
    <x v="244"/>
    <n v="2"/>
    <s v="Gasto de capital"/>
    <x v="0"/>
    <x v="0"/>
    <x v="0"/>
    <x v="0"/>
    <x v="0"/>
    <x v="0"/>
    <x v="0"/>
    <m/>
    <x v="0"/>
    <x v="0"/>
    <m/>
    <n v="13085696551"/>
    <n v="0"/>
    <n v="0"/>
    <n v="13085696551"/>
    <n v="17337172754"/>
    <m/>
    <x v="1"/>
    <n v="17337172754"/>
  </r>
  <r>
    <x v="3"/>
    <x v="41"/>
    <x v="41"/>
    <x v="0"/>
    <s v="Proyectos de Inversión"/>
    <x v="3"/>
    <x v="1166"/>
    <x v="469"/>
    <x v="1053"/>
    <n v="3"/>
    <s v="Desarrollo Económico"/>
    <n v="0"/>
    <s v="Energía"/>
    <n v="2"/>
    <x v="68"/>
    <x v="29"/>
    <x v="245"/>
    <n v="2"/>
    <s v="Gasto de capital"/>
    <x v="0"/>
    <x v="0"/>
    <x v="0"/>
    <x v="0"/>
    <x v="0"/>
    <x v="0"/>
    <x v="0"/>
    <m/>
    <x v="0"/>
    <x v="0"/>
    <m/>
    <n v="89042495"/>
    <n v="0"/>
    <n v="0"/>
    <n v="89042495"/>
    <n v="676379"/>
    <m/>
    <x v="1"/>
    <n v="676379"/>
  </r>
  <r>
    <x v="3"/>
    <x v="41"/>
    <x v="41"/>
    <x v="0"/>
    <s v="Proyectos de Inversión"/>
    <x v="3"/>
    <x v="1166"/>
    <x v="469"/>
    <x v="1053"/>
    <n v="3"/>
    <s v="Desarrollo Económico"/>
    <n v="0"/>
    <s v="Energía"/>
    <n v="2"/>
    <x v="68"/>
    <x v="35"/>
    <x v="251"/>
    <n v="2"/>
    <s v="Gasto de capital"/>
    <x v="0"/>
    <x v="0"/>
    <x v="0"/>
    <x v="0"/>
    <x v="0"/>
    <x v="0"/>
    <x v="0"/>
    <m/>
    <x v="0"/>
    <x v="0"/>
    <m/>
    <n v="34035868686"/>
    <n v="0"/>
    <n v="0"/>
    <n v="34035868686"/>
    <n v="35383226898"/>
    <m/>
    <x v="1"/>
    <n v="35383226898"/>
  </r>
  <r>
    <x v="3"/>
    <x v="41"/>
    <x v="41"/>
    <x v="0"/>
    <s v="Proyectos de Inversión"/>
    <x v="3"/>
    <x v="1166"/>
    <x v="469"/>
    <x v="1053"/>
    <n v="3"/>
    <s v="Desarrollo Económico"/>
    <n v="0"/>
    <s v="Energía"/>
    <n v="2"/>
    <x v="68"/>
    <x v="30"/>
    <x v="246"/>
    <n v="2"/>
    <s v="Gasto de capital"/>
    <x v="0"/>
    <x v="0"/>
    <x v="0"/>
    <x v="0"/>
    <x v="0"/>
    <x v="0"/>
    <x v="0"/>
    <m/>
    <x v="0"/>
    <x v="1"/>
    <m/>
    <n v="7688539607"/>
    <n v="0"/>
    <n v="0"/>
    <n v="7688539607"/>
    <n v="7918675589"/>
    <m/>
    <x v="1"/>
    <n v="7918675589"/>
  </r>
  <r>
    <x v="3"/>
    <x v="41"/>
    <x v="41"/>
    <x v="0"/>
    <s v="Proyectos de Inversión"/>
    <x v="12"/>
    <x v="444"/>
    <x v="469"/>
    <x v="1053"/>
    <n v="3"/>
    <s v="Desarrollo Económico"/>
    <n v="0"/>
    <s v="Energía"/>
    <n v="2"/>
    <x v="68"/>
    <x v="31"/>
    <x v="247"/>
    <n v="2"/>
    <s v="Gasto de capital"/>
    <x v="0"/>
    <x v="0"/>
    <x v="0"/>
    <x v="0"/>
    <x v="0"/>
    <x v="0"/>
    <x v="0"/>
    <m/>
    <x v="0"/>
    <x v="0"/>
    <m/>
    <n v="233320776"/>
    <n v="0"/>
    <n v="0"/>
    <n v="233320776"/>
    <n v="495389599"/>
    <m/>
    <x v="1"/>
    <n v="495389599"/>
  </r>
  <r>
    <x v="3"/>
    <x v="41"/>
    <x v="41"/>
    <x v="0"/>
    <s v="Proyectos de Inversión"/>
    <x v="13"/>
    <x v="471"/>
    <x v="469"/>
    <x v="1053"/>
    <n v="3"/>
    <s v="Desarrollo Económico"/>
    <n v="0"/>
    <s v="Energía"/>
    <n v="2"/>
    <x v="68"/>
    <x v="33"/>
    <x v="249"/>
    <n v="2"/>
    <s v="Gasto de capital"/>
    <x v="0"/>
    <x v="0"/>
    <x v="0"/>
    <x v="0"/>
    <x v="0"/>
    <x v="0"/>
    <x v="0"/>
    <m/>
    <x v="0"/>
    <x v="0"/>
    <m/>
    <n v="14000000"/>
    <n v="0"/>
    <n v="0"/>
    <n v="14000000"/>
    <n v="46841349"/>
    <m/>
    <x v="1"/>
    <n v="46841349"/>
  </r>
  <r>
    <x v="3"/>
    <x v="41"/>
    <x v="41"/>
    <x v="0"/>
    <s v="Proyectos de Inversión"/>
    <x v="15"/>
    <x v="119"/>
    <x v="469"/>
    <x v="1053"/>
    <n v="3"/>
    <s v="Desarrollo Económico"/>
    <n v="0"/>
    <s v="Energía"/>
    <n v="2"/>
    <x v="68"/>
    <x v="30"/>
    <x v="246"/>
    <n v="2"/>
    <s v="Gasto de capital"/>
    <x v="0"/>
    <x v="0"/>
    <x v="0"/>
    <x v="0"/>
    <x v="0"/>
    <x v="0"/>
    <x v="0"/>
    <m/>
    <x v="0"/>
    <x v="1"/>
    <m/>
    <n v="2662168"/>
    <n v="0"/>
    <n v="0"/>
    <n v="2662168"/>
    <n v="317581"/>
    <m/>
    <x v="1"/>
    <n v="317581"/>
  </r>
  <r>
    <x v="3"/>
    <x v="41"/>
    <x v="41"/>
    <x v="0"/>
    <s v="Proyectos de Inversión"/>
    <x v="0"/>
    <x v="0"/>
    <x v="469"/>
    <x v="1053"/>
    <n v="3"/>
    <s v="Desarrollo Económico"/>
    <n v="0"/>
    <s v="Energía"/>
    <n v="2"/>
    <x v="68"/>
    <x v="33"/>
    <x v="249"/>
    <n v="2"/>
    <s v="Gasto de capital"/>
    <x v="0"/>
    <x v="0"/>
    <x v="0"/>
    <x v="0"/>
    <x v="0"/>
    <x v="0"/>
    <x v="0"/>
    <m/>
    <x v="0"/>
    <x v="0"/>
    <m/>
    <n v="40223526"/>
    <n v="0"/>
    <n v="0"/>
    <n v="40223526"/>
    <n v="1760493"/>
    <m/>
    <x v="1"/>
    <n v="1760493"/>
  </r>
  <r>
    <x v="3"/>
    <x v="41"/>
    <x v="41"/>
    <x v="0"/>
    <s v="Proyectos de Inversión"/>
    <x v="25"/>
    <x v="186"/>
    <x v="469"/>
    <x v="1053"/>
    <n v="3"/>
    <s v="Desarrollo Económico"/>
    <n v="0"/>
    <s v="Energía"/>
    <n v="2"/>
    <x v="68"/>
    <x v="27"/>
    <x v="243"/>
    <n v="2"/>
    <s v="Gasto de capital"/>
    <x v="0"/>
    <x v="0"/>
    <x v="0"/>
    <x v="0"/>
    <x v="0"/>
    <x v="0"/>
    <x v="0"/>
    <m/>
    <x v="0"/>
    <x v="0"/>
    <m/>
    <n v="1415849427"/>
    <n v="0"/>
    <n v="0"/>
    <n v="1415849427"/>
    <n v="2636575643"/>
    <m/>
    <x v="1"/>
    <n v="2636575643"/>
  </r>
  <r>
    <x v="3"/>
    <x v="41"/>
    <x v="41"/>
    <x v="0"/>
    <s v="Proyectos de Inversión"/>
    <x v="25"/>
    <x v="186"/>
    <x v="469"/>
    <x v="1053"/>
    <n v="3"/>
    <s v="Desarrollo Económico"/>
    <n v="0"/>
    <s v="Energía"/>
    <n v="2"/>
    <x v="68"/>
    <x v="28"/>
    <x v="244"/>
    <n v="2"/>
    <s v="Gasto de capital"/>
    <x v="0"/>
    <x v="0"/>
    <x v="0"/>
    <x v="0"/>
    <x v="0"/>
    <x v="0"/>
    <x v="0"/>
    <m/>
    <x v="0"/>
    <x v="0"/>
    <m/>
    <n v="645366670"/>
    <n v="0"/>
    <n v="0"/>
    <n v="645366670"/>
    <n v="700829999"/>
    <m/>
    <x v="1"/>
    <n v="700829999"/>
  </r>
  <r>
    <x v="3"/>
    <x v="41"/>
    <x v="41"/>
    <x v="0"/>
    <s v="Proyectos de Inversión"/>
    <x v="25"/>
    <x v="186"/>
    <x v="469"/>
    <x v="1053"/>
    <n v="3"/>
    <s v="Desarrollo Económico"/>
    <n v="0"/>
    <s v="Energía"/>
    <n v="2"/>
    <x v="68"/>
    <x v="29"/>
    <x v="245"/>
    <n v="2"/>
    <s v="Gasto de capital"/>
    <x v="0"/>
    <x v="0"/>
    <x v="0"/>
    <x v="0"/>
    <x v="0"/>
    <x v="0"/>
    <x v="0"/>
    <m/>
    <x v="0"/>
    <x v="0"/>
    <m/>
    <n v="120337179"/>
    <n v="0"/>
    <n v="0"/>
    <n v="120337179"/>
    <n v="152261932"/>
    <m/>
    <x v="1"/>
    <n v="152261932"/>
  </r>
  <r>
    <x v="3"/>
    <x v="41"/>
    <x v="41"/>
    <x v="0"/>
    <s v="Proyectos de Inversión"/>
    <x v="25"/>
    <x v="186"/>
    <x v="469"/>
    <x v="1053"/>
    <n v="3"/>
    <s v="Desarrollo Económico"/>
    <n v="0"/>
    <s v="Energía"/>
    <n v="2"/>
    <x v="68"/>
    <x v="30"/>
    <x v="246"/>
    <n v="2"/>
    <s v="Gasto de capital"/>
    <x v="0"/>
    <x v="0"/>
    <x v="0"/>
    <x v="0"/>
    <x v="0"/>
    <x v="0"/>
    <x v="0"/>
    <m/>
    <x v="0"/>
    <x v="1"/>
    <m/>
    <n v="19855952"/>
    <n v="0"/>
    <n v="0"/>
    <n v="19855952"/>
    <n v="23158586"/>
    <m/>
    <x v="1"/>
    <n v="23158586"/>
  </r>
  <r>
    <x v="3"/>
    <x v="41"/>
    <x v="41"/>
    <x v="0"/>
    <s v="Proyectos de Inversión"/>
    <x v="25"/>
    <x v="186"/>
    <x v="469"/>
    <x v="1053"/>
    <n v="3"/>
    <s v="Desarrollo Económico"/>
    <n v="0"/>
    <s v="Energía"/>
    <n v="2"/>
    <x v="68"/>
    <x v="31"/>
    <x v="247"/>
    <n v="2"/>
    <s v="Gasto de capital"/>
    <x v="0"/>
    <x v="0"/>
    <x v="0"/>
    <x v="0"/>
    <x v="0"/>
    <x v="0"/>
    <x v="0"/>
    <m/>
    <x v="0"/>
    <x v="0"/>
    <m/>
    <n v="62962722"/>
    <n v="0"/>
    <n v="0"/>
    <n v="62962722"/>
    <m/>
    <m/>
    <x v="1"/>
    <n v="0"/>
  </r>
  <r>
    <x v="3"/>
    <x v="41"/>
    <x v="41"/>
    <x v="0"/>
    <s v="Proyectos de Inversión"/>
    <x v="25"/>
    <x v="186"/>
    <x v="469"/>
    <x v="1053"/>
    <n v="3"/>
    <s v="Desarrollo Económico"/>
    <n v="0"/>
    <s v="Energía"/>
    <n v="2"/>
    <x v="68"/>
    <x v="32"/>
    <x v="248"/>
    <n v="2"/>
    <s v="Gasto de capital"/>
    <x v="0"/>
    <x v="0"/>
    <x v="0"/>
    <x v="0"/>
    <x v="0"/>
    <x v="0"/>
    <x v="0"/>
    <m/>
    <x v="0"/>
    <x v="0"/>
    <m/>
    <m/>
    <m/>
    <m/>
    <m/>
    <n v="650478556"/>
    <m/>
    <x v="1"/>
    <n v="650478556"/>
  </r>
  <r>
    <x v="3"/>
    <x v="41"/>
    <x v="41"/>
    <x v="0"/>
    <s v="Proyectos de Inversión"/>
    <x v="25"/>
    <x v="186"/>
    <x v="469"/>
    <x v="1053"/>
    <n v="3"/>
    <s v="Desarrollo Económico"/>
    <n v="0"/>
    <s v="Energía"/>
    <n v="2"/>
    <x v="68"/>
    <x v="33"/>
    <x v="249"/>
    <n v="2"/>
    <s v="Gasto de capital"/>
    <x v="0"/>
    <x v="0"/>
    <x v="0"/>
    <x v="0"/>
    <x v="0"/>
    <x v="0"/>
    <x v="0"/>
    <m/>
    <x v="0"/>
    <x v="0"/>
    <m/>
    <m/>
    <m/>
    <m/>
    <m/>
    <n v="1665733"/>
    <m/>
    <x v="1"/>
    <n v="1665733"/>
  </r>
  <r>
    <x v="3"/>
    <x v="41"/>
    <x v="41"/>
    <x v="0"/>
    <s v="Proyectos de Inversión"/>
    <x v="1"/>
    <x v="1"/>
    <x v="469"/>
    <x v="1053"/>
    <n v="3"/>
    <s v="Desarrollo Económico"/>
    <n v="0"/>
    <s v="Energía"/>
    <n v="2"/>
    <x v="68"/>
    <x v="27"/>
    <x v="243"/>
    <n v="2"/>
    <s v="Gasto de capital"/>
    <x v="0"/>
    <x v="0"/>
    <x v="0"/>
    <x v="0"/>
    <x v="0"/>
    <x v="0"/>
    <x v="0"/>
    <m/>
    <x v="0"/>
    <x v="0"/>
    <m/>
    <n v="7305683941"/>
    <n v="0"/>
    <n v="0"/>
    <n v="7305683941"/>
    <n v="11018632096"/>
    <m/>
    <x v="1"/>
    <n v="11018632096"/>
  </r>
  <r>
    <x v="3"/>
    <x v="41"/>
    <x v="41"/>
    <x v="0"/>
    <s v="Proyectos de Inversión"/>
    <x v="1"/>
    <x v="1"/>
    <x v="469"/>
    <x v="1053"/>
    <n v="3"/>
    <s v="Desarrollo Económico"/>
    <n v="0"/>
    <s v="Energía"/>
    <n v="2"/>
    <x v="68"/>
    <x v="28"/>
    <x v="244"/>
    <n v="2"/>
    <s v="Gasto de capital"/>
    <x v="0"/>
    <x v="0"/>
    <x v="0"/>
    <x v="0"/>
    <x v="0"/>
    <x v="0"/>
    <x v="0"/>
    <m/>
    <x v="0"/>
    <x v="0"/>
    <m/>
    <n v="3410773087"/>
    <n v="0"/>
    <n v="0"/>
    <n v="3410773087"/>
    <n v="2741649105"/>
    <m/>
    <x v="1"/>
    <n v="2741649105"/>
  </r>
  <r>
    <x v="3"/>
    <x v="41"/>
    <x v="41"/>
    <x v="0"/>
    <s v="Proyectos de Inversión"/>
    <x v="1"/>
    <x v="1"/>
    <x v="469"/>
    <x v="1053"/>
    <n v="3"/>
    <s v="Desarrollo Económico"/>
    <n v="0"/>
    <s v="Energía"/>
    <n v="2"/>
    <x v="68"/>
    <x v="29"/>
    <x v="245"/>
    <n v="2"/>
    <s v="Gasto de capital"/>
    <x v="0"/>
    <x v="0"/>
    <x v="0"/>
    <x v="0"/>
    <x v="0"/>
    <x v="0"/>
    <x v="0"/>
    <m/>
    <x v="0"/>
    <x v="0"/>
    <m/>
    <n v="1550063"/>
    <n v="0"/>
    <n v="0"/>
    <n v="1550063"/>
    <n v="1605930"/>
    <m/>
    <x v="1"/>
    <n v="1605930"/>
  </r>
  <r>
    <x v="3"/>
    <x v="41"/>
    <x v="41"/>
    <x v="0"/>
    <s v="Proyectos de Inversión"/>
    <x v="1"/>
    <x v="1"/>
    <x v="469"/>
    <x v="1053"/>
    <n v="3"/>
    <s v="Desarrollo Económico"/>
    <n v="0"/>
    <s v="Energía"/>
    <n v="2"/>
    <x v="68"/>
    <x v="30"/>
    <x v="246"/>
    <n v="2"/>
    <s v="Gasto de capital"/>
    <x v="0"/>
    <x v="0"/>
    <x v="0"/>
    <x v="0"/>
    <x v="0"/>
    <x v="0"/>
    <x v="0"/>
    <m/>
    <x v="0"/>
    <x v="1"/>
    <m/>
    <n v="83349727"/>
    <n v="0"/>
    <n v="0"/>
    <n v="83349727"/>
    <n v="142256432"/>
    <m/>
    <x v="1"/>
    <n v="142256432"/>
  </r>
  <r>
    <x v="3"/>
    <x v="41"/>
    <x v="41"/>
    <x v="0"/>
    <s v="Proyectos de Inversión"/>
    <x v="1"/>
    <x v="1"/>
    <x v="469"/>
    <x v="1053"/>
    <n v="3"/>
    <s v="Desarrollo Económico"/>
    <n v="0"/>
    <s v="Energía"/>
    <n v="2"/>
    <x v="68"/>
    <x v="32"/>
    <x v="248"/>
    <n v="2"/>
    <s v="Gasto de capital"/>
    <x v="0"/>
    <x v="0"/>
    <x v="0"/>
    <x v="0"/>
    <x v="0"/>
    <x v="0"/>
    <x v="0"/>
    <m/>
    <x v="0"/>
    <x v="0"/>
    <m/>
    <n v="54105088"/>
    <n v="0"/>
    <n v="0"/>
    <n v="54105088"/>
    <n v="52823088"/>
    <m/>
    <x v="1"/>
    <n v="52823088"/>
  </r>
  <r>
    <x v="3"/>
    <x v="41"/>
    <x v="41"/>
    <x v="0"/>
    <s v="Proyectos de Inversión"/>
    <x v="31"/>
    <x v="120"/>
    <x v="469"/>
    <x v="1053"/>
    <n v="3"/>
    <s v="Desarrollo Económico"/>
    <n v="0"/>
    <s v="Energía"/>
    <n v="2"/>
    <x v="68"/>
    <x v="27"/>
    <x v="243"/>
    <n v="2"/>
    <s v="Gasto de capital"/>
    <x v="0"/>
    <x v="0"/>
    <x v="0"/>
    <x v="0"/>
    <x v="0"/>
    <x v="0"/>
    <x v="0"/>
    <m/>
    <x v="0"/>
    <x v="0"/>
    <m/>
    <n v="5485829574"/>
    <n v="0"/>
    <n v="0"/>
    <n v="5485829574"/>
    <n v="4156671187"/>
    <m/>
    <x v="1"/>
    <n v="4156671187"/>
  </r>
  <r>
    <x v="3"/>
    <x v="41"/>
    <x v="41"/>
    <x v="0"/>
    <s v="Proyectos de Inversión"/>
    <x v="31"/>
    <x v="120"/>
    <x v="469"/>
    <x v="1053"/>
    <n v="3"/>
    <s v="Desarrollo Económico"/>
    <n v="0"/>
    <s v="Energía"/>
    <n v="2"/>
    <x v="68"/>
    <x v="28"/>
    <x v="244"/>
    <n v="2"/>
    <s v="Gasto de capital"/>
    <x v="0"/>
    <x v="0"/>
    <x v="0"/>
    <x v="0"/>
    <x v="0"/>
    <x v="0"/>
    <x v="0"/>
    <m/>
    <x v="0"/>
    <x v="0"/>
    <m/>
    <n v="365733738"/>
    <n v="0"/>
    <n v="0"/>
    <n v="365733738"/>
    <n v="35701428"/>
    <m/>
    <x v="1"/>
    <n v="35701428"/>
  </r>
  <r>
    <x v="3"/>
    <x v="41"/>
    <x v="41"/>
    <x v="0"/>
    <s v="Proyectos de Inversión"/>
    <x v="31"/>
    <x v="120"/>
    <x v="469"/>
    <x v="1053"/>
    <n v="3"/>
    <s v="Desarrollo Económico"/>
    <n v="0"/>
    <s v="Energía"/>
    <n v="2"/>
    <x v="68"/>
    <x v="30"/>
    <x v="246"/>
    <n v="2"/>
    <s v="Gasto de capital"/>
    <x v="0"/>
    <x v="0"/>
    <x v="0"/>
    <x v="0"/>
    <x v="0"/>
    <x v="0"/>
    <x v="0"/>
    <m/>
    <x v="0"/>
    <x v="1"/>
    <m/>
    <n v="972242244"/>
    <n v="0"/>
    <n v="0"/>
    <n v="972242244"/>
    <n v="1285705439"/>
    <m/>
    <x v="1"/>
    <n v="1285705439"/>
  </r>
  <r>
    <x v="3"/>
    <x v="41"/>
    <x v="41"/>
    <x v="0"/>
    <s v="Proyectos de Inversión"/>
    <x v="26"/>
    <x v="1151"/>
    <x v="469"/>
    <x v="1053"/>
    <n v="1"/>
    <s v="Gobierno"/>
    <n v="8"/>
    <s v="Administración Pública"/>
    <n v="3"/>
    <x v="6"/>
    <x v="2"/>
    <x v="13"/>
    <n v="2"/>
    <s v="Gasto de capital"/>
    <x v="0"/>
    <x v="0"/>
    <x v="0"/>
    <x v="0"/>
    <x v="0"/>
    <x v="0"/>
    <x v="0"/>
    <m/>
    <x v="0"/>
    <x v="0"/>
    <m/>
    <n v="7768418"/>
    <n v="0"/>
    <n v="0"/>
    <n v="7768418"/>
    <n v="17969886"/>
    <m/>
    <x v="1"/>
    <n v="17969886"/>
  </r>
  <r>
    <x v="3"/>
    <x v="41"/>
    <x v="41"/>
    <x v="0"/>
    <s v="Proyectos de Inversión"/>
    <x v="26"/>
    <x v="1151"/>
    <x v="469"/>
    <x v="1053"/>
    <n v="3"/>
    <s v="Desarrollo Económico"/>
    <n v="0"/>
    <s v="Energía"/>
    <n v="2"/>
    <x v="68"/>
    <x v="27"/>
    <x v="243"/>
    <n v="2"/>
    <s v="Gasto de capital"/>
    <x v="0"/>
    <x v="0"/>
    <x v="0"/>
    <x v="0"/>
    <x v="0"/>
    <x v="0"/>
    <x v="0"/>
    <m/>
    <x v="0"/>
    <x v="0"/>
    <m/>
    <n v="660928261"/>
    <n v="0"/>
    <n v="0"/>
    <n v="660928261"/>
    <n v="577274540"/>
    <m/>
    <x v="1"/>
    <n v="577274540"/>
  </r>
  <r>
    <x v="3"/>
    <x v="41"/>
    <x v="41"/>
    <x v="0"/>
    <s v="Proyectos de Inversión"/>
    <x v="26"/>
    <x v="1151"/>
    <x v="469"/>
    <x v="1053"/>
    <n v="3"/>
    <s v="Desarrollo Económico"/>
    <n v="0"/>
    <s v="Energía"/>
    <n v="2"/>
    <x v="68"/>
    <x v="28"/>
    <x v="244"/>
    <n v="2"/>
    <s v="Gasto de capital"/>
    <x v="0"/>
    <x v="0"/>
    <x v="0"/>
    <x v="0"/>
    <x v="0"/>
    <x v="0"/>
    <x v="0"/>
    <m/>
    <x v="0"/>
    <x v="0"/>
    <m/>
    <n v="77827297"/>
    <n v="0"/>
    <n v="0"/>
    <n v="77827297"/>
    <n v="16812697"/>
    <m/>
    <x v="1"/>
    <n v="16812697"/>
  </r>
  <r>
    <x v="3"/>
    <x v="41"/>
    <x v="41"/>
    <x v="0"/>
    <s v="Proyectos de Inversión"/>
    <x v="26"/>
    <x v="1151"/>
    <x v="469"/>
    <x v="1053"/>
    <n v="3"/>
    <s v="Desarrollo Económico"/>
    <n v="0"/>
    <s v="Energía"/>
    <n v="2"/>
    <x v="68"/>
    <x v="29"/>
    <x v="245"/>
    <n v="2"/>
    <s v="Gasto de capital"/>
    <x v="0"/>
    <x v="0"/>
    <x v="0"/>
    <x v="0"/>
    <x v="0"/>
    <x v="0"/>
    <x v="0"/>
    <m/>
    <x v="0"/>
    <x v="0"/>
    <m/>
    <n v="59999997"/>
    <n v="0"/>
    <n v="0"/>
    <n v="59999997"/>
    <n v="119585052"/>
    <m/>
    <x v="1"/>
    <n v="119585052"/>
  </r>
  <r>
    <x v="3"/>
    <x v="41"/>
    <x v="41"/>
    <x v="0"/>
    <s v="Proyectos de Inversión"/>
    <x v="26"/>
    <x v="1151"/>
    <x v="469"/>
    <x v="1053"/>
    <n v="3"/>
    <s v="Desarrollo Económico"/>
    <n v="0"/>
    <s v="Energía"/>
    <n v="2"/>
    <x v="68"/>
    <x v="30"/>
    <x v="246"/>
    <n v="2"/>
    <s v="Gasto de capital"/>
    <x v="0"/>
    <x v="0"/>
    <x v="0"/>
    <x v="0"/>
    <x v="0"/>
    <x v="0"/>
    <x v="0"/>
    <m/>
    <x v="0"/>
    <x v="1"/>
    <m/>
    <n v="57000000"/>
    <n v="0"/>
    <n v="0"/>
    <n v="57000000"/>
    <m/>
    <m/>
    <x v="1"/>
    <n v="0"/>
  </r>
  <r>
    <x v="3"/>
    <x v="41"/>
    <x v="41"/>
    <x v="0"/>
    <s v="Proyectos de Inversión"/>
    <x v="26"/>
    <x v="1151"/>
    <x v="469"/>
    <x v="1053"/>
    <n v="3"/>
    <s v="Desarrollo Económico"/>
    <n v="0"/>
    <s v="Energía"/>
    <n v="2"/>
    <x v="68"/>
    <x v="31"/>
    <x v="247"/>
    <n v="2"/>
    <s v="Gasto de capital"/>
    <x v="0"/>
    <x v="0"/>
    <x v="0"/>
    <x v="0"/>
    <x v="0"/>
    <x v="0"/>
    <x v="0"/>
    <m/>
    <x v="0"/>
    <x v="0"/>
    <m/>
    <n v="172801080"/>
    <n v="0"/>
    <n v="0"/>
    <n v="172801080"/>
    <n v="199021931"/>
    <m/>
    <x v="1"/>
    <n v="199021931"/>
  </r>
  <r>
    <x v="3"/>
    <x v="41"/>
    <x v="41"/>
    <x v="0"/>
    <s v="Proyectos de Inversión"/>
    <x v="26"/>
    <x v="1151"/>
    <x v="469"/>
    <x v="1053"/>
    <n v="3"/>
    <s v="Desarrollo Económico"/>
    <n v="0"/>
    <s v="Energía"/>
    <n v="2"/>
    <x v="68"/>
    <x v="32"/>
    <x v="248"/>
    <n v="2"/>
    <s v="Gasto de capital"/>
    <x v="0"/>
    <x v="0"/>
    <x v="0"/>
    <x v="0"/>
    <x v="0"/>
    <x v="0"/>
    <x v="0"/>
    <m/>
    <x v="0"/>
    <x v="0"/>
    <m/>
    <n v="27954390"/>
    <n v="0"/>
    <n v="0"/>
    <n v="27954390"/>
    <m/>
    <m/>
    <x v="1"/>
    <n v="0"/>
  </r>
  <r>
    <x v="3"/>
    <x v="41"/>
    <x v="41"/>
    <x v="0"/>
    <s v="Proyectos de Inversión"/>
    <x v="26"/>
    <x v="1151"/>
    <x v="469"/>
    <x v="1053"/>
    <n v="3"/>
    <s v="Desarrollo Económico"/>
    <n v="0"/>
    <s v="Energía"/>
    <n v="2"/>
    <x v="68"/>
    <x v="33"/>
    <x v="249"/>
    <n v="2"/>
    <s v="Gasto de capital"/>
    <x v="0"/>
    <x v="0"/>
    <x v="0"/>
    <x v="0"/>
    <x v="0"/>
    <x v="0"/>
    <x v="0"/>
    <m/>
    <x v="0"/>
    <x v="0"/>
    <m/>
    <n v="258164000"/>
    <n v="0"/>
    <n v="0"/>
    <n v="258164000"/>
    <n v="334247923"/>
    <m/>
    <x v="1"/>
    <n v="334247923"/>
  </r>
  <r>
    <x v="3"/>
    <x v="41"/>
    <x v="41"/>
    <x v="0"/>
    <s v="Proyectos de Inversión"/>
    <x v="55"/>
    <x v="237"/>
    <x v="469"/>
    <x v="1053"/>
    <n v="3"/>
    <s v="Desarrollo Económico"/>
    <n v="0"/>
    <s v="Energía"/>
    <n v="2"/>
    <x v="68"/>
    <x v="28"/>
    <x v="244"/>
    <n v="2"/>
    <s v="Gasto de capital"/>
    <x v="0"/>
    <x v="0"/>
    <x v="0"/>
    <x v="0"/>
    <x v="0"/>
    <x v="0"/>
    <x v="0"/>
    <m/>
    <x v="0"/>
    <x v="0"/>
    <m/>
    <n v="19070000"/>
    <n v="0"/>
    <n v="0"/>
    <n v="19070000"/>
    <n v="407467730"/>
    <m/>
    <x v="1"/>
    <n v="407467730"/>
  </r>
  <r>
    <x v="3"/>
    <x v="41"/>
    <x v="41"/>
    <x v="0"/>
    <s v="Proyectos de Inversión"/>
    <x v="67"/>
    <x v="1167"/>
    <x v="469"/>
    <x v="1053"/>
    <n v="3"/>
    <s v="Desarrollo Económico"/>
    <n v="0"/>
    <s v="Energía"/>
    <n v="2"/>
    <x v="68"/>
    <x v="27"/>
    <x v="243"/>
    <n v="2"/>
    <s v="Gasto de capital"/>
    <x v="0"/>
    <x v="0"/>
    <x v="0"/>
    <x v="0"/>
    <x v="0"/>
    <x v="0"/>
    <x v="0"/>
    <m/>
    <x v="0"/>
    <x v="0"/>
    <m/>
    <n v="1468597839"/>
    <n v="0"/>
    <n v="0"/>
    <n v="1468597839"/>
    <n v="1244529993"/>
    <m/>
    <x v="1"/>
    <n v="1244529993"/>
  </r>
  <r>
    <x v="3"/>
    <x v="41"/>
    <x v="41"/>
    <x v="0"/>
    <s v="Proyectos de Inversión"/>
    <x v="67"/>
    <x v="1167"/>
    <x v="469"/>
    <x v="1053"/>
    <n v="3"/>
    <s v="Desarrollo Económico"/>
    <n v="0"/>
    <s v="Energía"/>
    <n v="2"/>
    <x v="68"/>
    <x v="28"/>
    <x v="244"/>
    <n v="2"/>
    <s v="Gasto de capital"/>
    <x v="0"/>
    <x v="0"/>
    <x v="0"/>
    <x v="0"/>
    <x v="0"/>
    <x v="0"/>
    <x v="0"/>
    <m/>
    <x v="0"/>
    <x v="0"/>
    <m/>
    <m/>
    <m/>
    <m/>
    <m/>
    <n v="40000000"/>
    <m/>
    <x v="1"/>
    <n v="40000000"/>
  </r>
  <r>
    <x v="3"/>
    <x v="41"/>
    <x v="41"/>
    <x v="0"/>
    <s v="Proyectos de Inversión"/>
    <x v="67"/>
    <x v="1167"/>
    <x v="469"/>
    <x v="1053"/>
    <n v="3"/>
    <s v="Desarrollo Económico"/>
    <n v="0"/>
    <s v="Energía"/>
    <n v="2"/>
    <x v="68"/>
    <x v="29"/>
    <x v="245"/>
    <n v="2"/>
    <s v="Gasto de capital"/>
    <x v="0"/>
    <x v="0"/>
    <x v="0"/>
    <x v="0"/>
    <x v="0"/>
    <x v="0"/>
    <x v="0"/>
    <m/>
    <x v="0"/>
    <x v="0"/>
    <m/>
    <n v="182779841"/>
    <n v="0"/>
    <n v="0"/>
    <n v="182779841"/>
    <n v="78695949"/>
    <m/>
    <x v="1"/>
    <n v="78695949"/>
  </r>
  <r>
    <x v="3"/>
    <x v="41"/>
    <x v="41"/>
    <x v="0"/>
    <s v="Proyectos de Inversión"/>
    <x v="67"/>
    <x v="1167"/>
    <x v="469"/>
    <x v="1053"/>
    <n v="3"/>
    <s v="Desarrollo Económico"/>
    <n v="0"/>
    <s v="Energía"/>
    <n v="2"/>
    <x v="68"/>
    <x v="30"/>
    <x v="246"/>
    <n v="2"/>
    <s v="Gasto de capital"/>
    <x v="0"/>
    <x v="0"/>
    <x v="0"/>
    <x v="0"/>
    <x v="0"/>
    <x v="0"/>
    <x v="0"/>
    <m/>
    <x v="0"/>
    <x v="1"/>
    <m/>
    <n v="600000"/>
    <n v="0"/>
    <n v="0"/>
    <n v="600000"/>
    <n v="3463064"/>
    <m/>
    <x v="1"/>
    <n v="3463064"/>
  </r>
  <r>
    <x v="3"/>
    <x v="41"/>
    <x v="41"/>
    <x v="2"/>
    <s v="Apoyo al proceso presupuestario y para mejorar la eficiencia institucional"/>
    <x v="2"/>
    <x v="34"/>
    <x v="469"/>
    <x v="1053"/>
    <n v="3"/>
    <s v="Desarrollo Económico"/>
    <n v="0"/>
    <s v="Energía"/>
    <n v="2"/>
    <x v="68"/>
    <x v="33"/>
    <x v="249"/>
    <n v="1"/>
    <s v="Gasto corriente"/>
    <x v="0"/>
    <x v="0"/>
    <x v="0"/>
    <x v="0"/>
    <x v="0"/>
    <x v="0"/>
    <x v="0"/>
    <m/>
    <x v="0"/>
    <x v="0"/>
    <m/>
    <n v="6057225463"/>
    <n v="0"/>
    <n v="-427314095"/>
    <n v="5629911368"/>
    <n v="4954322003"/>
    <m/>
    <x v="1"/>
    <n v="4954322003"/>
  </r>
  <r>
    <x v="3"/>
    <x v="41"/>
    <x v="41"/>
    <x v="3"/>
    <s v="Apoyo a la función pública y al mejoramiento de la gestión"/>
    <x v="2"/>
    <x v="42"/>
    <x v="469"/>
    <x v="1053"/>
    <n v="1"/>
    <s v="Gobierno"/>
    <n v="8"/>
    <s v="Administración Pública"/>
    <n v="3"/>
    <x v="6"/>
    <x v="2"/>
    <x v="13"/>
    <n v="1"/>
    <s v="Gasto corriente"/>
    <x v="0"/>
    <x v="0"/>
    <x v="0"/>
    <x v="0"/>
    <x v="0"/>
    <x v="0"/>
    <x v="0"/>
    <m/>
    <x v="0"/>
    <x v="0"/>
    <m/>
    <n v="782546947"/>
    <n v="0"/>
    <n v="-6812489"/>
    <n v="775734458"/>
    <n v="775734458"/>
    <m/>
    <x v="1"/>
    <n v="775734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3" minRefreshableVersion="3" showCalcMbrs="0" itemPrintTitles="1" createdVersion="3" indent="0" compact="0" compactData="0" multipleFieldFilters="0">
  <location ref="A4:J229" firstHeaderRow="1" firstDataRow="2" firstDataCol="5" rowPageCount="1" colPageCount="1"/>
  <pivotFields count="38">
    <pivotField compact="0" outline="0" showAll="0" defaultSubtotal="0">
      <items count="5">
        <item x="0"/>
        <item x="1"/>
        <item x="2"/>
        <item x="3"/>
        <item m="1" x="4"/>
      </items>
    </pivotField>
    <pivotField axis="axisRow" compact="0" outline="0" showAll="0" defaultSubtotal="0">
      <items count="42">
        <item x="0"/>
        <item x="5"/>
        <item x="1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9"/>
        <item x="21"/>
        <item x="22"/>
        <item x="2"/>
        <item x="30"/>
        <item x="31"/>
        <item x="32"/>
        <item x="23"/>
        <item x="33"/>
        <item x="34"/>
        <item x="24"/>
        <item x="25"/>
        <item x="35"/>
        <item x="36"/>
        <item x="3"/>
        <item x="26"/>
        <item x="27"/>
        <item x="28"/>
        <item x="4"/>
        <item x="37"/>
        <item x="38"/>
        <item x="39"/>
        <item x="40"/>
        <item x="41"/>
      </items>
    </pivotField>
    <pivotField compact="0" outline="0" showAll="0">
      <items count="43">
        <item x="34"/>
        <item x="10"/>
        <item x="29"/>
        <item x="35"/>
        <item x="40"/>
        <item x="3"/>
        <item x="11"/>
        <item x="27"/>
        <item x="28"/>
        <item x="9"/>
        <item x="21"/>
        <item x="31"/>
        <item x="12"/>
        <item x="13"/>
        <item x="20"/>
        <item x="36"/>
        <item x="23"/>
        <item x="6"/>
        <item x="8"/>
        <item x="4"/>
        <item x="37"/>
        <item x="2"/>
        <item x="38"/>
        <item x="39"/>
        <item x="15"/>
        <item x="18"/>
        <item x="33"/>
        <item x="41"/>
        <item x="1"/>
        <item x="0"/>
        <item x="5"/>
        <item x="32"/>
        <item x="19"/>
        <item x="30"/>
        <item x="17"/>
        <item x="7"/>
        <item x="14"/>
        <item x="26"/>
        <item x="16"/>
        <item x="25"/>
        <item x="24"/>
        <item x="22"/>
        <item t="default"/>
      </items>
    </pivotField>
    <pivotField axis="axisRow" compact="0" outline="0" showAll="0" defaultSubtotal="0">
      <items count="22">
        <item x="12"/>
        <item x="8"/>
        <item x="19"/>
        <item x="18"/>
        <item x="4"/>
        <item x="9"/>
        <item x="10"/>
        <item x="20"/>
        <item x="15"/>
        <item x="16"/>
        <item x="0"/>
        <item x="13"/>
        <item x="2"/>
        <item x="6"/>
        <item x="3"/>
        <item x="5"/>
        <item x="1"/>
        <item x="11"/>
        <item x="17"/>
        <item x="7"/>
        <item x="21"/>
        <item x="14"/>
      </items>
    </pivotField>
    <pivotField compact="0" outline="0" showAll="0" defaultSubtotal="0"/>
    <pivotField axis="axisRow" compact="0" outline="0" showAll="0" defaultSubtotal="0">
      <items count="370"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2"/>
        <item x="23"/>
        <item x="24"/>
        <item x="20"/>
        <item x="21"/>
        <item x="47"/>
        <item x="0"/>
        <item x="25"/>
        <item x="1"/>
        <item x="31"/>
        <item x="26"/>
        <item x="27"/>
        <item x="28"/>
        <item x="29"/>
        <item x="30"/>
        <item x="53"/>
        <item x="54"/>
        <item x="55"/>
        <item x="56"/>
        <item x="57"/>
        <item x="58"/>
        <item x="59"/>
        <item x="60"/>
        <item x="66"/>
        <item x="67"/>
        <item x="76"/>
        <item x="61"/>
        <item x="68"/>
        <item x="69"/>
        <item x="70"/>
        <item x="71"/>
        <item x="72"/>
        <item x="73"/>
        <item x="134"/>
        <item x="136"/>
        <item x="137"/>
        <item x="103"/>
        <item x="174"/>
        <item x="74"/>
        <item x="138"/>
        <item x="104"/>
        <item x="75"/>
        <item x="105"/>
        <item x="106"/>
        <item x="107"/>
        <item x="108"/>
        <item x="77"/>
        <item x="78"/>
        <item x="79"/>
        <item x="109"/>
        <item x="139"/>
        <item x="62"/>
        <item x="80"/>
        <item x="127"/>
        <item x="128"/>
        <item x="152"/>
        <item x="129"/>
        <item x="153"/>
        <item x="154"/>
        <item x="155"/>
        <item x="156"/>
        <item x="81"/>
        <item x="157"/>
        <item x="158"/>
        <item x="159"/>
        <item x="116"/>
        <item x="117"/>
        <item x="160"/>
        <item x="161"/>
        <item x="162"/>
        <item x="163"/>
        <item x="164"/>
        <item x="165"/>
        <item x="166"/>
        <item x="167"/>
        <item x="168"/>
        <item x="32"/>
        <item x="169"/>
        <item x="170"/>
        <item x="171"/>
        <item x="172"/>
        <item x="175"/>
        <item x="176"/>
        <item x="177"/>
        <item x="178"/>
        <item x="82"/>
        <item x="130"/>
        <item x="83"/>
        <item x="179"/>
        <item x="180"/>
        <item x="181"/>
        <item x="182"/>
        <item x="173"/>
        <item x="140"/>
        <item x="141"/>
        <item x="84"/>
        <item x="183"/>
        <item x="184"/>
        <item x="131"/>
        <item x="185"/>
        <item x="186"/>
        <item x="187"/>
        <item x="85"/>
        <item x="86"/>
        <item x="87"/>
        <item x="119"/>
        <item x="188"/>
        <item x="120"/>
        <item x="121"/>
        <item x="122"/>
        <item x="123"/>
        <item x="124"/>
        <item x="125"/>
        <item x="126"/>
        <item x="110"/>
        <item x="111"/>
        <item x="63"/>
        <item x="88"/>
        <item x="142"/>
        <item x="89"/>
        <item x="33"/>
        <item x="112"/>
        <item x="135"/>
        <item x="143"/>
        <item x="34"/>
        <item x="35"/>
        <item x="36"/>
        <item x="37"/>
        <item x="38"/>
        <item x="39"/>
        <item x="40"/>
        <item x="41"/>
        <item x="42"/>
        <item x="147"/>
        <item x="148"/>
        <item x="149"/>
        <item x="43"/>
        <item x="113"/>
        <item x="114"/>
        <item x="115"/>
        <item x="118"/>
        <item x="90"/>
        <item x="91"/>
        <item x="92"/>
        <item x="93"/>
        <item x="94"/>
        <item x="95"/>
        <item x="44"/>
        <item x="189"/>
        <item x="190"/>
        <item x="144"/>
        <item x="64"/>
        <item x="191"/>
        <item x="145"/>
        <item x="132"/>
        <item x="133"/>
        <item x="192"/>
        <item x="65"/>
        <item x="96"/>
        <item x="97"/>
        <item x="98"/>
        <item x="193"/>
        <item x="150"/>
        <item x="194"/>
        <item x="99"/>
        <item x="195"/>
        <item x="45"/>
        <item x="48"/>
        <item x="49"/>
        <item x="50"/>
        <item x="51"/>
        <item x="52"/>
        <item x="100"/>
        <item x="151"/>
        <item x="146"/>
        <item x="101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365"/>
        <item x="366"/>
        <item x="356"/>
        <item x="357"/>
        <item x="358"/>
        <item x="359"/>
        <item x="360"/>
        <item x="361"/>
        <item x="362"/>
        <item x="364"/>
        <item x="363"/>
        <item x="367"/>
        <item x="368"/>
        <item x="369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46"/>
        <item x="102"/>
      </items>
    </pivotField>
    <pivotField axis="axisRow" compact="0" outline="0" showAll="0">
      <items count="1171">
        <item x="692"/>
        <item x="374"/>
        <item x="131"/>
        <item x="158"/>
        <item x="107"/>
        <item x="42"/>
        <item x="34"/>
        <item x="2"/>
        <item x="1161"/>
        <item x="606"/>
        <item x="64"/>
        <item x="482"/>
        <item x="11"/>
        <item x="1134"/>
        <item x="687"/>
        <item x="846"/>
        <item x="94"/>
        <item x="260"/>
        <item x="650"/>
        <item x="649"/>
        <item x="514"/>
        <item x="108"/>
        <item x="467"/>
        <item x="468"/>
        <item x="97"/>
        <item x="12"/>
        <item x="582"/>
        <item x="1156"/>
        <item x="466"/>
        <item x="1072"/>
        <item x="1078"/>
        <item x="1075"/>
        <item x="681"/>
        <item x="637"/>
        <item x="407"/>
        <item x="245"/>
        <item x="676"/>
        <item x="1165"/>
        <item x="33"/>
        <item x="401"/>
        <item x="685"/>
        <item x="636"/>
        <item x="668"/>
        <item x="267"/>
        <item x="6"/>
        <item x="35"/>
        <item x="418"/>
        <item x="49"/>
        <item x="265"/>
        <item x="48"/>
        <item x="431"/>
        <item x="330"/>
        <item x="151"/>
        <item x="198"/>
        <item x="176"/>
        <item x="1148"/>
        <item x="666"/>
        <item x="5"/>
        <item x="678"/>
        <item x="426"/>
        <item x="429"/>
        <item x="430"/>
        <item x="672"/>
        <item x="686"/>
        <item x="654"/>
        <item x="311"/>
        <item x="787"/>
        <item x="364"/>
        <item x="411"/>
        <item x="660"/>
        <item x="667"/>
        <item x="155"/>
        <item x="656"/>
        <item x="45"/>
        <item x="46"/>
        <item x="478"/>
        <item x="125"/>
        <item x="479"/>
        <item x="808"/>
        <item x="446"/>
        <item x="367"/>
        <item x="1121"/>
        <item x="1119"/>
        <item x="78"/>
        <item x="252"/>
        <item x="1107"/>
        <item x="53"/>
        <item x="152"/>
        <item x="301"/>
        <item x="1120"/>
        <item x="489"/>
        <item x="449"/>
        <item x="250"/>
        <item x="1091"/>
        <item x="397"/>
        <item x="410"/>
        <item x="1085"/>
        <item m="1" x="1168"/>
        <item x="47"/>
        <item x="24"/>
        <item x="20"/>
        <item x="799"/>
        <item x="662"/>
        <item x="809"/>
        <item x="801"/>
        <item x="798"/>
        <item x="445"/>
        <item x="201"/>
        <item x="493"/>
        <item x="476"/>
        <item x="436"/>
        <item x="1093"/>
        <item x="1100"/>
        <item x="169"/>
        <item x="9"/>
        <item x="458"/>
        <item x="39"/>
        <item x="40"/>
        <item x="41"/>
        <item x="568"/>
        <item x="222"/>
        <item x="361"/>
        <item x="800"/>
        <item x="1138"/>
        <item x="1160"/>
        <item x="701"/>
        <item x="684"/>
        <item x="280"/>
        <item x="132"/>
        <item x="92"/>
        <item x="111"/>
        <item x="480"/>
        <item x="66"/>
        <item x="591"/>
        <item x="63"/>
        <item x="537"/>
        <item x="126"/>
        <item x="233"/>
        <item x="238"/>
        <item x="209"/>
        <item x="237"/>
        <item x="626"/>
        <item x="168"/>
        <item x="510"/>
        <item x="216"/>
        <item x="527"/>
        <item x="519"/>
        <item x="109"/>
        <item x="465"/>
        <item x="299"/>
        <item x="1086"/>
        <item x="1088"/>
        <item x="1087"/>
        <item x="1080"/>
        <item x="1081"/>
        <item x="99"/>
        <item x="1084"/>
        <item x="452"/>
        <item x="481"/>
        <item x="84"/>
        <item x="592"/>
        <item x="593"/>
        <item x="86"/>
        <item x="62"/>
        <item x="31"/>
        <item x="602"/>
        <item x="1102"/>
        <item x="518"/>
        <item x="383"/>
        <item x="362"/>
        <item x="677"/>
        <item x="680"/>
        <item x="693"/>
        <item x="273"/>
        <item x="596"/>
        <item x="331"/>
        <item x="189"/>
        <item x="157"/>
        <item x="81"/>
        <item x="68"/>
        <item x="244"/>
        <item x="604"/>
        <item x="605"/>
        <item x="522"/>
        <item x="384"/>
        <item x="224"/>
        <item x="702"/>
        <item x="703"/>
        <item x="704"/>
        <item x="166"/>
        <item x="37"/>
        <item x="646"/>
        <item x="264"/>
        <item x="470"/>
        <item x="173"/>
        <item x="179"/>
        <item x="263"/>
        <item x="270"/>
        <item x="670"/>
        <item x="658"/>
        <item x="172"/>
        <item x="175"/>
        <item x="71"/>
        <item x="272"/>
        <item x="469"/>
        <item x="628"/>
        <item x="327"/>
        <item x="1082"/>
        <item x="115"/>
        <item x="196"/>
        <item x="499"/>
        <item x="437"/>
        <item x="1146"/>
        <item x="122"/>
        <item x="124"/>
        <item x="123"/>
        <item x="325"/>
        <item x="306"/>
        <item x="85"/>
        <item x="328"/>
        <item x="314"/>
        <item x="167"/>
        <item x="1137"/>
        <item x="1159"/>
        <item x="65"/>
        <item x="239"/>
        <item x="633"/>
        <item x="403"/>
        <item x="475"/>
        <item x="73"/>
        <item x="30"/>
        <item x="315"/>
        <item x="72"/>
        <item x="463"/>
        <item x="288"/>
        <item x="3"/>
        <item x="1101"/>
        <item x="427"/>
        <item x="398"/>
        <item x="29"/>
        <item x="635"/>
        <item x="14"/>
        <item x="513"/>
        <item x="1076"/>
        <item x="365"/>
        <item x="120"/>
        <item x="484"/>
        <item x="205"/>
        <item x="234"/>
        <item x="608"/>
        <item x="240"/>
        <item x="235"/>
        <item x="607"/>
        <item x="289"/>
        <item x="154"/>
        <item x="405"/>
        <item x="80"/>
        <item x="847"/>
        <item x="848"/>
        <item x="849"/>
        <item x="850"/>
        <item x="853"/>
        <item x="854"/>
        <item x="851"/>
        <item x="852"/>
        <item x="855"/>
        <item x="860"/>
        <item x="856"/>
        <item x="857"/>
        <item x="858"/>
        <item x="859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1006"/>
        <item x="1007"/>
        <item x="1008"/>
        <item x="1009"/>
        <item x="1012"/>
        <item x="1013"/>
        <item x="1010"/>
        <item x="1011"/>
        <item x="1014"/>
        <item x="1019"/>
        <item x="1015"/>
        <item x="1016"/>
        <item x="1017"/>
        <item x="1018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4"/>
        <item x="1045"/>
        <item x="1042"/>
        <item x="1043"/>
        <item x="1046"/>
        <item x="1047"/>
        <item x="1052"/>
        <item x="1048"/>
        <item x="1049"/>
        <item x="1050"/>
        <item x="1051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910"/>
        <item x="911"/>
        <item x="912"/>
        <item x="913"/>
        <item x="916"/>
        <item x="917"/>
        <item x="914"/>
        <item x="915"/>
        <item x="918"/>
        <item x="923"/>
        <item x="919"/>
        <item x="920"/>
        <item x="921"/>
        <item x="922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73"/>
        <item x="974"/>
        <item x="975"/>
        <item x="976"/>
        <item x="979"/>
        <item x="980"/>
        <item x="977"/>
        <item x="978"/>
        <item x="981"/>
        <item x="982"/>
        <item x="987"/>
        <item x="983"/>
        <item x="984"/>
        <item x="985"/>
        <item x="986"/>
        <item x="988"/>
        <item x="989"/>
        <item x="990"/>
        <item x="1005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37"/>
        <item x="878"/>
        <item x="879"/>
        <item x="880"/>
        <item x="881"/>
        <item x="884"/>
        <item x="885"/>
        <item x="882"/>
        <item x="883"/>
        <item x="886"/>
        <item x="887"/>
        <item x="892"/>
        <item x="888"/>
        <item x="889"/>
        <item x="890"/>
        <item x="891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13"/>
        <item x="494"/>
        <item x="149"/>
        <item x="495"/>
        <item x="651"/>
        <item x="647"/>
        <item x="477"/>
        <item x="199"/>
        <item x="603"/>
        <item x="557"/>
        <item x="659"/>
        <item x="406"/>
        <item x="699"/>
        <item x="795"/>
        <item x="419"/>
        <item x="755"/>
        <item x="753"/>
        <item x="424"/>
        <item x="320"/>
        <item x="277"/>
        <item x="492"/>
        <item x="502"/>
        <item x="396"/>
        <item x="74"/>
        <item x="814"/>
        <item x="815"/>
        <item x="816"/>
        <item x="817"/>
        <item x="820"/>
        <item x="821"/>
        <item x="818"/>
        <item x="819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22"/>
        <item x="695"/>
        <item x="812"/>
        <item x="786"/>
        <item x="275"/>
        <item x="754"/>
        <item x="785"/>
        <item x="696"/>
        <item x="811"/>
        <item x="276"/>
        <item x="434"/>
        <item x="329"/>
        <item x="428"/>
        <item x="433"/>
        <item x="432"/>
        <item x="423"/>
        <item x="274"/>
        <item x="750"/>
        <item x="751"/>
        <item x="285"/>
        <item x="317"/>
        <item x="793"/>
        <item x="319"/>
        <item x="435"/>
        <item x="206"/>
        <item x="290"/>
        <item x="10"/>
        <item x="91"/>
        <item x="409"/>
        <item x="326"/>
        <item x="135"/>
        <item x="417"/>
        <item x="148"/>
        <item x="664"/>
        <item x="112"/>
        <item x="408"/>
        <item x="413"/>
        <item x="412"/>
        <item x="318"/>
        <item x="113"/>
        <item x="83"/>
        <item x="462"/>
        <item x="261"/>
        <item x="665"/>
        <item x="941"/>
        <item x="942"/>
        <item x="943"/>
        <item x="944"/>
        <item x="947"/>
        <item x="948"/>
        <item x="945"/>
        <item x="946"/>
        <item x="949"/>
        <item x="950"/>
        <item x="955"/>
        <item x="951"/>
        <item x="952"/>
        <item x="953"/>
        <item x="954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1117"/>
        <item x="1118"/>
        <item x="630"/>
        <item x="266"/>
        <item x="1135"/>
        <item x="177"/>
        <item x="302"/>
        <item x="580"/>
        <item x="324"/>
        <item x="23"/>
        <item x="22"/>
        <item x="391"/>
        <item x="1071"/>
        <item x="1074"/>
        <item x="1090"/>
        <item x="1089"/>
        <item x="1079"/>
        <item x="645"/>
        <item x="473"/>
        <item x="55"/>
        <item x="161"/>
        <item x="28"/>
        <item x="69"/>
        <item x="648"/>
        <item x="498"/>
        <item x="295"/>
        <item x="296"/>
        <item x="1115"/>
        <item x="1070"/>
        <item x="1077"/>
        <item x="1073"/>
        <item x="533"/>
        <item x="530"/>
        <item x="528"/>
        <item x="640"/>
        <item x="671"/>
        <item x="669"/>
        <item x="181"/>
        <item x="524"/>
        <item x="425"/>
        <item x="195"/>
        <item x="483"/>
        <item x="129"/>
        <item x="638"/>
        <item x="572"/>
        <item x="303"/>
        <item x="511"/>
        <item x="1122"/>
        <item x="578"/>
        <item x="438"/>
        <item x="579"/>
        <item x="577"/>
        <item x="156"/>
        <item x="212"/>
        <item x="566"/>
        <item x="569"/>
        <item x="567"/>
        <item x="573"/>
        <item x="503"/>
        <item x="508"/>
        <item x="153"/>
        <item x="1094"/>
        <item x="1"/>
        <item x="556"/>
        <item x="639"/>
        <item x="1127"/>
        <item x="316"/>
        <item x="500"/>
        <item x="75"/>
        <item x="101"/>
        <item x="731"/>
        <item x="305"/>
        <item x="321"/>
        <item x="497"/>
        <item x="1141"/>
        <item x="213"/>
        <item x="207"/>
        <item x="58"/>
        <item x="121"/>
        <item x="70"/>
        <item x="1142"/>
        <item x="1147"/>
        <item x="504"/>
        <item x="505"/>
        <item x="1143"/>
        <item x="1133"/>
        <item x="1145"/>
        <item x="641"/>
        <item x="490"/>
        <item x="802"/>
        <item x="8"/>
        <item x="1083"/>
        <item x="584"/>
        <item x="76"/>
        <item x="77"/>
        <item x="304"/>
        <item x="4"/>
        <item x="813"/>
        <item x="797"/>
        <item x="1167"/>
        <item x="186"/>
        <item x="185"/>
        <item x="119"/>
        <item x="1131"/>
        <item x="683"/>
        <item x="655"/>
        <item x="1150"/>
        <item x="1139"/>
        <item x="531"/>
        <item x="1116"/>
        <item x="796"/>
        <item x="679"/>
        <item x="675"/>
        <item x="673"/>
        <item x="1128"/>
        <item x="1111"/>
        <item x="1112"/>
        <item x="1110"/>
        <item x="1108"/>
        <item x="1113"/>
        <item x="1114"/>
        <item x="674"/>
        <item x="128"/>
        <item x="67"/>
        <item x="1157"/>
        <item x="1154"/>
        <item x="130"/>
        <item x="180"/>
        <item x="7"/>
        <item x="43"/>
        <item x="1153"/>
        <item x="538"/>
        <item x="661"/>
        <item x="36"/>
        <item x="653"/>
        <item x="394"/>
        <item x="82"/>
        <item x="51"/>
        <item x="581"/>
        <item x="1164"/>
        <item x="803"/>
        <item x="291"/>
        <item x="804"/>
        <item x="294"/>
        <item x="292"/>
        <item x="1163"/>
        <item x="439"/>
        <item x="1126"/>
        <item x="700"/>
        <item x="451"/>
        <item x="440"/>
        <item x="448"/>
        <item x="249"/>
        <item x="259"/>
        <item x="554"/>
        <item x="682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805"/>
        <item x="806"/>
        <item x="807"/>
        <item x="507"/>
        <item x="547"/>
        <item x="520"/>
        <item x="546"/>
        <item x="512"/>
        <item x="550"/>
        <item x="540"/>
        <item x="551"/>
        <item x="488"/>
        <item x="474"/>
        <item x="160"/>
        <item x="93"/>
        <item x="251"/>
        <item x="1158"/>
        <item x="52"/>
        <item x="44"/>
        <item x="286"/>
        <item x="300"/>
        <item x="287"/>
        <item x="297"/>
        <item x="104"/>
        <item x="162"/>
        <item x="163"/>
        <item x="613"/>
        <item x="619"/>
        <item x="377"/>
        <item x="382"/>
        <item x="375"/>
        <item x="453"/>
        <item x="609"/>
        <item x="598"/>
        <item x="552"/>
        <item x="564"/>
        <item x="600"/>
        <item x="542"/>
        <item x="543"/>
        <item x="612"/>
        <item x="387"/>
        <item x="420"/>
        <item x="388"/>
        <item x="190"/>
        <item x="386"/>
        <item x="618"/>
        <item x="620"/>
        <item x="136"/>
        <item x="485"/>
        <item x="191"/>
        <item x="617"/>
        <item x="487"/>
        <item x="214"/>
        <item x="147"/>
        <item x="614"/>
        <item x="486"/>
        <item x="400"/>
        <item x="810"/>
        <item x="171"/>
        <item x="472"/>
        <item x="416"/>
        <item x="615"/>
        <item x="565"/>
        <item x="541"/>
        <item x="145"/>
        <item x="282"/>
        <item x="553"/>
        <item x="133"/>
        <item x="193"/>
        <item x="373"/>
        <item x="558"/>
        <item x="376"/>
        <item x="366"/>
        <item x="165"/>
        <item x="246"/>
        <item x="390"/>
        <item x="137"/>
        <item x="457"/>
        <item x="143"/>
        <item x="293"/>
        <item x="392"/>
        <item x="371"/>
        <item x="102"/>
        <item x="517"/>
        <item x="624"/>
        <item x="139"/>
        <item x="516"/>
        <item x="535"/>
        <item x="563"/>
        <item x="501"/>
        <item x="368"/>
        <item x="372"/>
        <item x="559"/>
        <item x="623"/>
        <item x="548"/>
        <item x="610"/>
        <item x="192"/>
        <item x="562"/>
        <item x="545"/>
        <item x="159"/>
        <item x="146"/>
        <item x="134"/>
        <item x="247"/>
        <item x="194"/>
        <item x="549"/>
        <item x="561"/>
        <item x="616"/>
        <item x="379"/>
        <item x="506"/>
        <item x="378"/>
        <item x="370"/>
        <item x="389"/>
        <item x="539"/>
        <item x="140"/>
        <item x="597"/>
        <item x="688"/>
        <item x="103"/>
        <item x="393"/>
        <item x="369"/>
        <item x="278"/>
        <item x="323"/>
        <item x="380"/>
        <item x="560"/>
        <item x="200"/>
        <item x="141"/>
        <item x="536"/>
        <item x="279"/>
        <item x="281"/>
        <item x="621"/>
        <item x="381"/>
        <item x="283"/>
        <item x="555"/>
        <item x="544"/>
        <item x="756"/>
        <item x="622"/>
        <item x="142"/>
        <item x="144"/>
        <item x="138"/>
        <item x="1151"/>
        <item x="1132"/>
        <item x="456"/>
        <item x="454"/>
        <item x="105"/>
        <item x="358"/>
        <item x="359"/>
        <item x="339"/>
        <item x="332"/>
        <item x="333"/>
        <item x="334"/>
        <item x="337"/>
        <item x="338"/>
        <item x="335"/>
        <item x="336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60"/>
        <item x="611"/>
        <item x="532"/>
        <item x="455"/>
        <item x="106"/>
        <item x="752"/>
        <item x="1105"/>
        <item x="1104"/>
        <item x="254"/>
        <item x="178"/>
        <item x="642"/>
        <item x="90"/>
        <item x="447"/>
        <item x="269"/>
        <item x="262"/>
        <item x="1149"/>
        <item x="627"/>
        <item x="248"/>
        <item x="96"/>
        <item x="575"/>
        <item x="253"/>
        <item x="571"/>
        <item x="583"/>
        <item x="271"/>
        <item x="127"/>
        <item x="87"/>
        <item x="88"/>
        <item x="89"/>
        <item x="632"/>
        <item x="629"/>
        <item x="298"/>
        <item x="268"/>
        <item x="182"/>
        <item x="27"/>
        <item x="60"/>
        <item x="56"/>
        <item x="25"/>
        <item x="32"/>
        <item x="26"/>
        <item x="16"/>
        <item x="15"/>
        <item x="19"/>
        <item x="443"/>
        <item x="309"/>
        <item x="79"/>
        <item x="98"/>
        <item x="730"/>
        <item x="150"/>
        <item x="634"/>
        <item x="229"/>
        <item x="526"/>
        <item x="227"/>
        <item x="232"/>
        <item x="1140"/>
        <item x="1152"/>
        <item x="1166"/>
        <item x="228"/>
        <item x="241"/>
        <item x="61"/>
        <item x="576"/>
        <item x="231"/>
        <item x="170"/>
        <item x="652"/>
        <item x="471"/>
        <item x="230"/>
        <item x="184"/>
        <item x="444"/>
        <item x="0"/>
        <item x="313"/>
        <item x="284"/>
        <item x="657"/>
        <item x="38"/>
        <item x="594"/>
        <item x="21"/>
        <item x="59"/>
        <item x="100"/>
        <item x="1123"/>
        <item x="525"/>
        <item x="236"/>
        <item x="95"/>
        <item x="110"/>
        <item x="441"/>
        <item x="450"/>
        <item x="322"/>
        <item x="1130"/>
        <item x="491"/>
        <item x="57"/>
        <item x="307"/>
        <item x="521"/>
        <item x="308"/>
        <item x="188"/>
        <item x="496"/>
        <item x="631"/>
        <item x="515"/>
        <item x="587"/>
        <item x="255"/>
        <item x="256"/>
        <item x="220"/>
        <item x="114"/>
        <item x="588"/>
        <item x="258"/>
        <item x="586"/>
        <item x="585"/>
        <item x="217"/>
        <item x="116"/>
        <item x="117"/>
        <item x="118"/>
        <item x="183"/>
        <item x="1092"/>
        <item x="1129"/>
        <item x="570"/>
        <item x="599"/>
        <item x="643"/>
        <item x="644"/>
        <item x="187"/>
        <item x="595"/>
        <item x="464"/>
        <item x="1155"/>
        <item x="694"/>
        <item x="698"/>
        <item x="689"/>
        <item x="690"/>
        <item x="691"/>
        <item x="459"/>
        <item x="461"/>
        <item x="215"/>
        <item x="509"/>
        <item x="601"/>
        <item x="523"/>
        <item x="1097"/>
        <item x="208"/>
        <item x="210"/>
        <item x="1103"/>
        <item x="1124"/>
        <item x="50"/>
        <item x="625"/>
        <item x="164"/>
        <item x="211"/>
        <item x="1096"/>
        <item x="310"/>
        <item x="1099"/>
        <item x="1098"/>
        <item x="1106"/>
        <item x="1162"/>
        <item x="54"/>
        <item x="363"/>
        <item x="242"/>
        <item x="460"/>
        <item x="385"/>
        <item x="414"/>
        <item x="204"/>
        <item x="197"/>
        <item x="663"/>
        <item x="243"/>
        <item x="697"/>
        <item x="17"/>
        <item x="18"/>
        <item x="402"/>
        <item x="399"/>
        <item x="395"/>
        <item x="404"/>
        <item x="1109"/>
        <item x="1095"/>
        <item x="1144"/>
        <item x="590"/>
        <item x="574"/>
        <item x="589"/>
        <item x="226"/>
        <item x="225"/>
        <item x="221"/>
        <item x="223"/>
        <item x="218"/>
        <item x="219"/>
        <item x="203"/>
        <item x="1136"/>
        <item x="529"/>
        <item x="415"/>
        <item x="312"/>
        <item x="794"/>
        <item x="257"/>
        <item x="442"/>
        <item x="174"/>
        <item x="202"/>
        <item x="534"/>
        <item x="771"/>
        <item x="759"/>
        <item x="770"/>
        <item x="757"/>
        <item x="741"/>
        <item x="742"/>
        <item x="743"/>
        <item x="734"/>
        <item x="736"/>
        <item x="744"/>
        <item x="735"/>
        <item x="745"/>
        <item x="738"/>
        <item x="746"/>
        <item x="747"/>
        <item x="749"/>
        <item x="739"/>
        <item x="740"/>
        <item x="772"/>
        <item x="760"/>
        <item x="737"/>
        <item x="762"/>
        <item x="766"/>
        <item x="758"/>
        <item x="764"/>
        <item x="765"/>
        <item x="763"/>
        <item x="767"/>
        <item x="769"/>
        <item x="761"/>
        <item x="748"/>
        <item x="768"/>
        <item x="733"/>
        <item x="732"/>
        <item x="1125"/>
        <item x="42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m="1" x="1169"/>
        <item x="788"/>
        <item x="422"/>
        <item x="792"/>
        <item x="789"/>
        <item x="790"/>
        <item x="791"/>
        <item t="default"/>
      </items>
    </pivotField>
    <pivotField compact="0" outline="0" showAll="0" defaultSubtotal="0"/>
    <pivotField axis="axisRow" compact="0" outline="0" showAll="0" defaultSubtotal="0">
      <items count="1054">
        <item x="565"/>
        <item x="1051"/>
        <item x="342"/>
        <item x="343"/>
        <item x="339"/>
        <item x="340"/>
        <item x="288"/>
        <item x="344"/>
        <item x="341"/>
        <item x="309"/>
        <item x="782"/>
        <item x="811"/>
        <item x="191"/>
        <item x="221"/>
        <item x="57"/>
        <item x="2"/>
        <item x="153"/>
        <item x="338"/>
        <item x="453"/>
        <item x="679"/>
        <item x="429"/>
        <item x="924"/>
        <item x="799"/>
        <item x="1045"/>
        <item x="1028"/>
        <item x="1039"/>
        <item x="1040"/>
        <item x="1022"/>
        <item x="1023"/>
        <item x="1024"/>
        <item x="1043"/>
        <item x="1025"/>
        <item x="436"/>
        <item x="1042"/>
        <item x="1026"/>
        <item x="1007"/>
        <item x="56"/>
        <item x="1027"/>
        <item x="1029"/>
        <item x="1030"/>
        <item x="59"/>
        <item x="38"/>
        <item x="566"/>
        <item x="567"/>
        <item x="538"/>
        <item x="358"/>
        <item x="789"/>
        <item x="76"/>
        <item x="544"/>
        <item x="545"/>
        <item x="559"/>
        <item x="539"/>
        <item x="546"/>
        <item x="19"/>
        <item x="517"/>
        <item x="311"/>
        <item x="296"/>
        <item x="297"/>
        <item x="298"/>
        <item x="299"/>
        <item x="314"/>
        <item x="312"/>
        <item x="313"/>
        <item x="315"/>
        <item x="316"/>
        <item x="300"/>
        <item x="317"/>
        <item x="301"/>
        <item x="318"/>
        <item x="319"/>
        <item x="320"/>
        <item x="302"/>
        <item x="321"/>
        <item x="303"/>
        <item x="322"/>
        <item x="323"/>
        <item x="304"/>
        <item x="324"/>
        <item x="325"/>
        <item x="305"/>
        <item x="326"/>
        <item x="306"/>
        <item x="327"/>
        <item x="307"/>
        <item x="308"/>
        <item x="328"/>
        <item x="519"/>
        <item x="1041"/>
        <item x="1044"/>
        <item x="421"/>
        <item x="218"/>
        <item x="430"/>
        <item x="217"/>
        <item x="206"/>
        <item x="194"/>
        <item x="195"/>
        <item x="196"/>
        <item x="197"/>
        <item x="202"/>
        <item x="198"/>
        <item x="199"/>
        <item x="200"/>
        <item x="201"/>
        <item x="203"/>
        <item x="204"/>
        <item x="205"/>
        <item x="515"/>
        <item x="449"/>
        <item x="422"/>
        <item x="389"/>
        <item x="1052"/>
        <item x="390"/>
        <item x="333"/>
        <item x="547"/>
        <item x="164"/>
        <item x="224"/>
        <item x="540"/>
        <item x="764"/>
        <item x="568"/>
        <item x="450"/>
        <item x="839"/>
        <item x="268"/>
        <item x="412"/>
        <item x="632"/>
        <item x="548"/>
        <item x="838"/>
        <item x="163"/>
        <item x="168"/>
        <item x="162"/>
        <item x="690"/>
        <item x="156"/>
        <item x="834"/>
        <item x="150"/>
        <item x="68"/>
        <item x="837"/>
        <item x="618"/>
        <item x="263"/>
        <item x="440"/>
        <item x="1019"/>
        <item x="1021"/>
        <item x="1020"/>
        <item x="1018"/>
        <item x="12"/>
        <item x="4"/>
        <item x="1013"/>
        <item x="916"/>
        <item x="1046"/>
        <item x="858"/>
        <item x="468"/>
        <item x="439"/>
        <item x="63"/>
        <item x="55"/>
        <item x="108"/>
        <item x="10"/>
        <item x="922"/>
        <item x="51"/>
        <item x="15"/>
        <item x="810"/>
        <item x="49"/>
        <item x="52"/>
        <item x="50"/>
        <item x="335"/>
        <item x="48"/>
        <item x="511"/>
        <item x="824"/>
        <item x="21"/>
        <item x="477"/>
        <item x="45"/>
        <item x="988"/>
        <item x="693"/>
        <item x="694"/>
        <item x="166"/>
        <item x="348"/>
        <item x="225"/>
        <item x="37"/>
        <item x="272"/>
        <item x="360"/>
        <item x="476"/>
        <item x="273"/>
        <item x="274"/>
        <item x="60"/>
        <item x="1016"/>
        <item x="382"/>
        <item x="475"/>
        <item x="930"/>
        <item x="271"/>
        <item x="73"/>
        <item x="355"/>
        <item x="765"/>
        <item x="165"/>
        <item x="54"/>
        <item x="431"/>
        <item x="391"/>
        <item x="392"/>
        <item x="723"/>
        <item x="620"/>
        <item x="270"/>
        <item x="512"/>
        <item x="14"/>
        <item x="857"/>
        <item x="914"/>
        <item x="35"/>
        <item x="226"/>
        <item x="227"/>
        <item x="228"/>
        <item x="229"/>
        <item x="232"/>
        <item x="233"/>
        <item x="230"/>
        <item x="231"/>
        <item x="361"/>
        <item x="234"/>
        <item x="275"/>
        <item x="239"/>
        <item x="235"/>
        <item x="236"/>
        <item x="237"/>
        <item x="238"/>
        <item x="269"/>
        <item x="362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642"/>
        <item x="643"/>
        <item x="644"/>
        <item x="645"/>
        <item x="648"/>
        <item x="649"/>
        <item x="646"/>
        <item x="647"/>
        <item x="651"/>
        <item x="650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582"/>
        <item x="583"/>
        <item x="584"/>
        <item x="585"/>
        <item x="588"/>
        <item x="589"/>
        <item x="586"/>
        <item x="587"/>
        <item x="590"/>
        <item x="613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731"/>
        <item x="680"/>
        <item x="732"/>
        <item x="681"/>
        <item x="682"/>
        <item x="735"/>
        <item x="733"/>
        <item x="734"/>
        <item x="736"/>
        <item x="683"/>
        <item x="684"/>
        <item x="685"/>
        <item x="737"/>
        <item x="738"/>
        <item x="739"/>
        <item x="740"/>
        <item x="686"/>
        <item x="741"/>
        <item x="687"/>
        <item x="742"/>
        <item x="688"/>
        <item x="743"/>
        <item x="744"/>
        <item x="745"/>
        <item x="746"/>
        <item x="747"/>
        <item x="748"/>
        <item x="749"/>
        <item x="689"/>
        <item x="750"/>
        <item x="751"/>
        <item x="852"/>
        <item x="868"/>
        <item x="869"/>
        <item x="870"/>
        <item x="873"/>
        <item x="874"/>
        <item x="871"/>
        <item x="872"/>
        <item x="876"/>
        <item x="875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912"/>
        <item x="16"/>
        <item x="7"/>
        <item x="24"/>
        <item x="23"/>
        <item x="27"/>
        <item x="26"/>
        <item x="25"/>
        <item x="769"/>
        <item x="510"/>
        <item x="214"/>
        <item x="277"/>
        <item x="469"/>
        <item x="1017"/>
        <item x="571"/>
        <item x="329"/>
        <item x="786"/>
        <item x="990"/>
        <item x="909"/>
        <item x="222"/>
        <item x="282"/>
        <item x="88"/>
        <item x="841"/>
        <item x="43"/>
        <item x="903"/>
        <item x="814"/>
        <item x="815"/>
        <item x="936"/>
        <item x="294"/>
        <item x="120"/>
        <item x="516"/>
        <item x="614"/>
        <item x="404"/>
        <item x="332"/>
        <item x="417"/>
        <item x="411"/>
        <item x="400"/>
        <item x="102"/>
        <item x="93"/>
        <item x="634"/>
        <item x="336"/>
        <item x="806"/>
        <item x="573"/>
        <item x="395"/>
        <item x="784"/>
        <item x="785"/>
        <item x="788"/>
        <item x="951"/>
        <item x="140"/>
        <item x="809"/>
        <item x="125"/>
        <item x="676"/>
        <item x="82"/>
        <item x="641"/>
        <item x="781"/>
        <item x="126"/>
        <item x="996"/>
        <item x="91"/>
        <item x="107"/>
        <item x="823"/>
        <item x="211"/>
        <item x="129"/>
        <item x="286"/>
        <item x="465"/>
        <item x="929"/>
        <item x="452"/>
        <item x="537"/>
        <item x="919"/>
        <item x="406"/>
        <item x="767"/>
        <item x="259"/>
        <item x="850"/>
        <item x="923"/>
        <item x="1011"/>
        <item x="1002"/>
        <item x="864"/>
        <item x="862"/>
        <item x="848"/>
        <item x="427"/>
        <item x="466"/>
        <item x="209"/>
        <item x="513"/>
        <item x="423"/>
        <item x="463"/>
        <item x="425"/>
        <item x="426"/>
        <item x="260"/>
        <item x="779"/>
        <item x="861"/>
        <item x="774"/>
        <item x="223"/>
        <item x="85"/>
        <item x="284"/>
        <item x="349"/>
        <item x="415"/>
        <item x="564"/>
        <item x="908"/>
        <item x="398"/>
        <item x="851"/>
        <item x="808"/>
        <item x="212"/>
        <item x="279"/>
        <item x="778"/>
        <item x="630"/>
        <item x="356"/>
        <item x="467"/>
        <item x="826"/>
        <item x="836"/>
        <item x="847"/>
        <item x="910"/>
        <item x="759"/>
        <item x="1001"/>
        <item x="756"/>
        <item x="754"/>
        <item x="755"/>
        <item x="776"/>
        <item x="192"/>
        <item x="409"/>
        <item x="410"/>
        <item x="42"/>
        <item x="948"/>
        <item x="563"/>
        <item x="87"/>
        <item x="927"/>
        <item x="215"/>
        <item x="768"/>
        <item x="213"/>
        <item x="472"/>
        <item x="626"/>
        <item x="821"/>
        <item x="386"/>
        <item x="572"/>
        <item x="629"/>
        <item x="845"/>
        <item x="993"/>
        <item x="994"/>
        <item x="295"/>
        <item x="413"/>
        <item x="97"/>
        <item x="920"/>
        <item x="383"/>
        <item x="946"/>
        <item x="394"/>
        <item x="387"/>
        <item x="807"/>
        <item x="96"/>
        <item x="388"/>
        <item x="906"/>
        <item x="1014"/>
        <item x="407"/>
        <item x="900"/>
        <item x="635"/>
        <item x="139"/>
        <item x="133"/>
        <item x="856"/>
        <item x="418"/>
        <item x="347"/>
        <item x="825"/>
        <item x="844"/>
        <item x="928"/>
        <item x="41"/>
        <item x="562"/>
        <item x="773"/>
        <item x="509"/>
        <item x="624"/>
        <item x="752"/>
        <item x="397"/>
        <item x="334"/>
        <item x="1010"/>
        <item x="639"/>
        <item x="787"/>
        <item x="901"/>
        <item x="1006"/>
        <item x="816"/>
        <item x="992"/>
        <item x="146"/>
        <item x="628"/>
        <item x="1000"/>
        <item x="458"/>
        <item x="70"/>
        <item x="179"/>
        <item x="178"/>
        <item x="119"/>
        <item x="918"/>
        <item x="283"/>
        <item x="149"/>
        <item x="813"/>
        <item x="262"/>
        <item x="556"/>
        <item x="123"/>
        <item x="405"/>
        <item x="384"/>
        <item x="105"/>
        <item x="74"/>
        <item x="310"/>
        <item x="127"/>
        <item x="261"/>
        <item x="331"/>
        <item x="30"/>
        <item x="95"/>
        <item x="167"/>
        <item x="69"/>
        <item x="840"/>
        <item x="350"/>
        <item x="470"/>
        <item x="71"/>
        <item x="766"/>
        <item x="621"/>
        <item x="124"/>
        <item x="474"/>
        <item x="950"/>
        <item x="210"/>
        <item x="904"/>
        <item x="830"/>
        <item x="997"/>
        <item x="617"/>
        <item x="570"/>
        <item x="798"/>
        <item x="106"/>
        <item x="285"/>
        <item x="337"/>
        <item x="998"/>
        <item x="822"/>
        <item x="141"/>
        <item x="471"/>
        <item x="945"/>
        <item x="121"/>
        <item x="828"/>
        <item x="72"/>
        <item x="441"/>
        <item x="991"/>
        <item x="330"/>
        <item x="757"/>
        <item x="130"/>
        <item x="867"/>
        <item x="280"/>
        <item x="1005"/>
        <item x="820"/>
        <item x="758"/>
        <item x="128"/>
        <item x="419"/>
        <item x="134"/>
        <item x="65"/>
        <item x="777"/>
        <item x="827"/>
        <item x="118"/>
        <item x="180"/>
        <item x="136"/>
        <item x="131"/>
        <item x="132"/>
        <item x="115"/>
        <item x="75"/>
        <item x="135"/>
        <item x="616"/>
        <item x="615"/>
        <item x="138"/>
        <item x="137"/>
        <item x="636"/>
        <item x="17"/>
        <item x="705"/>
        <item x="706"/>
        <item x="707"/>
        <item x="708"/>
        <item x="709"/>
        <item x="710"/>
        <item x="711"/>
        <item x="713"/>
        <item x="730"/>
        <item x="678"/>
        <item x="712"/>
        <item x="714"/>
        <item x="715"/>
        <item x="716"/>
        <item x="717"/>
        <item x="718"/>
        <item x="719"/>
        <item x="720"/>
        <item x="721"/>
        <item x="722"/>
        <item x="448"/>
        <item x="1031"/>
        <item x="1032"/>
        <item x="414"/>
        <item x="1033"/>
        <item x="1034"/>
        <item x="577"/>
        <item x="53"/>
        <item x="454"/>
        <item x="290"/>
        <item x="287"/>
        <item x="432"/>
        <item x="265"/>
        <item x="638"/>
        <item x="913"/>
        <item x="455"/>
        <item x="152"/>
        <item x="818"/>
        <item x="915"/>
        <item x="154"/>
        <item x="447"/>
        <item x="266"/>
        <item x="155"/>
        <item x="917"/>
        <item x="859"/>
        <item x="1047"/>
        <item x="569"/>
        <item x="1"/>
        <item x="0"/>
        <item x="522"/>
        <item x="523"/>
        <item x="524"/>
        <item x="521"/>
        <item x="549"/>
        <item x="543"/>
        <item x="542"/>
        <item x="541"/>
        <item x="574"/>
        <item x="952"/>
        <item x="829"/>
        <item x="1035"/>
        <item x="536"/>
        <item x="1036"/>
        <item x="833"/>
        <item x="104"/>
        <item x="1050"/>
        <item x="1048"/>
        <item x="148"/>
        <item x="111"/>
        <item x="456"/>
        <item x="451"/>
        <item x="444"/>
        <item x="726"/>
        <item x="832"/>
        <item x="1049"/>
        <item x="293"/>
        <item x="947"/>
        <item x="435"/>
        <item x="1037"/>
        <item x="438"/>
        <item x="525"/>
        <item x="526"/>
        <item x="528"/>
        <item x="817"/>
        <item x="855"/>
        <item x="725"/>
        <item x="527"/>
        <item x="44"/>
        <item x="58"/>
        <item x="219"/>
        <item x="831"/>
        <item x="462"/>
        <item x="220"/>
        <item x="169"/>
        <item x="854"/>
        <item x="473"/>
        <item x="529"/>
        <item x="61"/>
        <item x="530"/>
        <item x="531"/>
        <item x="532"/>
        <item x="518"/>
        <item x="533"/>
        <item x="534"/>
        <item x="459"/>
        <item x="267"/>
        <item x="89"/>
        <item x="460"/>
        <item x="416"/>
        <item x="428"/>
        <item x="1038"/>
        <item x="640"/>
        <item x="193"/>
        <item x="575"/>
        <item x="580"/>
        <item x="576"/>
        <item x="9"/>
        <item x="8"/>
        <item x="551"/>
        <item x="853"/>
        <item x="835"/>
        <item x="147"/>
        <item x="39"/>
        <item x="46"/>
        <item x="478"/>
        <item x="479"/>
        <item x="480"/>
        <item x="481"/>
        <item x="484"/>
        <item x="485"/>
        <item x="482"/>
        <item x="483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677"/>
        <item x="695"/>
        <item x="728"/>
        <item x="696"/>
        <item x="697"/>
        <item x="698"/>
        <item x="699"/>
        <item x="729"/>
        <item x="700"/>
        <item x="701"/>
        <item x="702"/>
        <item x="703"/>
        <item x="704"/>
        <item x="67"/>
        <item x="122"/>
        <item x="40"/>
        <item x="446"/>
        <item x="1053"/>
        <item x="1008"/>
        <item x="29"/>
        <item x="11"/>
        <item x="208"/>
        <item x="1012"/>
        <item x="960"/>
        <item x="962"/>
        <item x="959"/>
        <item x="958"/>
        <item x="963"/>
        <item x="966"/>
        <item x="964"/>
        <item x="32"/>
        <item x="633"/>
        <item x="581"/>
        <item x="760"/>
        <item x="357"/>
        <item x="185"/>
        <item x="207"/>
        <item x="780"/>
        <item x="385"/>
        <item x="31"/>
        <item x="443"/>
        <item x="637"/>
        <item x="983"/>
        <item x="984"/>
        <item x="978"/>
        <item x="969"/>
        <item x="961"/>
        <item x="982"/>
        <item x="977"/>
        <item x="971"/>
        <item x="957"/>
        <item x="979"/>
        <item x="973"/>
        <item x="965"/>
        <item x="967"/>
        <item x="5"/>
        <item x="6"/>
        <item x="109"/>
        <item x="110"/>
        <item x="78"/>
        <item x="13"/>
        <item x="99"/>
        <item x="47"/>
        <item x="98"/>
        <item x="36"/>
        <item x="103"/>
        <item x="66"/>
        <item x="402"/>
        <item x="550"/>
        <item x="554"/>
        <item x="557"/>
        <item x="558"/>
        <item x="972"/>
        <item x="974"/>
        <item x="975"/>
        <item x="970"/>
        <item x="976"/>
        <item x="980"/>
        <item x="968"/>
        <item x="33"/>
        <item x="151"/>
        <item x="157"/>
        <item x="264"/>
        <item x="1003"/>
        <item x="359"/>
        <item x="258"/>
        <item x="257"/>
        <item x="291"/>
        <item x="289"/>
        <item x="520"/>
        <item x="20"/>
        <item x="535"/>
        <item x="371"/>
        <item x="369"/>
        <item x="370"/>
        <item x="367"/>
        <item x="372"/>
        <item x="379"/>
        <item x="381"/>
        <item x="368"/>
        <item x="375"/>
        <item x="373"/>
        <item x="376"/>
        <item x="364"/>
        <item x="380"/>
        <item x="377"/>
        <item x="374"/>
        <item x="378"/>
        <item x="366"/>
        <item x="363"/>
        <item x="365"/>
        <item x="691"/>
        <item x="727"/>
        <item x="724"/>
        <item x="761"/>
        <item x="762"/>
        <item x="763"/>
        <item x="692"/>
        <item x="783"/>
        <item x="812"/>
        <item x="791"/>
        <item x="800"/>
        <item x="187"/>
        <item x="188"/>
        <item x="189"/>
        <item x="186"/>
        <item x="805"/>
        <item x="579"/>
        <item x="560"/>
        <item x="278"/>
        <item x="100"/>
        <item x="949"/>
        <item x="393"/>
        <item x="401"/>
        <item x="345"/>
        <item x="931"/>
        <item x="281"/>
        <item x="899"/>
        <item x="860"/>
        <item x="464"/>
        <item x="424"/>
        <item x="461"/>
        <item x="174"/>
        <item x="846"/>
        <item x="627"/>
        <item x="84"/>
        <item x="276"/>
        <item x="775"/>
        <item x="753"/>
        <item x="79"/>
        <item x="181"/>
        <item x="849"/>
        <item x="408"/>
        <item x="352"/>
        <item x="171"/>
        <item x="561"/>
        <item x="921"/>
        <item x="941"/>
        <item x="94"/>
        <item x="925"/>
        <item x="674"/>
        <item x="843"/>
        <item x="926"/>
        <item x="772"/>
        <item x="995"/>
        <item x="64"/>
        <item x="675"/>
        <item x="1004"/>
        <item x="555"/>
        <item x="907"/>
        <item x="114"/>
        <item x="999"/>
        <item x="353"/>
        <item x="1009"/>
        <item x="625"/>
        <item x="112"/>
        <item x="113"/>
        <item x="117"/>
        <item x="403"/>
        <item x="631"/>
        <item x="144"/>
        <item x="143"/>
        <item x="3"/>
        <item x="292"/>
        <item x="445"/>
        <item x="985"/>
        <item x="986"/>
        <item x="987"/>
        <item x="981"/>
        <item x="34"/>
        <item x="142"/>
        <item x="62"/>
        <item x="956"/>
        <item x="955"/>
        <item x="954"/>
        <item x="770"/>
        <item x="771"/>
        <item x="553"/>
        <item x="1015"/>
        <item x="552"/>
        <item x="346"/>
        <item x="623"/>
        <item x="184"/>
        <item x="101"/>
        <item x="940"/>
        <item x="934"/>
        <item x="158"/>
        <item x="159"/>
        <item x="842"/>
        <item x="170"/>
        <item x="177"/>
        <item x="77"/>
        <item x="933"/>
        <item x="932"/>
        <item x="190"/>
        <item x="866"/>
        <item x="396"/>
        <item x="182"/>
        <item x="622"/>
        <item x="865"/>
        <item x="83"/>
        <item x="86"/>
        <item x="944"/>
        <item x="28"/>
        <item x="619"/>
        <item x="80"/>
        <item x="942"/>
        <item x="989"/>
        <item x="161"/>
        <item x="175"/>
        <item x="354"/>
        <item x="173"/>
        <item x="902"/>
        <item x="939"/>
        <item x="935"/>
        <item x="790"/>
        <item x="183"/>
        <item x="457"/>
        <item x="911"/>
        <item x="938"/>
        <item x="172"/>
        <item x="937"/>
        <item x="176"/>
        <item x="943"/>
        <item x="953"/>
        <item x="399"/>
        <item x="863"/>
        <item x="116"/>
        <item x="160"/>
        <item x="18"/>
        <item x="351"/>
        <item x="145"/>
        <item x="905"/>
        <item x="797"/>
        <item x="804"/>
        <item x="803"/>
        <item x="793"/>
        <item x="801"/>
        <item x="802"/>
        <item x="794"/>
        <item x="795"/>
        <item x="792"/>
        <item x="796"/>
        <item x="578"/>
        <item x="90"/>
        <item x="81"/>
        <item x="92"/>
        <item x="22"/>
        <item x="437"/>
        <item x="216"/>
        <item x="434"/>
        <item x="420"/>
        <item x="433"/>
        <item x="819"/>
        <item x="442"/>
        <item x="51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multipleItemSelectionAllowed="1" showAll="0" defaultSubtotal="0"/>
    <pivotField compact="0" outline="0" multipleItemSelectionAllowed="1" showAll="0" defaultSubtotal="0"/>
    <pivotField compact="0" outline="0" multipleItemSelectionAllowed="1" showAll="0" defaultSubtotal="0">
      <items count="2">
        <item x="1"/>
        <item x="0"/>
      </items>
    </pivotField>
    <pivotField compact="0" outline="0" showAll="0" defaultSubtotal="0"/>
    <pivotField compact="0" outline="0" multipleItemSelectionAllowed="1" showAll="0" defaultSubtotal="0"/>
    <pivotField axis="axisPage" compact="0" outline="0" multipleItemSelectionAllowed="1" showAll="0" defaultSubtotal="0">
      <items count="2">
        <item x="1"/>
        <item h="1"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PEF 20102"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3" outline="0" showAll="0" defaultSubtotal="0"/>
  </pivotFields>
  <rowFields count="5">
    <field x="1"/>
    <field x="3"/>
    <field x="5"/>
    <field x="6"/>
    <field x="8"/>
  </rowFields>
  <rowItems count="224">
    <i>
      <x/>
      <x v="16"/>
      <x/>
      <x v="7"/>
      <x v="670"/>
    </i>
    <i t="default" r="3">
      <x v="7"/>
    </i>
    <i r="2">
      <x v="1"/>
      <x v="235"/>
      <x v="15"/>
    </i>
    <i t="default" r="3">
      <x v="235"/>
    </i>
    <i>
      <x v="2"/>
      <x v="16"/>
      <x/>
      <x v="675"/>
      <x v="143"/>
    </i>
    <i r="4">
      <x v="833"/>
    </i>
    <i r="4">
      <x v="960"/>
    </i>
    <i t="default" r="3">
      <x v="675"/>
    </i>
    <i>
      <x v="3"/>
      <x v="4"/>
      <x v="7"/>
      <x v="1075"/>
      <x v="720"/>
    </i>
    <i t="default" r="3">
      <x v="1075"/>
    </i>
    <i r="2">
      <x v="10"/>
      <x v="966"/>
      <x v="150"/>
    </i>
    <i t="default" r="3">
      <x v="966"/>
    </i>
    <i r="2">
      <x v="14"/>
      <x v="965"/>
      <x v="133"/>
    </i>
    <i t="default" r="3">
      <x v="965"/>
    </i>
    <i r="1">
      <x v="13"/>
      <x/>
      <x v="163"/>
      <x v="186"/>
    </i>
    <i t="default" r="3">
      <x v="163"/>
    </i>
    <i r="1">
      <x v="15"/>
      <x/>
      <x v="134"/>
      <x v="729"/>
    </i>
    <i t="default" r="3">
      <x v="134"/>
    </i>
    <i r="2">
      <x v="3"/>
      <x v="224"/>
      <x v="1044"/>
    </i>
    <i t="default" r="3">
      <x v="224"/>
    </i>
    <i r="2">
      <x v="4"/>
      <x v="132"/>
      <x v="509"/>
    </i>
    <i t="default" r="3">
      <x v="132"/>
    </i>
    <i r="2">
      <x v="5"/>
      <x v="702"/>
      <x v="839"/>
    </i>
    <i t="default" r="3">
      <x v="702"/>
    </i>
    <i>
      <x v="4"/>
      <x v="4"/>
      <x v="1"/>
      <x v="975"/>
      <x v="556"/>
    </i>
    <i t="default" r="3">
      <x v="975"/>
    </i>
    <i r="1">
      <x v="15"/>
      <x v="2"/>
      <x v="162"/>
      <x v="425"/>
    </i>
    <i t="default" r="3">
      <x v="162"/>
    </i>
    <i r="2">
      <x v="7"/>
      <x v="530"/>
      <x v="425"/>
    </i>
    <i t="default" r="3">
      <x v="530"/>
    </i>
    <i>
      <x v="5"/>
      <x v="5"/>
      <x v="18"/>
      <x v="4"/>
      <x v="130"/>
    </i>
    <i t="default" r="3">
      <x v="4"/>
    </i>
    <i r="2">
      <x v="31"/>
      <x v="537"/>
      <x v="130"/>
    </i>
    <i t="default" r="3">
      <x v="537"/>
    </i>
    <i r="1">
      <x v="12"/>
      <x/>
      <x v="6"/>
      <x v="716"/>
    </i>
    <i t="default" r="3">
      <x v="6"/>
    </i>
    <i r="1">
      <x v="14"/>
      <x/>
      <x v="5"/>
      <x v="716"/>
    </i>
    <i t="default" r="3">
      <x v="5"/>
    </i>
    <i r="1">
      <x v="15"/>
      <x v="9"/>
      <x v="955"/>
      <x v="716"/>
    </i>
    <i t="default" r="3">
      <x v="955"/>
    </i>
    <i r="1">
      <x v="17"/>
      <x v="9"/>
      <x v="533"/>
      <x v="716"/>
    </i>
    <i t="default" r="3">
      <x v="533"/>
    </i>
    <i r="2">
      <x v="142"/>
      <x v="836"/>
      <x v="127"/>
    </i>
    <i t="default" r="3">
      <x v="836"/>
    </i>
    <i r="2">
      <x v="146"/>
      <x v="884"/>
      <x v="130"/>
    </i>
    <i t="default" r="3">
      <x v="884"/>
    </i>
    <i r="2">
      <x v="184"/>
      <x v="535"/>
      <x v="716"/>
    </i>
    <i t="default" r="3">
      <x v="535"/>
    </i>
    <i>
      <x v="6"/>
      <x/>
      <x v="368"/>
      <x v="113"/>
      <x v="402"/>
    </i>
    <i r="4">
      <x v="424"/>
    </i>
    <i t="default" r="3">
      <x v="113"/>
    </i>
    <i>
      <x v="7"/>
      <x v="15"/>
      <x/>
      <x v="1021"/>
      <x v="434"/>
    </i>
    <i t="default" r="3">
      <x v="1021"/>
    </i>
    <i>
      <x v="8"/>
      <x v="6"/>
      <x v="6"/>
      <x v="1101"/>
      <x v="161"/>
    </i>
    <i t="default" r="3">
      <x v="1101"/>
    </i>
    <i r="1">
      <x v="15"/>
      <x/>
      <x v="180"/>
      <x v="950"/>
    </i>
    <i t="default" r="3">
      <x v="180"/>
    </i>
    <i>
      <x v="9"/>
      <x v="17"/>
      <x v="15"/>
      <x v="507"/>
      <x v="193"/>
    </i>
    <i t="default" r="3">
      <x v="507"/>
    </i>
    <i r="2">
      <x v="16"/>
      <x v="512"/>
      <x v="192"/>
    </i>
    <i t="default" r="3">
      <x v="512"/>
    </i>
    <i r="2">
      <x v="19"/>
      <x v="467"/>
      <x v="956"/>
    </i>
    <i t="default" r="3">
      <x v="467"/>
    </i>
    <i r="2">
      <x v="20"/>
      <x v="879"/>
      <x v="193"/>
    </i>
    <i t="default" r="3">
      <x v="879"/>
    </i>
    <i>
      <x v="10"/>
      <x v="4"/>
      <x v="31"/>
      <x v="217"/>
      <x v="1015"/>
    </i>
    <i t="default" r="3">
      <x v="217"/>
    </i>
    <i r="1">
      <x v="15"/>
      <x/>
      <x v="216"/>
      <x v="919"/>
    </i>
    <i t="default" r="3">
      <x v="216"/>
    </i>
    <i r="1">
      <x v="17"/>
      <x v="103"/>
      <x v="790"/>
      <x v="443"/>
    </i>
    <i t="default" r="3">
      <x v="790"/>
    </i>
    <i r="2">
      <x v="105"/>
      <x v="831"/>
      <x v="443"/>
    </i>
    <i t="default" r="3">
      <x v="831"/>
    </i>
    <i r="2">
      <x v="121"/>
      <x v="867"/>
      <x v="469"/>
    </i>
    <i t="default" r="3">
      <x v="867"/>
    </i>
    <i r="2">
      <x v="160"/>
      <x v="184"/>
      <x v="119"/>
    </i>
    <i t="default" r="3">
      <x v="184"/>
    </i>
    <i r="2">
      <x v="190"/>
      <x v="877"/>
      <x v="447"/>
    </i>
    <i t="default" r="3">
      <x v="877"/>
    </i>
    <i r="1">
      <x v="19"/>
      <x v="17"/>
      <x v="816"/>
      <x v="919"/>
    </i>
    <i t="default" r="3">
      <x v="816"/>
    </i>
    <i>
      <x v="11"/>
      <x v="4"/>
      <x v="9"/>
      <x v="526"/>
      <x v="723"/>
    </i>
    <i t="default" r="3">
      <x v="526"/>
    </i>
    <i r="2">
      <x v="21"/>
      <x v="628"/>
      <x v="723"/>
    </i>
    <i r="4">
      <x v="726"/>
    </i>
    <i t="default" r="3">
      <x v="628"/>
    </i>
    <i r="2">
      <x v="22"/>
      <x v="725"/>
      <x v="106"/>
    </i>
    <i r="4">
      <x v="672"/>
    </i>
    <i r="4">
      <x v="703"/>
    </i>
    <i r="4">
      <x v="705"/>
    </i>
    <i r="4">
      <x v="723"/>
    </i>
    <i t="default" r="3">
      <x v="725"/>
    </i>
    <i r="2">
      <x v="24"/>
      <x v="729"/>
      <x v="846"/>
    </i>
    <i t="default" r="3">
      <x v="729"/>
    </i>
    <i r="1">
      <x v="10"/>
      <x v="26"/>
      <x v="641"/>
      <x v="703"/>
    </i>
    <i t="default" r="3">
      <x v="641"/>
    </i>
    <i r="1">
      <x v="15"/>
      <x v="11"/>
      <x v="106"/>
      <x v="723"/>
    </i>
    <i t="default" r="3">
      <x v="106"/>
    </i>
    <i r="2">
      <x v="13"/>
      <x v="943"/>
      <x v="52"/>
    </i>
    <i t="default" r="3">
      <x v="943"/>
    </i>
    <i r="2">
      <x v="15"/>
      <x v="730"/>
      <x v="51"/>
    </i>
    <i r="4">
      <x v="705"/>
    </i>
    <i r="4">
      <x v="709"/>
    </i>
    <i r="4">
      <x v="723"/>
    </i>
    <i t="default" r="3">
      <x v="730"/>
    </i>
    <i r="2">
      <x v="16"/>
      <x v="91"/>
      <x v="42"/>
    </i>
    <i r="4">
      <x v="703"/>
    </i>
    <i r="4">
      <x v="723"/>
    </i>
    <i r="4">
      <x v="724"/>
    </i>
    <i t="default" r="3">
      <x v="91"/>
    </i>
    <i r="2">
      <x v="17"/>
      <x v="1013"/>
      <x v="42"/>
    </i>
    <i t="default" r="3">
      <x v="1013"/>
    </i>
    <i r="2">
      <x v="18"/>
      <x v="728"/>
      <x v="48"/>
    </i>
    <i r="4">
      <x v="724"/>
    </i>
    <i t="default" r="3">
      <x v="728"/>
    </i>
    <i r="1">
      <x v="17"/>
      <x v="133"/>
      <x v="900"/>
      <x v="869"/>
    </i>
    <i t="default" r="3">
      <x v="900"/>
    </i>
    <i r="2">
      <x v="139"/>
      <x v="837"/>
      <x v="869"/>
    </i>
    <i t="default" r="3">
      <x v="837"/>
    </i>
    <i>
      <x v="12"/>
      <x v="10"/>
      <x v="11"/>
      <x v="994"/>
      <x v="565"/>
    </i>
    <i t="default" r="3">
      <x v="994"/>
    </i>
    <i>
      <x v="13"/>
      <x v="4"/>
      <x v="1"/>
      <x v="772"/>
      <x v="810"/>
    </i>
    <i t="default" r="3">
      <x v="772"/>
    </i>
    <i r="2">
      <x v="4"/>
      <x v="454"/>
      <x v="617"/>
    </i>
    <i t="default" r="3">
      <x v="454"/>
    </i>
    <i r="1">
      <x v="19"/>
      <x/>
      <x v="815"/>
      <x v="195"/>
    </i>
    <i t="default" r="3">
      <x v="815"/>
    </i>
    <i>
      <x v="14"/>
      <x v="15"/>
      <x/>
      <x v="603"/>
      <x v="938"/>
    </i>
    <i t="default" r="3">
      <x v="603"/>
    </i>
    <i r="1">
      <x v="17"/>
      <x v="83"/>
      <x v="849"/>
      <x v="415"/>
    </i>
    <i t="default" r="3">
      <x v="849"/>
    </i>
    <i>
      <x v="15"/>
      <x v="15"/>
      <x v="1"/>
      <x v="710"/>
      <x v="974"/>
    </i>
    <i t="default" r="3">
      <x v="710"/>
    </i>
    <i r="1">
      <x v="17"/>
      <x v="45"/>
      <x v="823"/>
      <x v="117"/>
    </i>
    <i t="default" r="3">
      <x v="823"/>
    </i>
    <i r="2">
      <x v="69"/>
      <x v="834"/>
      <x v="529"/>
    </i>
    <i t="default" r="3">
      <x v="834"/>
    </i>
    <i>
      <x v="16"/>
      <x v="4"/>
      <x v="1"/>
      <x v="633"/>
      <x v="815"/>
    </i>
    <i t="default" r="3">
      <x v="633"/>
    </i>
    <i r="2">
      <x v="2"/>
      <x v="635"/>
      <x v="898"/>
    </i>
    <i t="default" r="3">
      <x v="635"/>
    </i>
    <i r="2">
      <x v="8"/>
      <x v="952"/>
      <x v="815"/>
    </i>
    <i t="default" r="3">
      <x v="952"/>
    </i>
    <i r="2">
      <x v="12"/>
      <x v="950"/>
      <x v="682"/>
    </i>
    <i t="default" r="3">
      <x v="950"/>
    </i>
    <i>
      <x v="18"/>
      <x v="9"/>
      <x v="13"/>
      <x v="58"/>
      <x v="1020"/>
    </i>
    <i t="default" r="3">
      <x v="58"/>
    </i>
    <i>
      <x v="19"/>
      <x v="17"/>
      <x v="47"/>
      <x v="874"/>
      <x v="1024"/>
    </i>
    <i t="default" r="3">
      <x v="874"/>
    </i>
    <i r="2">
      <x v="57"/>
      <x v="799"/>
      <x v="657"/>
    </i>
    <i t="default" r="3">
      <x v="799"/>
    </i>
    <i r="2">
      <x v="68"/>
      <x v="821"/>
      <x v="707"/>
    </i>
    <i t="default" r="3">
      <x v="821"/>
    </i>
    <i r="2">
      <x v="69"/>
      <x v="834"/>
      <x v="388"/>
    </i>
    <i t="default" r="3">
      <x v="834"/>
    </i>
    <i r="2">
      <x v="111"/>
      <x v="866"/>
      <x v="657"/>
    </i>
    <i t="default" r="3">
      <x v="866"/>
    </i>
    <i r="2">
      <x v="136"/>
      <x v="805"/>
      <x v="707"/>
    </i>
    <i t="default" r="3">
      <x v="805"/>
    </i>
    <i r="2">
      <x v="139"/>
      <x v="837"/>
      <x v="332"/>
    </i>
    <i r="4">
      <x v="333"/>
    </i>
    <i r="4">
      <x v="334"/>
    </i>
    <i r="4">
      <x v="335"/>
    </i>
    <i r="4">
      <x v="336"/>
    </i>
    <i r="4">
      <x v="337"/>
    </i>
    <i r="4">
      <x v="338"/>
    </i>
    <i r="4">
      <x v="339"/>
    </i>
    <i r="4">
      <x v="340"/>
    </i>
    <i r="4">
      <x v="341"/>
    </i>
    <i r="4">
      <x v="342"/>
    </i>
    <i r="4">
      <x v="343"/>
    </i>
    <i r="4">
      <x v="344"/>
    </i>
    <i r="4">
      <x v="345"/>
    </i>
    <i r="4">
      <x v="346"/>
    </i>
    <i r="4">
      <x v="347"/>
    </i>
    <i r="4">
      <x v="348"/>
    </i>
    <i r="4">
      <x v="349"/>
    </i>
    <i r="4">
      <x v="350"/>
    </i>
    <i r="4">
      <x v="351"/>
    </i>
    <i r="4">
      <x v="352"/>
    </i>
    <i r="4">
      <x v="353"/>
    </i>
    <i r="4">
      <x v="354"/>
    </i>
    <i r="4">
      <x v="355"/>
    </i>
    <i r="4">
      <x v="356"/>
    </i>
    <i r="4">
      <x v="357"/>
    </i>
    <i r="4">
      <x v="358"/>
    </i>
    <i r="4">
      <x v="359"/>
    </i>
    <i r="4">
      <x v="360"/>
    </i>
    <i r="4">
      <x v="361"/>
    </i>
    <i r="4">
      <x v="362"/>
    </i>
    <i r="4">
      <x v="363"/>
    </i>
    <i r="4">
      <x v="535"/>
    </i>
    <i t="default" r="3">
      <x v="837"/>
    </i>
    <i r="2">
      <x v="140"/>
      <x v="1042"/>
      <x v="452"/>
    </i>
    <i t="default" r="3">
      <x v="1042"/>
    </i>
    <i>
      <x v="20"/>
      <x v="12"/>
      <x/>
      <x v="6"/>
      <x v="374"/>
    </i>
    <i t="default" r="3">
      <x v="6"/>
    </i>
    <i r="1">
      <x v="15"/>
      <x/>
      <x v="240"/>
      <x v="523"/>
    </i>
    <i t="default" r="3">
      <x v="240"/>
    </i>
    <i r="2">
      <x v="1"/>
      <x v="41"/>
      <x v="428"/>
    </i>
    <i t="default" r="3">
      <x v="41"/>
    </i>
    <i>
      <x v="21"/>
      <x v="16"/>
      <x v="2"/>
      <x v="114"/>
      <x v="367"/>
    </i>
    <i t="default" r="3">
      <x v="114"/>
    </i>
    <i r="2">
      <x v="6"/>
      <x v="448"/>
      <x v="1001"/>
    </i>
    <i t="default" r="3">
      <x v="448"/>
    </i>
    <i>
      <x v="25"/>
      <x v="14"/>
      <x v="1"/>
      <x v="33"/>
      <x v="1012"/>
    </i>
    <i t="default" r="3">
      <x v="33"/>
    </i>
    <i>
      <x v="32"/>
      <x v="4"/>
      <x v="12"/>
      <x v="969"/>
      <x v="857"/>
    </i>
    <i t="default" r="3">
      <x v="969"/>
    </i>
    <i>
      <x v="33"/>
      <x v="4"/>
      <x v="6"/>
      <x v="452"/>
      <x v="536"/>
    </i>
    <i t="default" r="3">
      <x v="452"/>
    </i>
    <i>
      <x v="35"/>
      <x v="5"/>
      <x v="1"/>
      <x v="69"/>
      <x v="146"/>
    </i>
    <i t="default" r="3">
      <x v="69"/>
    </i>
    <i>
      <x v="36"/>
      <x v="15"/>
      <x v="1"/>
      <x v="778"/>
      <x v="710"/>
    </i>
    <i t="default" r="3">
      <x v="778"/>
    </i>
    <i>
      <x v="37"/>
      <x v="4"/>
      <x v="4"/>
      <x v="156"/>
      <x v="689"/>
    </i>
    <i t="default" r="3">
      <x v="156"/>
    </i>
    <i r="2">
      <x v="35"/>
      <x v="236"/>
      <x v="689"/>
    </i>
    <i t="default" r="3">
      <x v="236"/>
    </i>
    <i>
      <x v="38"/>
      <x v="4"/>
      <x v="6"/>
      <x v="1064"/>
      <x v="697"/>
    </i>
    <i t="default" r="3">
      <x v="1064"/>
    </i>
    <i r="2">
      <x v="7"/>
      <x v="1149"/>
      <x v="697"/>
    </i>
    <i t="default" r="3">
      <x v="114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5" hier="-1"/>
  </pageFields>
  <dataFields count="5">
    <dataField name="PEF 2010 " fld="33" baseField="0" baseItem="0"/>
    <dataField name="PPEF 2011 " fld="34" baseField="0" baseItem="0"/>
    <dataField name="Reducción " fld="35" baseField="0" baseItem="0"/>
    <dataField name="Ampliación " fld="36" baseField="0" baseItem="0"/>
    <dataField name="PEF 2011 " fld="37" baseField="0" baseItem="0"/>
  </dataFields>
  <formats count="34">
    <format dxfId="252">
      <pivotArea outline="0" collapsedLevelsAreSubtotals="1" fieldPosition="0"/>
    </format>
    <format dxfId="251">
      <pivotArea field="-2" type="button" dataOnly="0" labelOnly="1" outline="0" axis="axisCol" fieldPosition="0"/>
    </format>
    <format dxfId="250">
      <pivotArea type="topRight" dataOnly="0" labelOnly="1" outline="0" fieldPosition="0"/>
    </format>
    <format dxfId="249">
      <pivotArea field="0" type="button" dataOnly="0" labelOnly="1" outline="0"/>
    </format>
    <format dxfId="248">
      <pivotArea field="1" type="button" dataOnly="0" labelOnly="1" outline="0" axis="axisRow" fieldPosition="0"/>
    </format>
    <format dxfId="247">
      <pivotArea field="2" type="button" dataOnly="0" labelOnly="1" outline="0"/>
    </format>
    <format dxfId="24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45">
      <pivotArea field="0" type="button" dataOnly="0" labelOnly="1" outline="0"/>
    </format>
    <format dxfId="244">
      <pivotArea field="1" type="button" dataOnly="0" labelOnly="1" outline="0" axis="axisRow" fieldPosition="0"/>
    </format>
    <format dxfId="243">
      <pivotArea field="2" type="button" dataOnly="0" labelOnly="1" outline="0"/>
    </format>
    <format dxfId="24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41">
      <pivotArea field="22" type="button" dataOnly="0" labelOnly="1" outline="0"/>
    </format>
    <format dxfId="240">
      <pivotArea type="origin" dataOnly="0" labelOnly="1" outline="0" fieldPosition="0"/>
    </format>
    <format dxfId="239">
      <pivotArea dataOnly="0" labelOnly="1" outline="0" fieldPosition="0">
        <references count="1">
          <reference field="1" count="13">
            <x v="3"/>
            <x v="4"/>
            <x v="7"/>
            <x v="8"/>
            <x v="9"/>
            <x v="10"/>
            <x v="11"/>
            <x v="12"/>
            <x v="15"/>
            <x v="16"/>
            <x v="17"/>
            <x v="20"/>
            <x v="35"/>
          </reference>
        </references>
      </pivotArea>
    </format>
    <format dxfId="238">
      <pivotArea dataOnly="0" labelOnly="1" grandRow="1" outline="0" fieldPosition="0"/>
    </format>
    <format dxfId="237">
      <pivotArea field="22" type="button" dataOnly="0" labelOnly="1" outline="0"/>
    </format>
    <format dxfId="236">
      <pivotArea type="origin" dataOnly="0" labelOnly="1" outline="0" fieldPosition="0"/>
    </format>
    <format dxfId="235">
      <pivotArea dataOnly="0" labelOnly="1" outline="0" fieldPosition="0">
        <references count="1">
          <reference field="1" count="13">
            <x v="3"/>
            <x v="4"/>
            <x v="7"/>
            <x v="8"/>
            <x v="9"/>
            <x v="10"/>
            <x v="11"/>
            <x v="12"/>
            <x v="15"/>
            <x v="16"/>
            <x v="17"/>
            <x v="20"/>
            <x v="35"/>
          </reference>
        </references>
      </pivotArea>
    </format>
    <format dxfId="234">
      <pivotArea dataOnly="0" labelOnly="1" grandRow="1" outline="0" fieldPosition="0"/>
    </format>
    <format dxfId="233">
      <pivotArea field="1" type="button" dataOnly="0" labelOnly="1" outline="0" axis="axisRow" fieldPosition="0"/>
    </format>
    <format dxfId="232">
      <pivotArea field="2" type="button" dataOnly="0" labelOnly="1" outline="0"/>
    </format>
    <format dxfId="231">
      <pivotArea field="8" type="button" dataOnly="0" labelOnly="1" outline="0" axis="axisRow" fieldPosition="4"/>
    </format>
    <format dxfId="23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29">
      <pivotArea field="1" type="button" dataOnly="0" labelOnly="1" outline="0" axis="axisRow" fieldPosition="0"/>
    </format>
    <format dxfId="228">
      <pivotArea field="2" type="button" dataOnly="0" labelOnly="1" outline="0"/>
    </format>
    <format dxfId="227">
      <pivotArea field="8" type="button" dataOnly="0" labelOnly="1" outline="0" axis="axisRow" fieldPosition="4"/>
    </format>
    <format dxfId="22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25">
      <pivotArea field="2" type="button" dataOnly="0" labelOnly="1" outline="0"/>
    </format>
    <format dxfId="224">
      <pivotArea field="3" type="button" dataOnly="0" labelOnly="1" outline="0" axis="axisRow" fieldPosition="1"/>
    </format>
    <format dxfId="223">
      <pivotArea field="5" type="button" dataOnly="0" labelOnly="1" outline="0" axis="axisRow" fieldPosition="2"/>
    </format>
    <format dxfId="222">
      <pivotArea field="6" type="button" dataOnly="0" labelOnly="1" outline="0" axis="axisRow" fieldPosition="3"/>
    </format>
    <format dxfId="22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20">
      <pivotArea type="topRight" dataOnly="0" labelOnly="1" outline="0" offset="A1" fieldPosition="0"/>
    </format>
    <format dxfId="21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3" minRefreshableVersion="3" showCalcMbrs="0" itemPrintTitles="1" createdVersion="3" indent="0" compact="0" compactData="0" multipleFieldFilters="0">
  <location ref="A4:H76" firstHeaderRow="1" firstDataRow="2" firstDataCol="4" rowPageCount="1" colPageCount="1"/>
  <pivotFields count="38">
    <pivotField compact="0" outline="0" showAll="0" defaultSubtotal="0">
      <items count="5">
        <item x="0"/>
        <item x="1"/>
        <item x="2"/>
        <item x="3"/>
        <item m="1" x="4"/>
      </items>
    </pivotField>
    <pivotField axis="axisRow" compact="0" outline="0" showAll="0" defaultSubtotal="0">
      <items count="42">
        <item x="0"/>
        <item x="5"/>
        <item x="1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9"/>
        <item x="21"/>
        <item x="22"/>
        <item x="2"/>
        <item x="30"/>
        <item x="31"/>
        <item x="32"/>
        <item x="23"/>
        <item x="33"/>
        <item x="34"/>
        <item x="24"/>
        <item x="25"/>
        <item x="35"/>
        <item x="36"/>
        <item x="3"/>
        <item x="26"/>
        <item x="27"/>
        <item x="28"/>
        <item x="4"/>
        <item x="37"/>
        <item x="38"/>
        <item x="39"/>
        <item x="40"/>
        <item x="41"/>
      </items>
    </pivotField>
    <pivotField compact="0" outline="0" showAll="0">
      <items count="43">
        <item x="34"/>
        <item x="10"/>
        <item x="29"/>
        <item x="35"/>
        <item x="40"/>
        <item x="3"/>
        <item x="11"/>
        <item x="27"/>
        <item x="28"/>
        <item x="9"/>
        <item x="21"/>
        <item x="31"/>
        <item x="12"/>
        <item x="13"/>
        <item x="20"/>
        <item x="36"/>
        <item x="23"/>
        <item x="6"/>
        <item x="8"/>
        <item x="4"/>
        <item x="37"/>
        <item x="2"/>
        <item x="38"/>
        <item x="39"/>
        <item x="15"/>
        <item x="18"/>
        <item x="33"/>
        <item x="41"/>
        <item x="1"/>
        <item x="0"/>
        <item x="5"/>
        <item x="32"/>
        <item x="19"/>
        <item x="30"/>
        <item x="17"/>
        <item x="7"/>
        <item x="14"/>
        <item x="26"/>
        <item x="16"/>
        <item x="25"/>
        <item x="24"/>
        <item x="22"/>
        <item t="default"/>
      </items>
    </pivotField>
    <pivotField axis="axisRow" compact="0" outline="0" showAll="0" defaultSubtotal="0">
      <items count="22">
        <item x="12"/>
        <item x="8"/>
        <item x="19"/>
        <item x="18"/>
        <item x="4"/>
        <item x="9"/>
        <item x="10"/>
        <item x="20"/>
        <item x="15"/>
        <item x="16"/>
        <item x="0"/>
        <item x="13"/>
        <item x="2"/>
        <item x="6"/>
        <item x="3"/>
        <item x="5"/>
        <item x="1"/>
        <item x="11"/>
        <item x="17"/>
        <item x="7"/>
        <item x="21"/>
        <item x="14"/>
      </items>
    </pivotField>
    <pivotField compact="0" outline="0" showAll="0" defaultSubtotal="0"/>
    <pivotField axis="axisRow" compact="0" outline="0" showAll="0" defaultSubtotal="0">
      <items count="370"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2"/>
        <item x="23"/>
        <item x="24"/>
        <item x="20"/>
        <item x="21"/>
        <item x="47"/>
        <item x="0"/>
        <item x="25"/>
        <item x="1"/>
        <item x="31"/>
        <item x="26"/>
        <item x="27"/>
        <item x="28"/>
        <item x="29"/>
        <item x="30"/>
        <item x="53"/>
        <item x="54"/>
        <item x="55"/>
        <item x="56"/>
        <item x="57"/>
        <item x="58"/>
        <item x="59"/>
        <item x="60"/>
        <item x="66"/>
        <item x="67"/>
        <item x="76"/>
        <item x="61"/>
        <item x="68"/>
        <item x="69"/>
        <item x="70"/>
        <item x="71"/>
        <item x="72"/>
        <item x="73"/>
        <item x="134"/>
        <item x="136"/>
        <item x="137"/>
        <item x="103"/>
        <item x="174"/>
        <item x="74"/>
        <item x="138"/>
        <item x="104"/>
        <item x="75"/>
        <item x="105"/>
        <item x="106"/>
        <item x="107"/>
        <item x="108"/>
        <item x="77"/>
        <item x="78"/>
        <item x="79"/>
        <item x="109"/>
        <item x="139"/>
        <item x="62"/>
        <item x="80"/>
        <item x="127"/>
        <item x="128"/>
        <item x="152"/>
        <item x="129"/>
        <item x="153"/>
        <item x="154"/>
        <item x="155"/>
        <item x="156"/>
        <item x="81"/>
        <item x="157"/>
        <item x="158"/>
        <item x="159"/>
        <item x="116"/>
        <item x="117"/>
        <item x="160"/>
        <item x="161"/>
        <item x="162"/>
        <item x="163"/>
        <item x="164"/>
        <item x="165"/>
        <item x="166"/>
        <item x="167"/>
        <item x="168"/>
        <item x="32"/>
        <item x="169"/>
        <item x="170"/>
        <item x="171"/>
        <item x="172"/>
        <item x="175"/>
        <item x="176"/>
        <item x="177"/>
        <item x="178"/>
        <item x="82"/>
        <item x="130"/>
        <item x="83"/>
        <item x="179"/>
        <item x="180"/>
        <item x="181"/>
        <item x="182"/>
        <item x="173"/>
        <item x="140"/>
        <item x="141"/>
        <item x="84"/>
        <item x="183"/>
        <item x="184"/>
        <item x="131"/>
        <item x="185"/>
        <item x="186"/>
        <item x="187"/>
        <item x="85"/>
        <item x="86"/>
        <item x="87"/>
        <item x="119"/>
        <item x="188"/>
        <item x="120"/>
        <item x="121"/>
        <item x="122"/>
        <item x="123"/>
        <item x="124"/>
        <item x="125"/>
        <item x="126"/>
        <item x="110"/>
        <item x="111"/>
        <item x="63"/>
        <item x="88"/>
        <item x="142"/>
        <item x="89"/>
        <item x="33"/>
        <item x="112"/>
        <item x="135"/>
        <item x="143"/>
        <item x="34"/>
        <item x="35"/>
        <item x="36"/>
        <item x="37"/>
        <item x="38"/>
        <item x="39"/>
        <item x="40"/>
        <item x="41"/>
        <item x="42"/>
        <item x="147"/>
        <item x="148"/>
        <item x="149"/>
        <item x="43"/>
        <item x="113"/>
        <item x="114"/>
        <item x="115"/>
        <item x="118"/>
        <item x="90"/>
        <item x="91"/>
        <item x="92"/>
        <item x="93"/>
        <item x="94"/>
        <item x="95"/>
        <item x="44"/>
        <item x="189"/>
        <item x="190"/>
        <item x="144"/>
        <item x="64"/>
        <item x="191"/>
        <item x="145"/>
        <item x="132"/>
        <item x="133"/>
        <item x="192"/>
        <item x="65"/>
        <item x="96"/>
        <item x="97"/>
        <item x="98"/>
        <item x="193"/>
        <item x="150"/>
        <item x="194"/>
        <item x="99"/>
        <item x="195"/>
        <item x="45"/>
        <item x="48"/>
        <item x="49"/>
        <item x="50"/>
        <item x="51"/>
        <item x="52"/>
        <item x="100"/>
        <item x="151"/>
        <item x="146"/>
        <item x="101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365"/>
        <item x="366"/>
        <item x="356"/>
        <item x="357"/>
        <item x="358"/>
        <item x="359"/>
        <item x="360"/>
        <item x="361"/>
        <item x="362"/>
        <item x="364"/>
        <item x="363"/>
        <item x="367"/>
        <item x="368"/>
        <item x="369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46"/>
        <item x="102"/>
      </items>
    </pivotField>
    <pivotField axis="axisRow" compact="0" outline="0" showAll="0" defaultSubtotal="0">
      <items count="1170">
        <item x="692"/>
        <item x="374"/>
        <item x="131"/>
        <item x="158"/>
        <item x="107"/>
        <item x="42"/>
        <item x="34"/>
        <item x="2"/>
        <item x="1161"/>
        <item x="606"/>
        <item x="64"/>
        <item x="482"/>
        <item x="11"/>
        <item x="1134"/>
        <item x="687"/>
        <item x="846"/>
        <item x="94"/>
        <item x="260"/>
        <item x="650"/>
        <item x="649"/>
        <item x="514"/>
        <item x="108"/>
        <item x="467"/>
        <item x="468"/>
        <item x="97"/>
        <item x="12"/>
        <item x="582"/>
        <item x="1156"/>
        <item x="466"/>
        <item x="1072"/>
        <item x="1078"/>
        <item x="1075"/>
        <item x="681"/>
        <item x="637"/>
        <item x="407"/>
        <item x="245"/>
        <item x="676"/>
        <item x="1165"/>
        <item x="33"/>
        <item x="401"/>
        <item x="685"/>
        <item x="636"/>
        <item x="668"/>
        <item x="267"/>
        <item x="6"/>
        <item x="35"/>
        <item x="418"/>
        <item x="49"/>
        <item x="265"/>
        <item x="48"/>
        <item x="431"/>
        <item x="330"/>
        <item x="151"/>
        <item x="198"/>
        <item x="176"/>
        <item x="1148"/>
        <item x="666"/>
        <item x="5"/>
        <item x="678"/>
        <item x="426"/>
        <item x="429"/>
        <item x="430"/>
        <item x="672"/>
        <item x="686"/>
        <item x="654"/>
        <item x="311"/>
        <item x="787"/>
        <item x="364"/>
        <item x="411"/>
        <item x="660"/>
        <item x="667"/>
        <item x="155"/>
        <item x="656"/>
        <item x="45"/>
        <item x="46"/>
        <item x="478"/>
        <item x="125"/>
        <item x="479"/>
        <item x="808"/>
        <item x="446"/>
        <item x="367"/>
        <item x="1121"/>
        <item x="1119"/>
        <item x="78"/>
        <item x="252"/>
        <item x="1107"/>
        <item x="53"/>
        <item x="152"/>
        <item x="301"/>
        <item x="1120"/>
        <item x="489"/>
        <item x="449"/>
        <item x="250"/>
        <item x="1091"/>
        <item x="397"/>
        <item x="410"/>
        <item x="1085"/>
        <item m="1" x="1168"/>
        <item x="47"/>
        <item x="24"/>
        <item x="20"/>
        <item x="799"/>
        <item x="662"/>
        <item x="809"/>
        <item x="801"/>
        <item x="798"/>
        <item x="445"/>
        <item x="201"/>
        <item x="493"/>
        <item x="476"/>
        <item x="436"/>
        <item x="1093"/>
        <item x="1100"/>
        <item x="169"/>
        <item x="9"/>
        <item x="458"/>
        <item x="39"/>
        <item x="40"/>
        <item x="41"/>
        <item x="568"/>
        <item x="222"/>
        <item x="361"/>
        <item x="800"/>
        <item x="1138"/>
        <item x="1160"/>
        <item x="701"/>
        <item x="684"/>
        <item x="280"/>
        <item x="132"/>
        <item x="92"/>
        <item x="111"/>
        <item x="480"/>
        <item x="66"/>
        <item x="591"/>
        <item x="63"/>
        <item x="537"/>
        <item x="126"/>
        <item x="233"/>
        <item x="238"/>
        <item x="209"/>
        <item x="237"/>
        <item x="626"/>
        <item x="168"/>
        <item x="510"/>
        <item x="216"/>
        <item x="527"/>
        <item x="519"/>
        <item x="109"/>
        <item x="465"/>
        <item x="299"/>
        <item x="1086"/>
        <item x="1088"/>
        <item x="1087"/>
        <item x="1080"/>
        <item x="1081"/>
        <item x="99"/>
        <item x="1084"/>
        <item x="452"/>
        <item x="481"/>
        <item x="84"/>
        <item x="592"/>
        <item x="593"/>
        <item x="86"/>
        <item x="62"/>
        <item x="31"/>
        <item x="602"/>
        <item x="1102"/>
        <item x="518"/>
        <item x="383"/>
        <item x="362"/>
        <item x="677"/>
        <item x="680"/>
        <item x="693"/>
        <item x="273"/>
        <item x="596"/>
        <item x="331"/>
        <item x="189"/>
        <item x="157"/>
        <item x="81"/>
        <item x="68"/>
        <item x="244"/>
        <item x="604"/>
        <item x="605"/>
        <item x="522"/>
        <item x="384"/>
        <item x="224"/>
        <item x="702"/>
        <item x="703"/>
        <item x="704"/>
        <item x="166"/>
        <item x="37"/>
        <item x="646"/>
        <item x="264"/>
        <item x="470"/>
        <item x="173"/>
        <item x="179"/>
        <item x="263"/>
        <item x="270"/>
        <item x="670"/>
        <item x="658"/>
        <item x="172"/>
        <item x="175"/>
        <item x="71"/>
        <item x="272"/>
        <item x="469"/>
        <item x="628"/>
        <item x="327"/>
        <item x="1082"/>
        <item x="115"/>
        <item x="196"/>
        <item x="499"/>
        <item x="437"/>
        <item x="1146"/>
        <item x="122"/>
        <item x="124"/>
        <item x="123"/>
        <item x="325"/>
        <item x="306"/>
        <item x="85"/>
        <item x="328"/>
        <item x="314"/>
        <item x="167"/>
        <item x="1137"/>
        <item x="1159"/>
        <item x="65"/>
        <item x="239"/>
        <item x="633"/>
        <item x="403"/>
        <item x="475"/>
        <item x="73"/>
        <item x="30"/>
        <item x="315"/>
        <item x="72"/>
        <item x="463"/>
        <item x="288"/>
        <item x="3"/>
        <item x="1101"/>
        <item x="427"/>
        <item x="398"/>
        <item x="29"/>
        <item x="635"/>
        <item x="14"/>
        <item x="513"/>
        <item x="1076"/>
        <item x="365"/>
        <item x="120"/>
        <item x="484"/>
        <item x="205"/>
        <item x="234"/>
        <item x="608"/>
        <item x="240"/>
        <item x="235"/>
        <item x="607"/>
        <item x="289"/>
        <item x="154"/>
        <item x="405"/>
        <item x="80"/>
        <item x="847"/>
        <item x="848"/>
        <item x="849"/>
        <item x="850"/>
        <item x="853"/>
        <item x="854"/>
        <item x="851"/>
        <item x="852"/>
        <item x="855"/>
        <item x="860"/>
        <item x="856"/>
        <item x="857"/>
        <item x="858"/>
        <item x="859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1006"/>
        <item x="1007"/>
        <item x="1008"/>
        <item x="1009"/>
        <item x="1012"/>
        <item x="1013"/>
        <item x="1010"/>
        <item x="1011"/>
        <item x="1014"/>
        <item x="1019"/>
        <item x="1015"/>
        <item x="1016"/>
        <item x="1017"/>
        <item x="1018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4"/>
        <item x="1045"/>
        <item x="1042"/>
        <item x="1043"/>
        <item x="1046"/>
        <item x="1047"/>
        <item x="1052"/>
        <item x="1048"/>
        <item x="1049"/>
        <item x="1050"/>
        <item x="1051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910"/>
        <item x="911"/>
        <item x="912"/>
        <item x="913"/>
        <item x="916"/>
        <item x="917"/>
        <item x="914"/>
        <item x="915"/>
        <item x="918"/>
        <item x="923"/>
        <item x="919"/>
        <item x="920"/>
        <item x="921"/>
        <item x="922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73"/>
        <item x="974"/>
        <item x="975"/>
        <item x="976"/>
        <item x="979"/>
        <item x="980"/>
        <item x="977"/>
        <item x="978"/>
        <item x="981"/>
        <item x="982"/>
        <item x="987"/>
        <item x="983"/>
        <item x="984"/>
        <item x="985"/>
        <item x="986"/>
        <item x="988"/>
        <item x="989"/>
        <item x="990"/>
        <item x="1005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37"/>
        <item x="878"/>
        <item x="879"/>
        <item x="880"/>
        <item x="881"/>
        <item x="884"/>
        <item x="885"/>
        <item x="882"/>
        <item x="883"/>
        <item x="886"/>
        <item x="887"/>
        <item x="892"/>
        <item x="888"/>
        <item x="889"/>
        <item x="890"/>
        <item x="891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13"/>
        <item x="494"/>
        <item x="149"/>
        <item x="495"/>
        <item x="651"/>
        <item x="647"/>
        <item x="477"/>
        <item x="199"/>
        <item x="603"/>
        <item x="557"/>
        <item x="659"/>
        <item x="406"/>
        <item x="699"/>
        <item x="795"/>
        <item x="419"/>
        <item x="755"/>
        <item x="753"/>
        <item x="424"/>
        <item x="320"/>
        <item x="277"/>
        <item x="492"/>
        <item x="502"/>
        <item x="396"/>
        <item x="74"/>
        <item x="814"/>
        <item x="815"/>
        <item x="816"/>
        <item x="817"/>
        <item x="820"/>
        <item x="821"/>
        <item x="818"/>
        <item x="819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22"/>
        <item x="695"/>
        <item x="812"/>
        <item x="786"/>
        <item x="275"/>
        <item x="754"/>
        <item x="785"/>
        <item x="696"/>
        <item x="811"/>
        <item x="276"/>
        <item x="434"/>
        <item x="329"/>
        <item x="428"/>
        <item x="433"/>
        <item x="432"/>
        <item x="423"/>
        <item x="274"/>
        <item x="750"/>
        <item x="751"/>
        <item x="285"/>
        <item x="317"/>
        <item x="793"/>
        <item x="319"/>
        <item x="435"/>
        <item x="206"/>
        <item x="290"/>
        <item x="10"/>
        <item x="91"/>
        <item x="409"/>
        <item x="326"/>
        <item x="135"/>
        <item x="417"/>
        <item x="148"/>
        <item x="664"/>
        <item x="112"/>
        <item x="408"/>
        <item x="413"/>
        <item x="412"/>
        <item x="318"/>
        <item x="113"/>
        <item x="83"/>
        <item x="462"/>
        <item x="261"/>
        <item x="665"/>
        <item x="941"/>
        <item x="942"/>
        <item x="943"/>
        <item x="944"/>
        <item x="947"/>
        <item x="948"/>
        <item x="945"/>
        <item x="946"/>
        <item x="949"/>
        <item x="950"/>
        <item x="955"/>
        <item x="951"/>
        <item x="952"/>
        <item x="953"/>
        <item x="954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1117"/>
        <item x="1118"/>
        <item x="630"/>
        <item x="266"/>
        <item x="1135"/>
        <item x="177"/>
        <item x="302"/>
        <item x="580"/>
        <item x="324"/>
        <item x="23"/>
        <item x="22"/>
        <item x="391"/>
        <item x="1071"/>
        <item x="1074"/>
        <item x="1090"/>
        <item x="1089"/>
        <item x="1079"/>
        <item x="645"/>
        <item x="473"/>
        <item x="55"/>
        <item x="161"/>
        <item x="28"/>
        <item x="69"/>
        <item x="648"/>
        <item x="498"/>
        <item x="295"/>
        <item x="296"/>
        <item x="1115"/>
        <item x="1070"/>
        <item x="1077"/>
        <item x="1073"/>
        <item x="533"/>
        <item x="530"/>
        <item x="528"/>
        <item x="640"/>
        <item x="671"/>
        <item x="669"/>
        <item x="181"/>
        <item x="524"/>
        <item x="425"/>
        <item x="195"/>
        <item x="483"/>
        <item x="129"/>
        <item x="638"/>
        <item x="572"/>
        <item x="303"/>
        <item x="511"/>
        <item x="1122"/>
        <item x="578"/>
        <item x="438"/>
        <item x="579"/>
        <item x="577"/>
        <item x="156"/>
        <item x="212"/>
        <item x="566"/>
        <item x="569"/>
        <item x="567"/>
        <item x="573"/>
        <item x="503"/>
        <item x="508"/>
        <item x="153"/>
        <item x="1094"/>
        <item x="1"/>
        <item x="556"/>
        <item x="639"/>
        <item x="1127"/>
        <item x="316"/>
        <item x="500"/>
        <item x="75"/>
        <item x="101"/>
        <item x="731"/>
        <item x="305"/>
        <item x="321"/>
        <item x="497"/>
        <item x="1141"/>
        <item x="213"/>
        <item x="207"/>
        <item x="58"/>
        <item x="121"/>
        <item x="70"/>
        <item x="1142"/>
        <item x="1147"/>
        <item x="504"/>
        <item x="505"/>
        <item x="1143"/>
        <item x="1133"/>
        <item x="1145"/>
        <item x="641"/>
        <item x="490"/>
        <item x="802"/>
        <item x="8"/>
        <item x="1083"/>
        <item x="584"/>
        <item x="76"/>
        <item x="77"/>
        <item x="304"/>
        <item x="4"/>
        <item x="813"/>
        <item x="797"/>
        <item x="1167"/>
        <item x="186"/>
        <item x="185"/>
        <item x="119"/>
        <item x="1131"/>
        <item x="683"/>
        <item x="655"/>
        <item x="1150"/>
        <item x="1139"/>
        <item x="531"/>
        <item x="1116"/>
        <item x="796"/>
        <item x="679"/>
        <item x="675"/>
        <item x="673"/>
        <item x="1128"/>
        <item x="1111"/>
        <item x="1112"/>
        <item x="1110"/>
        <item x="1108"/>
        <item x="1113"/>
        <item x="1114"/>
        <item x="674"/>
        <item x="128"/>
        <item x="67"/>
        <item x="1157"/>
        <item x="1154"/>
        <item x="130"/>
        <item x="180"/>
        <item x="7"/>
        <item x="43"/>
        <item x="1153"/>
        <item x="538"/>
        <item x="661"/>
        <item x="36"/>
        <item x="653"/>
        <item x="394"/>
        <item x="82"/>
        <item x="51"/>
        <item x="581"/>
        <item x="1164"/>
        <item x="803"/>
        <item x="291"/>
        <item x="804"/>
        <item x="294"/>
        <item x="292"/>
        <item x="1163"/>
        <item x="439"/>
        <item x="1126"/>
        <item x="700"/>
        <item x="451"/>
        <item x="440"/>
        <item x="448"/>
        <item x="249"/>
        <item x="259"/>
        <item x="554"/>
        <item x="682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805"/>
        <item x="806"/>
        <item x="807"/>
        <item x="507"/>
        <item x="547"/>
        <item x="520"/>
        <item x="546"/>
        <item x="512"/>
        <item x="550"/>
        <item x="540"/>
        <item x="551"/>
        <item x="488"/>
        <item x="474"/>
        <item x="160"/>
        <item x="93"/>
        <item x="251"/>
        <item x="1158"/>
        <item x="52"/>
        <item x="44"/>
        <item x="286"/>
        <item x="300"/>
        <item x="287"/>
        <item x="297"/>
        <item x="104"/>
        <item x="162"/>
        <item x="163"/>
        <item x="613"/>
        <item x="619"/>
        <item x="377"/>
        <item x="382"/>
        <item x="375"/>
        <item x="453"/>
        <item x="609"/>
        <item x="598"/>
        <item x="552"/>
        <item x="564"/>
        <item x="600"/>
        <item x="542"/>
        <item x="543"/>
        <item x="612"/>
        <item x="387"/>
        <item x="420"/>
        <item x="388"/>
        <item x="190"/>
        <item x="386"/>
        <item x="618"/>
        <item x="620"/>
        <item x="136"/>
        <item x="485"/>
        <item x="191"/>
        <item x="617"/>
        <item x="487"/>
        <item x="214"/>
        <item x="147"/>
        <item x="614"/>
        <item x="486"/>
        <item x="400"/>
        <item x="810"/>
        <item x="171"/>
        <item x="472"/>
        <item x="416"/>
        <item x="615"/>
        <item x="565"/>
        <item x="541"/>
        <item x="145"/>
        <item x="282"/>
        <item x="553"/>
        <item x="133"/>
        <item x="193"/>
        <item x="373"/>
        <item x="558"/>
        <item x="376"/>
        <item x="366"/>
        <item x="165"/>
        <item x="246"/>
        <item x="390"/>
        <item x="137"/>
        <item x="457"/>
        <item x="143"/>
        <item x="293"/>
        <item x="392"/>
        <item x="371"/>
        <item x="102"/>
        <item x="517"/>
        <item x="624"/>
        <item x="139"/>
        <item x="516"/>
        <item x="535"/>
        <item x="563"/>
        <item x="501"/>
        <item x="368"/>
        <item x="372"/>
        <item x="559"/>
        <item x="623"/>
        <item x="548"/>
        <item x="610"/>
        <item x="192"/>
        <item x="562"/>
        <item x="545"/>
        <item x="159"/>
        <item x="146"/>
        <item x="134"/>
        <item x="247"/>
        <item x="194"/>
        <item x="549"/>
        <item x="561"/>
        <item x="616"/>
        <item x="379"/>
        <item x="506"/>
        <item x="378"/>
        <item x="370"/>
        <item x="389"/>
        <item x="539"/>
        <item x="140"/>
        <item x="597"/>
        <item x="688"/>
        <item x="103"/>
        <item x="393"/>
        <item x="369"/>
        <item x="278"/>
        <item x="323"/>
        <item x="380"/>
        <item x="560"/>
        <item x="200"/>
        <item x="141"/>
        <item x="536"/>
        <item x="279"/>
        <item x="281"/>
        <item x="621"/>
        <item x="381"/>
        <item x="283"/>
        <item x="555"/>
        <item x="544"/>
        <item x="756"/>
        <item x="622"/>
        <item x="142"/>
        <item x="144"/>
        <item x="138"/>
        <item x="1151"/>
        <item x="1132"/>
        <item x="456"/>
        <item x="454"/>
        <item x="105"/>
        <item x="358"/>
        <item x="359"/>
        <item x="339"/>
        <item x="332"/>
        <item x="333"/>
        <item x="334"/>
        <item x="337"/>
        <item x="338"/>
        <item x="335"/>
        <item x="336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60"/>
        <item x="611"/>
        <item x="532"/>
        <item x="455"/>
        <item x="106"/>
        <item x="752"/>
        <item x="1105"/>
        <item x="1104"/>
        <item x="254"/>
        <item x="178"/>
        <item x="642"/>
        <item x="90"/>
        <item x="447"/>
        <item x="269"/>
        <item x="262"/>
        <item x="1149"/>
        <item x="627"/>
        <item x="248"/>
        <item x="96"/>
        <item x="575"/>
        <item x="253"/>
        <item x="571"/>
        <item x="583"/>
        <item x="271"/>
        <item x="127"/>
        <item x="87"/>
        <item x="88"/>
        <item x="89"/>
        <item x="632"/>
        <item x="629"/>
        <item x="298"/>
        <item x="268"/>
        <item x="182"/>
        <item x="27"/>
        <item x="60"/>
        <item x="56"/>
        <item x="25"/>
        <item x="32"/>
        <item x="26"/>
        <item x="16"/>
        <item x="15"/>
        <item x="19"/>
        <item x="443"/>
        <item x="309"/>
        <item x="79"/>
        <item x="98"/>
        <item x="730"/>
        <item x="150"/>
        <item x="634"/>
        <item x="229"/>
        <item x="526"/>
        <item x="227"/>
        <item x="232"/>
        <item x="1140"/>
        <item x="1152"/>
        <item x="1166"/>
        <item x="228"/>
        <item x="241"/>
        <item x="61"/>
        <item x="576"/>
        <item x="231"/>
        <item x="170"/>
        <item x="652"/>
        <item x="471"/>
        <item x="230"/>
        <item x="184"/>
        <item x="444"/>
        <item x="0"/>
        <item x="313"/>
        <item x="284"/>
        <item x="657"/>
        <item x="38"/>
        <item x="594"/>
        <item x="21"/>
        <item x="59"/>
        <item x="100"/>
        <item x="1123"/>
        <item x="525"/>
        <item x="236"/>
        <item x="95"/>
        <item x="110"/>
        <item x="441"/>
        <item x="450"/>
        <item x="322"/>
        <item x="1130"/>
        <item x="491"/>
        <item x="57"/>
        <item x="307"/>
        <item x="521"/>
        <item x="308"/>
        <item x="188"/>
        <item x="496"/>
        <item x="631"/>
        <item x="515"/>
        <item x="587"/>
        <item x="255"/>
        <item x="256"/>
        <item x="220"/>
        <item x="114"/>
        <item x="588"/>
        <item x="258"/>
        <item x="586"/>
        <item x="585"/>
        <item x="217"/>
        <item x="116"/>
        <item x="117"/>
        <item x="118"/>
        <item x="183"/>
        <item x="1092"/>
        <item x="1129"/>
        <item x="570"/>
        <item x="599"/>
        <item x="643"/>
        <item x="644"/>
        <item x="187"/>
        <item x="595"/>
        <item x="464"/>
        <item x="1155"/>
        <item x="694"/>
        <item x="698"/>
        <item x="689"/>
        <item x="690"/>
        <item x="691"/>
        <item x="459"/>
        <item x="461"/>
        <item x="215"/>
        <item x="509"/>
        <item x="601"/>
        <item x="523"/>
        <item x="1097"/>
        <item x="208"/>
        <item x="210"/>
        <item x="1103"/>
        <item x="1124"/>
        <item x="50"/>
        <item x="625"/>
        <item x="164"/>
        <item x="211"/>
        <item x="1096"/>
        <item x="310"/>
        <item x="1099"/>
        <item x="1098"/>
        <item x="1106"/>
        <item x="1162"/>
        <item x="54"/>
        <item x="363"/>
        <item x="242"/>
        <item x="460"/>
        <item x="385"/>
        <item x="414"/>
        <item x="204"/>
        <item x="197"/>
        <item x="663"/>
        <item x="243"/>
        <item x="697"/>
        <item x="17"/>
        <item x="18"/>
        <item x="402"/>
        <item x="399"/>
        <item x="395"/>
        <item x="404"/>
        <item x="1109"/>
        <item x="1095"/>
        <item x="1144"/>
        <item x="590"/>
        <item x="574"/>
        <item x="589"/>
        <item x="226"/>
        <item x="225"/>
        <item x="221"/>
        <item x="223"/>
        <item x="218"/>
        <item x="219"/>
        <item x="203"/>
        <item x="1136"/>
        <item x="529"/>
        <item x="415"/>
        <item x="312"/>
        <item x="794"/>
        <item x="257"/>
        <item x="442"/>
        <item x="174"/>
        <item x="202"/>
        <item x="534"/>
        <item x="771"/>
        <item x="759"/>
        <item x="770"/>
        <item x="757"/>
        <item x="741"/>
        <item x="742"/>
        <item x="743"/>
        <item x="734"/>
        <item x="736"/>
        <item x="744"/>
        <item x="735"/>
        <item x="745"/>
        <item x="738"/>
        <item x="746"/>
        <item x="747"/>
        <item x="749"/>
        <item x="739"/>
        <item x="740"/>
        <item x="772"/>
        <item x="760"/>
        <item x="737"/>
        <item x="762"/>
        <item x="766"/>
        <item x="758"/>
        <item x="764"/>
        <item x="765"/>
        <item x="763"/>
        <item x="767"/>
        <item x="769"/>
        <item x="761"/>
        <item x="748"/>
        <item x="768"/>
        <item x="733"/>
        <item x="732"/>
        <item x="1125"/>
        <item x="42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m="1" x="1169"/>
        <item x="788"/>
        <item x="422"/>
        <item x="792"/>
        <item x="789"/>
        <item x="790"/>
        <item x="791"/>
      </items>
    </pivotField>
    <pivotField compact="0" outline="0" showAll="0" defaultSubtotal="0"/>
    <pivotField compact="0" outline="0" multipleItemSelectionAllowed="1" showAll="0" defaultSubtotal="0">
      <items count="1054">
        <item x="565"/>
        <item x="1051"/>
        <item x="342"/>
        <item x="343"/>
        <item x="339"/>
        <item x="340"/>
        <item x="288"/>
        <item x="344"/>
        <item x="341"/>
        <item x="309"/>
        <item x="782"/>
        <item x="811"/>
        <item x="191"/>
        <item x="221"/>
        <item x="57"/>
        <item x="2"/>
        <item x="153"/>
        <item x="338"/>
        <item x="453"/>
        <item x="679"/>
        <item x="429"/>
        <item x="924"/>
        <item x="799"/>
        <item x="1045"/>
        <item x="1028"/>
        <item x="1039"/>
        <item x="1040"/>
        <item x="1022"/>
        <item x="1023"/>
        <item x="1024"/>
        <item x="1043"/>
        <item x="1025"/>
        <item x="436"/>
        <item x="1042"/>
        <item x="1026"/>
        <item x="1007"/>
        <item x="56"/>
        <item x="1027"/>
        <item x="1029"/>
        <item x="1030"/>
        <item x="59"/>
        <item x="38"/>
        <item x="566"/>
        <item x="567"/>
        <item x="538"/>
        <item x="358"/>
        <item x="789"/>
        <item x="76"/>
        <item x="544"/>
        <item x="545"/>
        <item x="559"/>
        <item x="539"/>
        <item x="546"/>
        <item x="19"/>
        <item x="517"/>
        <item x="311"/>
        <item x="296"/>
        <item x="297"/>
        <item x="298"/>
        <item x="299"/>
        <item x="314"/>
        <item x="312"/>
        <item x="313"/>
        <item x="315"/>
        <item x="316"/>
        <item x="300"/>
        <item x="317"/>
        <item x="301"/>
        <item x="318"/>
        <item x="319"/>
        <item x="320"/>
        <item x="302"/>
        <item x="321"/>
        <item x="303"/>
        <item x="322"/>
        <item x="323"/>
        <item x="304"/>
        <item x="324"/>
        <item x="325"/>
        <item x="305"/>
        <item x="326"/>
        <item x="306"/>
        <item x="327"/>
        <item x="307"/>
        <item x="308"/>
        <item x="328"/>
        <item x="519"/>
        <item x="1041"/>
        <item x="1044"/>
        <item x="421"/>
        <item x="218"/>
        <item x="430"/>
        <item x="217"/>
        <item x="206"/>
        <item x="194"/>
        <item x="195"/>
        <item x="196"/>
        <item x="197"/>
        <item x="202"/>
        <item x="198"/>
        <item x="199"/>
        <item x="200"/>
        <item x="201"/>
        <item x="203"/>
        <item x="204"/>
        <item x="205"/>
        <item x="515"/>
        <item x="449"/>
        <item x="422"/>
        <item x="389"/>
        <item x="1052"/>
        <item x="390"/>
        <item x="333"/>
        <item x="547"/>
        <item x="164"/>
        <item x="224"/>
        <item x="540"/>
        <item x="764"/>
        <item x="568"/>
        <item x="450"/>
        <item x="839"/>
        <item x="268"/>
        <item x="412"/>
        <item x="632"/>
        <item x="548"/>
        <item x="838"/>
        <item x="163"/>
        <item x="168"/>
        <item x="162"/>
        <item x="690"/>
        <item x="156"/>
        <item x="834"/>
        <item x="150"/>
        <item x="68"/>
        <item x="837"/>
        <item x="618"/>
        <item x="263"/>
        <item x="440"/>
        <item x="1019"/>
        <item x="1021"/>
        <item x="1020"/>
        <item x="1018"/>
        <item x="12"/>
        <item x="4"/>
        <item x="1013"/>
        <item x="916"/>
        <item x="1046"/>
        <item x="858"/>
        <item x="468"/>
        <item x="439"/>
        <item x="63"/>
        <item x="55"/>
        <item x="108"/>
        <item x="10"/>
        <item x="922"/>
        <item x="51"/>
        <item x="15"/>
        <item x="810"/>
        <item x="49"/>
        <item x="52"/>
        <item x="50"/>
        <item x="335"/>
        <item x="48"/>
        <item x="511"/>
        <item x="824"/>
        <item x="21"/>
        <item x="477"/>
        <item x="45"/>
        <item x="988"/>
        <item x="693"/>
        <item x="694"/>
        <item x="166"/>
        <item x="348"/>
        <item x="225"/>
        <item x="37"/>
        <item x="272"/>
        <item x="360"/>
        <item x="476"/>
        <item x="273"/>
        <item x="274"/>
        <item x="60"/>
        <item x="1016"/>
        <item x="382"/>
        <item x="475"/>
        <item x="930"/>
        <item x="271"/>
        <item x="73"/>
        <item x="355"/>
        <item x="765"/>
        <item x="165"/>
        <item x="54"/>
        <item x="431"/>
        <item x="391"/>
        <item x="392"/>
        <item x="723"/>
        <item x="620"/>
        <item x="270"/>
        <item x="512"/>
        <item x="14"/>
        <item x="857"/>
        <item x="914"/>
        <item x="35"/>
        <item x="226"/>
        <item x="227"/>
        <item x="228"/>
        <item x="229"/>
        <item x="232"/>
        <item x="233"/>
        <item x="230"/>
        <item x="231"/>
        <item x="361"/>
        <item x="234"/>
        <item x="275"/>
        <item x="239"/>
        <item x="235"/>
        <item x="236"/>
        <item x="237"/>
        <item x="238"/>
        <item x="269"/>
        <item x="362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642"/>
        <item x="643"/>
        <item x="644"/>
        <item x="645"/>
        <item x="648"/>
        <item x="649"/>
        <item x="646"/>
        <item x="647"/>
        <item x="651"/>
        <item x="650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582"/>
        <item x="583"/>
        <item x="584"/>
        <item x="585"/>
        <item x="588"/>
        <item x="589"/>
        <item x="586"/>
        <item x="587"/>
        <item x="590"/>
        <item x="613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731"/>
        <item x="680"/>
        <item x="732"/>
        <item x="681"/>
        <item x="682"/>
        <item x="735"/>
        <item x="733"/>
        <item x="734"/>
        <item x="736"/>
        <item x="683"/>
        <item x="684"/>
        <item x="685"/>
        <item x="737"/>
        <item x="738"/>
        <item x="739"/>
        <item x="740"/>
        <item x="686"/>
        <item x="741"/>
        <item x="687"/>
        <item x="742"/>
        <item x="688"/>
        <item x="743"/>
        <item x="744"/>
        <item x="745"/>
        <item x="746"/>
        <item x="747"/>
        <item x="748"/>
        <item x="749"/>
        <item x="689"/>
        <item x="750"/>
        <item x="751"/>
        <item x="852"/>
        <item x="868"/>
        <item x="869"/>
        <item x="870"/>
        <item x="873"/>
        <item x="874"/>
        <item x="871"/>
        <item x="872"/>
        <item x="876"/>
        <item x="875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912"/>
        <item x="16"/>
        <item x="7"/>
        <item x="24"/>
        <item x="23"/>
        <item x="27"/>
        <item x="26"/>
        <item x="25"/>
        <item x="769"/>
        <item x="510"/>
        <item x="214"/>
        <item x="277"/>
        <item x="469"/>
        <item x="1017"/>
        <item x="571"/>
        <item x="329"/>
        <item x="786"/>
        <item x="990"/>
        <item x="909"/>
        <item x="222"/>
        <item x="282"/>
        <item x="88"/>
        <item x="841"/>
        <item x="43"/>
        <item x="903"/>
        <item x="814"/>
        <item x="815"/>
        <item x="936"/>
        <item x="294"/>
        <item x="120"/>
        <item x="516"/>
        <item x="614"/>
        <item x="404"/>
        <item x="332"/>
        <item x="417"/>
        <item x="411"/>
        <item x="400"/>
        <item x="102"/>
        <item x="93"/>
        <item x="634"/>
        <item x="336"/>
        <item x="806"/>
        <item x="573"/>
        <item x="395"/>
        <item x="784"/>
        <item x="785"/>
        <item x="788"/>
        <item x="951"/>
        <item x="140"/>
        <item x="809"/>
        <item x="125"/>
        <item x="676"/>
        <item x="82"/>
        <item x="641"/>
        <item x="781"/>
        <item x="126"/>
        <item x="996"/>
        <item x="91"/>
        <item x="107"/>
        <item x="823"/>
        <item x="211"/>
        <item x="129"/>
        <item x="286"/>
        <item x="465"/>
        <item x="929"/>
        <item x="452"/>
        <item x="537"/>
        <item x="919"/>
        <item x="406"/>
        <item x="767"/>
        <item x="259"/>
        <item x="850"/>
        <item x="923"/>
        <item x="1011"/>
        <item x="1002"/>
        <item x="864"/>
        <item x="862"/>
        <item x="848"/>
        <item x="427"/>
        <item x="466"/>
        <item x="209"/>
        <item x="513"/>
        <item x="423"/>
        <item x="463"/>
        <item x="425"/>
        <item x="426"/>
        <item x="260"/>
        <item x="779"/>
        <item x="861"/>
        <item x="774"/>
        <item x="223"/>
        <item x="85"/>
        <item x="284"/>
        <item x="349"/>
        <item x="415"/>
        <item x="564"/>
        <item x="908"/>
        <item x="398"/>
        <item x="851"/>
        <item x="808"/>
        <item x="212"/>
        <item x="279"/>
        <item x="778"/>
        <item x="630"/>
        <item x="356"/>
        <item x="467"/>
        <item x="826"/>
        <item x="836"/>
        <item x="847"/>
        <item x="910"/>
        <item x="759"/>
        <item x="1001"/>
        <item x="756"/>
        <item x="754"/>
        <item x="755"/>
        <item x="776"/>
        <item x="192"/>
        <item x="409"/>
        <item x="410"/>
        <item x="42"/>
        <item x="948"/>
        <item x="563"/>
        <item x="87"/>
        <item x="927"/>
        <item x="215"/>
        <item x="768"/>
        <item x="213"/>
        <item x="472"/>
        <item x="626"/>
        <item x="821"/>
        <item x="386"/>
        <item x="572"/>
        <item x="629"/>
        <item x="845"/>
        <item x="993"/>
        <item x="994"/>
        <item x="295"/>
        <item x="413"/>
        <item x="97"/>
        <item x="920"/>
        <item x="383"/>
        <item x="946"/>
        <item x="394"/>
        <item x="387"/>
        <item x="807"/>
        <item x="96"/>
        <item x="388"/>
        <item x="906"/>
        <item x="1014"/>
        <item x="407"/>
        <item x="900"/>
        <item x="635"/>
        <item x="139"/>
        <item x="133"/>
        <item x="856"/>
        <item x="418"/>
        <item x="347"/>
        <item x="825"/>
        <item x="844"/>
        <item x="928"/>
        <item x="41"/>
        <item x="562"/>
        <item x="773"/>
        <item x="509"/>
        <item x="624"/>
        <item x="752"/>
        <item x="397"/>
        <item x="334"/>
        <item x="1010"/>
        <item x="639"/>
        <item x="787"/>
        <item x="901"/>
        <item x="1006"/>
        <item x="816"/>
        <item x="992"/>
        <item x="146"/>
        <item x="628"/>
        <item x="1000"/>
        <item x="458"/>
        <item x="70"/>
        <item x="179"/>
        <item x="178"/>
        <item x="119"/>
        <item x="918"/>
        <item x="283"/>
        <item x="149"/>
        <item x="813"/>
        <item x="262"/>
        <item x="556"/>
        <item x="123"/>
        <item x="405"/>
        <item x="384"/>
        <item x="105"/>
        <item x="74"/>
        <item x="310"/>
        <item x="127"/>
        <item x="261"/>
        <item x="331"/>
        <item x="30"/>
        <item x="95"/>
        <item x="167"/>
        <item x="69"/>
        <item x="840"/>
        <item x="350"/>
        <item x="470"/>
        <item x="71"/>
        <item x="766"/>
        <item x="621"/>
        <item x="124"/>
        <item x="474"/>
        <item x="950"/>
        <item x="210"/>
        <item x="904"/>
        <item x="830"/>
        <item x="997"/>
        <item x="617"/>
        <item x="570"/>
        <item x="798"/>
        <item x="106"/>
        <item x="285"/>
        <item x="337"/>
        <item x="998"/>
        <item x="822"/>
        <item x="141"/>
        <item x="471"/>
        <item x="945"/>
        <item x="121"/>
        <item x="828"/>
        <item x="72"/>
        <item x="441"/>
        <item x="991"/>
        <item x="330"/>
        <item x="757"/>
        <item x="130"/>
        <item x="867"/>
        <item x="280"/>
        <item x="1005"/>
        <item x="820"/>
        <item x="758"/>
        <item x="128"/>
        <item x="419"/>
        <item x="134"/>
        <item x="65"/>
        <item x="777"/>
        <item x="827"/>
        <item x="118"/>
        <item x="180"/>
        <item x="136"/>
        <item x="131"/>
        <item x="132"/>
        <item x="115"/>
        <item x="75"/>
        <item x="135"/>
        <item x="616"/>
        <item x="615"/>
        <item x="138"/>
        <item x="137"/>
        <item x="636"/>
        <item x="17"/>
        <item x="705"/>
        <item x="706"/>
        <item x="707"/>
        <item x="708"/>
        <item x="709"/>
        <item x="710"/>
        <item x="711"/>
        <item x="713"/>
        <item x="730"/>
        <item x="678"/>
        <item x="712"/>
        <item x="714"/>
        <item x="715"/>
        <item x="716"/>
        <item x="717"/>
        <item x="718"/>
        <item x="719"/>
        <item x="720"/>
        <item x="721"/>
        <item x="722"/>
        <item x="448"/>
        <item x="1031"/>
        <item x="1032"/>
        <item x="414"/>
        <item x="1033"/>
        <item x="1034"/>
        <item x="577"/>
        <item x="53"/>
        <item x="454"/>
        <item x="290"/>
        <item x="287"/>
        <item x="432"/>
        <item x="265"/>
        <item x="638"/>
        <item x="913"/>
        <item x="455"/>
        <item x="152"/>
        <item x="818"/>
        <item x="915"/>
        <item x="154"/>
        <item x="447"/>
        <item x="266"/>
        <item x="155"/>
        <item x="917"/>
        <item x="859"/>
        <item x="1047"/>
        <item x="569"/>
        <item x="1"/>
        <item x="0"/>
        <item x="522"/>
        <item x="523"/>
        <item x="524"/>
        <item x="521"/>
        <item x="549"/>
        <item x="543"/>
        <item x="542"/>
        <item x="541"/>
        <item x="574"/>
        <item x="952"/>
        <item x="829"/>
        <item x="1035"/>
        <item x="536"/>
        <item x="1036"/>
        <item x="833"/>
        <item x="104"/>
        <item x="1050"/>
        <item x="1048"/>
        <item x="148"/>
        <item x="111"/>
        <item x="456"/>
        <item h="1" x="451"/>
        <item x="444"/>
        <item x="726"/>
        <item x="832"/>
        <item x="1049"/>
        <item x="293"/>
        <item x="947"/>
        <item x="435"/>
        <item x="1037"/>
        <item x="438"/>
        <item x="525"/>
        <item x="526"/>
        <item x="528"/>
        <item x="817"/>
        <item x="855"/>
        <item x="725"/>
        <item x="527"/>
        <item x="44"/>
        <item x="58"/>
        <item x="219"/>
        <item x="831"/>
        <item x="462"/>
        <item x="220"/>
        <item x="169"/>
        <item x="854"/>
        <item x="473"/>
        <item x="529"/>
        <item x="61"/>
        <item x="530"/>
        <item x="531"/>
        <item x="532"/>
        <item x="518"/>
        <item x="533"/>
        <item x="534"/>
        <item x="459"/>
        <item x="267"/>
        <item x="89"/>
        <item x="460"/>
        <item x="416"/>
        <item x="428"/>
        <item x="1038"/>
        <item x="640"/>
        <item x="193"/>
        <item x="575"/>
        <item x="580"/>
        <item x="576"/>
        <item x="9"/>
        <item x="8"/>
        <item x="551"/>
        <item x="853"/>
        <item x="835"/>
        <item x="147"/>
        <item x="39"/>
        <item x="46"/>
        <item x="478"/>
        <item x="479"/>
        <item x="480"/>
        <item x="481"/>
        <item x="484"/>
        <item x="485"/>
        <item x="482"/>
        <item x="483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677"/>
        <item x="695"/>
        <item x="728"/>
        <item x="696"/>
        <item x="697"/>
        <item x="698"/>
        <item x="699"/>
        <item x="729"/>
        <item x="700"/>
        <item x="701"/>
        <item x="702"/>
        <item x="703"/>
        <item x="704"/>
        <item x="67"/>
        <item x="122"/>
        <item x="40"/>
        <item x="446"/>
        <item x="1053"/>
        <item x="1008"/>
        <item x="29"/>
        <item x="11"/>
        <item x="208"/>
        <item x="1012"/>
        <item x="960"/>
        <item x="962"/>
        <item x="959"/>
        <item x="958"/>
        <item x="963"/>
        <item x="966"/>
        <item x="964"/>
        <item x="32"/>
        <item x="633"/>
        <item x="581"/>
        <item x="760"/>
        <item x="357"/>
        <item x="185"/>
        <item x="207"/>
        <item x="780"/>
        <item x="385"/>
        <item x="31"/>
        <item x="443"/>
        <item x="637"/>
        <item x="983"/>
        <item x="984"/>
        <item x="978"/>
        <item x="969"/>
        <item x="961"/>
        <item x="982"/>
        <item x="977"/>
        <item x="971"/>
        <item x="957"/>
        <item x="979"/>
        <item x="973"/>
        <item x="965"/>
        <item x="967"/>
        <item x="5"/>
        <item x="6"/>
        <item x="109"/>
        <item x="110"/>
        <item x="78"/>
        <item x="13"/>
        <item x="99"/>
        <item x="47"/>
        <item x="98"/>
        <item x="36"/>
        <item x="103"/>
        <item x="66"/>
        <item x="402"/>
        <item x="550"/>
        <item x="554"/>
        <item x="557"/>
        <item x="558"/>
        <item x="972"/>
        <item x="974"/>
        <item x="975"/>
        <item x="970"/>
        <item x="976"/>
        <item x="980"/>
        <item x="968"/>
        <item x="33"/>
        <item x="151"/>
        <item x="157"/>
        <item x="264"/>
        <item x="1003"/>
        <item x="359"/>
        <item x="258"/>
        <item x="257"/>
        <item x="291"/>
        <item x="289"/>
        <item x="520"/>
        <item x="20"/>
        <item x="535"/>
        <item x="371"/>
        <item x="369"/>
        <item x="370"/>
        <item x="367"/>
        <item x="372"/>
        <item x="379"/>
        <item x="381"/>
        <item x="368"/>
        <item x="375"/>
        <item x="373"/>
        <item x="376"/>
        <item x="364"/>
        <item x="380"/>
        <item x="377"/>
        <item x="374"/>
        <item x="378"/>
        <item x="366"/>
        <item x="363"/>
        <item x="365"/>
        <item x="691"/>
        <item x="727"/>
        <item x="724"/>
        <item x="761"/>
        <item x="762"/>
        <item x="763"/>
        <item x="692"/>
        <item x="783"/>
        <item x="812"/>
        <item x="791"/>
        <item x="800"/>
        <item x="187"/>
        <item x="188"/>
        <item x="189"/>
        <item x="186"/>
        <item x="805"/>
        <item x="579"/>
        <item x="560"/>
        <item x="278"/>
        <item x="100"/>
        <item x="949"/>
        <item x="393"/>
        <item x="401"/>
        <item x="345"/>
        <item x="931"/>
        <item x="281"/>
        <item x="899"/>
        <item x="860"/>
        <item x="464"/>
        <item x="424"/>
        <item x="461"/>
        <item x="174"/>
        <item x="846"/>
        <item x="627"/>
        <item x="84"/>
        <item x="276"/>
        <item x="775"/>
        <item x="753"/>
        <item x="79"/>
        <item x="181"/>
        <item x="849"/>
        <item x="408"/>
        <item x="352"/>
        <item x="171"/>
        <item x="561"/>
        <item x="921"/>
        <item x="941"/>
        <item x="94"/>
        <item x="925"/>
        <item x="674"/>
        <item x="843"/>
        <item x="926"/>
        <item x="772"/>
        <item x="995"/>
        <item x="64"/>
        <item x="675"/>
        <item x="1004"/>
        <item x="555"/>
        <item x="907"/>
        <item x="114"/>
        <item x="999"/>
        <item x="353"/>
        <item x="1009"/>
        <item x="625"/>
        <item x="112"/>
        <item x="113"/>
        <item x="117"/>
        <item x="403"/>
        <item x="631"/>
        <item x="144"/>
        <item x="143"/>
        <item x="3"/>
        <item x="292"/>
        <item x="445"/>
        <item x="985"/>
        <item x="986"/>
        <item x="987"/>
        <item x="981"/>
        <item x="34"/>
        <item x="142"/>
        <item x="62"/>
        <item x="956"/>
        <item x="955"/>
        <item x="954"/>
        <item x="770"/>
        <item x="771"/>
        <item x="553"/>
        <item x="1015"/>
        <item x="552"/>
        <item x="346"/>
        <item x="623"/>
        <item x="184"/>
        <item x="101"/>
        <item x="940"/>
        <item x="934"/>
        <item x="158"/>
        <item x="159"/>
        <item x="842"/>
        <item x="170"/>
        <item x="177"/>
        <item x="77"/>
        <item x="933"/>
        <item x="932"/>
        <item x="190"/>
        <item x="866"/>
        <item x="396"/>
        <item x="182"/>
        <item x="622"/>
        <item x="865"/>
        <item x="83"/>
        <item x="86"/>
        <item x="944"/>
        <item x="28"/>
        <item x="619"/>
        <item x="80"/>
        <item x="942"/>
        <item x="989"/>
        <item x="161"/>
        <item x="175"/>
        <item x="354"/>
        <item x="173"/>
        <item x="902"/>
        <item x="939"/>
        <item x="935"/>
        <item x="790"/>
        <item x="183"/>
        <item x="457"/>
        <item x="911"/>
        <item x="938"/>
        <item x="172"/>
        <item x="937"/>
        <item x="176"/>
        <item x="943"/>
        <item x="953"/>
        <item x="399"/>
        <item x="863"/>
        <item x="116"/>
        <item x="160"/>
        <item x="18"/>
        <item x="351"/>
        <item x="145"/>
        <item x="905"/>
        <item x="797"/>
        <item x="804"/>
        <item x="803"/>
        <item x="793"/>
        <item x="801"/>
        <item x="802"/>
        <item x="794"/>
        <item x="795"/>
        <item x="792"/>
        <item x="796"/>
        <item x="578"/>
        <item x="90"/>
        <item x="81"/>
        <item x="92"/>
        <item x="22"/>
        <item x="437"/>
        <item x="216"/>
        <item x="434"/>
        <item x="420"/>
        <item x="433"/>
        <item x="819"/>
        <item x="442"/>
        <item h="1" x="51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multipleItemSelectionAllowed="1" showAll="0" defaultSubtotal="0"/>
    <pivotField compact="0" outline="0" multipleItemSelectionAllowed="1" showAll="0" defaultSubtotal="0"/>
    <pivotField compact="0" outline="0" multipleItemSelectionAllowed="1" showAll="0" defaultSubtotal="0">
      <items count="2">
        <item x="1"/>
        <item x="0"/>
      </items>
    </pivotField>
    <pivotField compact="0" outline="0" showAll="0" defaultSubtotal="0"/>
    <pivotField compact="0" outline="0" multipleItemSelectionAllowed="1" showAll="0" defaultSubtotal="0"/>
    <pivotField compact="0" outline="0" multipleItemSelectionAllowed="1" showAll="0" defaultSubtotal="0"/>
    <pivotField compact="0" outline="0" showAll="0" defaultSubtotal="0"/>
    <pivotField compact="0" outline="0" multipleItemSelectionAllowed="1" showAll="0" defaultSubtotal="0"/>
    <pivotField axis="axisPage" compact="0" outline="0" multipleItemSelectionAllowed="1" showAll="0" defaultSubtotal="0">
      <items count="5">
        <item h="1" x="0"/>
        <item h="1" m="1" x="3"/>
        <item x="1"/>
        <item m="1" x="2"/>
        <item m="1" x="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PEF 20102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3" outline="0" showAll="0" defaultSubtotal="0"/>
  </pivotFields>
  <rowFields count="4">
    <field x="1"/>
    <field x="3"/>
    <field x="5"/>
    <field x="6"/>
  </rowFields>
  <rowItems count="71">
    <i>
      <x v="3"/>
      <x v="13"/>
      <x/>
      <x v="163"/>
    </i>
    <i>
      <x v="4"/>
      <x v="15"/>
      <x v="4"/>
      <x v="957"/>
    </i>
    <i>
      <x v="5"/>
      <x v="17"/>
      <x v="154"/>
      <x v="860"/>
    </i>
    <i>
      <x v="7"/>
      <x v="4"/>
      <x v="4"/>
      <x v="54"/>
    </i>
    <i r="1">
      <x v="17"/>
      <x v="187"/>
      <x v="856"/>
    </i>
    <i r="2">
      <x v="189"/>
      <x v="863"/>
    </i>
    <i r="1">
      <x v="19"/>
      <x v="6"/>
      <x v="53"/>
    </i>
    <i r="2">
      <x v="15"/>
      <x v="1104"/>
    </i>
    <i r="2">
      <x v="16"/>
      <x v="1081"/>
    </i>
    <i>
      <x v="8"/>
      <x v="10"/>
      <x v="3"/>
      <x v="987"/>
    </i>
    <i r="2">
      <x v="9"/>
      <x v="995"/>
    </i>
    <i r="2">
      <x v="39"/>
      <x v="988"/>
    </i>
    <i r="2">
      <x v="40"/>
      <x v="1077"/>
    </i>
    <i>
      <x v="9"/>
      <x v="15"/>
      <x v="6"/>
      <x v="582"/>
    </i>
    <i>
      <x v="10"/>
      <x v="4"/>
      <x v="44"/>
      <x v="1108"/>
    </i>
    <i r="1">
      <x v="17"/>
      <x v="135"/>
      <x v="889"/>
    </i>
    <i r="1">
      <x v="19"/>
      <x v="37"/>
      <x v="1080"/>
    </i>
    <i>
      <x v="15"/>
      <x v="4"/>
      <x/>
      <x v="661"/>
    </i>
    <i r="2">
      <x v="1"/>
      <x v="662"/>
    </i>
    <i r="2">
      <x v="4"/>
      <x v="763"/>
    </i>
    <i r="2">
      <x v="5"/>
      <x v="638"/>
    </i>
    <i r="2">
      <x v="6"/>
      <x v="1057"/>
    </i>
    <i r="2">
      <x v="12"/>
      <x v="767"/>
    </i>
    <i r="1">
      <x v="6"/>
      <x/>
      <x v="20"/>
    </i>
    <i r="2">
      <x v="2"/>
      <x v="1024"/>
    </i>
    <i r="2">
      <x v="12"/>
      <x v="146"/>
    </i>
    <i r="2">
      <x v="16"/>
      <x v="765"/>
    </i>
    <i r="1">
      <x v="10"/>
      <x v="6"/>
      <x v="981"/>
    </i>
    <i r="2">
      <x v="130"/>
      <x v="1114"/>
    </i>
    <i r="2">
      <x v="131"/>
      <x v="847"/>
    </i>
    <i r="1">
      <x v="13"/>
      <x/>
      <x v="885"/>
    </i>
    <i r="1">
      <x v="15"/>
      <x v="1"/>
      <x v="710"/>
    </i>
    <i r="2">
      <x v="4"/>
      <x v="872"/>
    </i>
    <i r="1">
      <x v="17"/>
      <x v="43"/>
      <x v="769"/>
    </i>
    <i r="2">
      <x v="45"/>
      <x v="823"/>
    </i>
    <i r="2">
      <x v="46"/>
      <x v="797"/>
    </i>
    <i r="2">
      <x v="104"/>
      <x v="766"/>
    </i>
    <i r="2">
      <x v="116"/>
      <x v="764"/>
    </i>
    <i r="2">
      <x v="173"/>
      <x v="864"/>
    </i>
    <i r="1">
      <x v="19"/>
      <x v="2"/>
      <x v="768"/>
    </i>
    <i r="2">
      <x v="4"/>
      <x v="770"/>
    </i>
    <i r="2">
      <x v="21"/>
      <x v="852"/>
    </i>
    <i>
      <x v="17"/>
      <x v="4"/>
      <x v="3"/>
      <x v="627"/>
    </i>
    <i r="2">
      <x v="4"/>
      <x v="629"/>
    </i>
    <i r="2">
      <x v="8"/>
      <x v="586"/>
    </i>
    <i r="1">
      <x v="5"/>
      <x v="11"/>
      <x v="953"/>
    </i>
    <i r="1">
      <x v="6"/>
      <x v="6"/>
      <x v="1095"/>
    </i>
    <i r="1">
      <x v="15"/>
      <x/>
      <x v="133"/>
    </i>
    <i r="2">
      <x v="7"/>
      <x v="1046"/>
    </i>
    <i>
      <x v="19"/>
      <x v="15"/>
      <x v="2"/>
      <x v="9"/>
    </i>
    <i r="1">
      <x v="17"/>
      <x v="192"/>
      <x v="894"/>
    </i>
    <i>
      <x v="20"/>
      <x v="5"/>
      <x v="1"/>
      <x v="205"/>
    </i>
    <i r="1">
      <x v="8"/>
      <x v="2"/>
      <x v="226"/>
    </i>
    <i r="1">
      <x v="10"/>
      <x v="20"/>
      <x v="979"/>
    </i>
    <i r="2">
      <x v="25"/>
      <x v="679"/>
    </i>
    <i r="2">
      <x v="26"/>
      <x v="641"/>
    </i>
    <i>
      <x v="22"/>
      <x v="13"/>
      <x/>
      <x v="504"/>
    </i>
    <i r="2">
      <x v="1"/>
      <x v="510"/>
    </i>
    <i>
      <x v="35"/>
      <x v="17"/>
      <x v="153"/>
      <x v="536"/>
    </i>
    <i>
      <x v="40"/>
      <x v="4"/>
      <x v="300"/>
      <x v="55"/>
    </i>
    <i r="1">
      <x v="5"/>
      <x v="299"/>
      <x v="946"/>
    </i>
    <i r="1">
      <x v="10"/>
      <x v="43"/>
      <x v="985"/>
    </i>
    <i>
      <x v="41"/>
      <x v="4"/>
      <x v="11"/>
      <x v="8"/>
    </i>
    <i r="1">
      <x v="10"/>
      <x v="1"/>
      <x v="986"/>
    </i>
    <i r="2">
      <x v="13"/>
      <x v="681"/>
    </i>
    <i r="2">
      <x v="25"/>
      <x v="679"/>
    </i>
    <i r="2">
      <x v="26"/>
      <x v="641"/>
    </i>
    <i r="2">
      <x v="27"/>
      <x v="245"/>
    </i>
    <i r="2">
      <x v="28"/>
      <x v="898"/>
    </i>
    <i r="2">
      <x v="42"/>
      <x v="67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8" hier="-1"/>
  </pageFields>
  <dataFields count="4">
    <dataField name="PPEF 2011 " fld="34" baseField="0" baseItem="0"/>
    <dataField name="Reducción " fld="35" baseField="0" baseItem="0"/>
    <dataField name="Ampliación " fld="36" baseField="0" baseItem="0"/>
    <dataField name="PEF 2011 " fld="37" baseField="0" baseItem="0"/>
  </dataFields>
  <formats count="35">
    <format dxfId="218">
      <pivotArea outline="0" collapsedLevelsAreSubtotals="1" fieldPosition="0"/>
    </format>
    <format dxfId="217">
      <pivotArea field="-2" type="button" dataOnly="0" labelOnly="1" outline="0" axis="axisCol" fieldPosition="0"/>
    </format>
    <format dxfId="216">
      <pivotArea type="topRight" dataOnly="0" labelOnly="1" outline="0" fieldPosition="0"/>
    </format>
    <format dxfId="215">
      <pivotArea field="0" type="button" dataOnly="0" labelOnly="1" outline="0"/>
    </format>
    <format dxfId="214">
      <pivotArea field="1" type="button" dataOnly="0" labelOnly="1" outline="0" axis="axisRow" fieldPosition="0"/>
    </format>
    <format dxfId="213">
      <pivotArea field="2" type="button" dataOnly="0" labelOnly="1" outline="0"/>
    </format>
    <format dxfId="2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1">
      <pivotArea field="0" type="button" dataOnly="0" labelOnly="1" outline="0"/>
    </format>
    <format dxfId="210">
      <pivotArea field="1" type="button" dataOnly="0" labelOnly="1" outline="0" axis="axisRow" fieldPosition="0"/>
    </format>
    <format dxfId="209">
      <pivotArea field="2" type="button" dataOnly="0" labelOnly="1" outline="0"/>
    </format>
    <format dxfId="20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7">
      <pivotArea field="22" type="button" dataOnly="0" labelOnly="1" outline="0"/>
    </format>
    <format dxfId="206">
      <pivotArea type="origin" dataOnly="0" labelOnly="1" outline="0" fieldPosition="0"/>
    </format>
    <format dxfId="205">
      <pivotArea dataOnly="0" labelOnly="1" outline="0" fieldPosition="0">
        <references count="1">
          <reference field="1" count="13">
            <x v="3"/>
            <x v="4"/>
            <x v="7"/>
            <x v="8"/>
            <x v="9"/>
            <x v="10"/>
            <x v="11"/>
            <x v="12"/>
            <x v="15"/>
            <x v="16"/>
            <x v="17"/>
            <x v="20"/>
            <x v="35"/>
          </reference>
        </references>
      </pivotArea>
    </format>
    <format dxfId="204">
      <pivotArea dataOnly="0" labelOnly="1" grandRow="1" outline="0" fieldPosition="0"/>
    </format>
    <format dxfId="203">
      <pivotArea field="22" type="button" dataOnly="0" labelOnly="1" outline="0"/>
    </format>
    <format dxfId="202">
      <pivotArea type="origin" dataOnly="0" labelOnly="1" outline="0" fieldPosition="0"/>
    </format>
    <format dxfId="201">
      <pivotArea dataOnly="0" labelOnly="1" outline="0" fieldPosition="0">
        <references count="1">
          <reference field="1" count="13">
            <x v="3"/>
            <x v="4"/>
            <x v="7"/>
            <x v="8"/>
            <x v="9"/>
            <x v="10"/>
            <x v="11"/>
            <x v="12"/>
            <x v="15"/>
            <x v="16"/>
            <x v="17"/>
            <x v="20"/>
            <x v="35"/>
          </reference>
        </references>
      </pivotArea>
    </format>
    <format dxfId="200">
      <pivotArea dataOnly="0" labelOnly="1" grandRow="1" outline="0" fieldPosition="0"/>
    </format>
    <format dxfId="199">
      <pivotArea field="1" type="button" dataOnly="0" labelOnly="1" outline="0" axis="axisRow" fieldPosition="0"/>
    </format>
    <format dxfId="198">
      <pivotArea field="2" type="button" dataOnly="0" labelOnly="1" outline="0"/>
    </format>
    <format dxfId="197">
      <pivotArea field="8" type="button" dataOnly="0" labelOnly="1" outline="0"/>
    </format>
    <format dxfId="19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5">
      <pivotArea field="1" type="button" dataOnly="0" labelOnly="1" outline="0" axis="axisRow" fieldPosition="0"/>
    </format>
    <format dxfId="194">
      <pivotArea field="2" type="button" dataOnly="0" labelOnly="1" outline="0"/>
    </format>
    <format dxfId="193">
      <pivotArea field="8" type="button" dataOnly="0" labelOnly="1" outline="0"/>
    </format>
    <format dxfId="19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1">
      <pivotArea field="2" type="button" dataOnly="0" labelOnly="1" outline="0"/>
    </format>
    <format dxfId="190">
      <pivotArea field="3" type="button" dataOnly="0" labelOnly="1" outline="0" axis="axisRow" fieldPosition="1"/>
    </format>
    <format dxfId="189">
      <pivotArea field="5" type="button" dataOnly="0" labelOnly="1" outline="0" axis="axisRow" fieldPosition="2"/>
    </format>
    <format dxfId="188">
      <pivotArea field="6" type="button" dataOnly="0" labelOnly="1" outline="0" axis="axisRow" fieldPosition="3"/>
    </format>
    <format dxfId="18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86">
      <pivotArea type="topRight" dataOnly="0" labelOnly="1" outline="0" offset="A1" fieldPosition="0"/>
    </format>
    <format dxfId="1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4">
      <pivotArea type="all" dataOnly="0" outline="0" fieldPosition="0"/>
    </format>
  </formats>
  <pivotTableStyleInfo name="PivotStyleMedium4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multipleFieldFilters="0">
  <location ref="A7:G10" firstHeaderRow="1" firstDataRow="2" firstDataCol="3" rowPageCount="2" colPageCount="1"/>
  <pivotFields count="38">
    <pivotField compact="0" outline="0" multipleItemSelectionAllowed="1" showAll="0" defaultSubtotal="0"/>
    <pivotField axis="axisPage" compact="0" outline="0" multipleItemSelectionAllowed="1" showAll="0" defaultSubtotal="0">
      <items count="42">
        <item h="1" x="0"/>
        <item h="1" x="5"/>
        <item h="1" x="1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2"/>
        <item h="1" x="3"/>
        <item h="1" x="4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</items>
    </pivotField>
    <pivotField compact="0" outline="0" showAll="0" defaultSubtotal="0"/>
    <pivotField axis="axisRow" compact="0" outline="0" showAll="0" defaultSubtotal="0">
      <items count="22">
        <item x="12"/>
        <item x="8"/>
        <item x="4"/>
        <item x="9"/>
        <item x="10"/>
        <item x="0"/>
        <item x="13"/>
        <item x="2"/>
        <item x="6"/>
        <item x="3"/>
        <item x="5"/>
        <item x="1"/>
        <item x="11"/>
        <item x="7"/>
        <item x="14"/>
        <item x="15"/>
        <item x="16"/>
        <item x="17"/>
        <item x="18"/>
        <item x="19"/>
        <item x="20"/>
        <item x="21"/>
      </items>
    </pivotField>
    <pivotField compact="0" outline="0" showAll="0" defaultSubtotal="0"/>
    <pivotField axis="axisRow" compact="0" outline="0" showAll="0" defaultSubtotal="0">
      <items count="370"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2"/>
        <item x="23"/>
        <item x="24"/>
        <item x="20"/>
        <item x="21"/>
        <item x="47"/>
        <item x="0"/>
        <item x="25"/>
        <item x="1"/>
        <item x="31"/>
        <item x="26"/>
        <item x="27"/>
        <item x="28"/>
        <item x="29"/>
        <item x="30"/>
        <item x="53"/>
        <item x="54"/>
        <item x="55"/>
        <item x="56"/>
        <item x="57"/>
        <item x="58"/>
        <item x="59"/>
        <item x="60"/>
        <item x="66"/>
        <item x="67"/>
        <item x="76"/>
        <item x="61"/>
        <item x="68"/>
        <item x="69"/>
        <item x="70"/>
        <item x="71"/>
        <item x="72"/>
        <item x="73"/>
        <item x="103"/>
        <item x="74"/>
        <item x="104"/>
        <item x="75"/>
        <item x="105"/>
        <item x="106"/>
        <item x="107"/>
        <item x="108"/>
        <item x="77"/>
        <item x="78"/>
        <item x="79"/>
        <item x="109"/>
        <item x="62"/>
        <item x="80"/>
        <item x="127"/>
        <item x="128"/>
        <item x="129"/>
        <item x="81"/>
        <item x="116"/>
        <item x="117"/>
        <item x="32"/>
        <item x="82"/>
        <item x="130"/>
        <item x="83"/>
        <item x="84"/>
        <item x="131"/>
        <item x="85"/>
        <item x="86"/>
        <item x="87"/>
        <item x="119"/>
        <item x="120"/>
        <item x="121"/>
        <item x="122"/>
        <item x="123"/>
        <item x="124"/>
        <item x="125"/>
        <item x="126"/>
        <item x="110"/>
        <item x="111"/>
        <item x="63"/>
        <item x="88"/>
        <item x="89"/>
        <item x="33"/>
        <item x="112"/>
        <item x="34"/>
        <item x="35"/>
        <item x="36"/>
        <item x="37"/>
        <item x="38"/>
        <item x="39"/>
        <item x="40"/>
        <item x="41"/>
        <item x="42"/>
        <item x="43"/>
        <item x="113"/>
        <item x="114"/>
        <item x="115"/>
        <item x="118"/>
        <item x="90"/>
        <item x="91"/>
        <item x="92"/>
        <item x="93"/>
        <item x="94"/>
        <item x="95"/>
        <item x="44"/>
        <item x="64"/>
        <item x="132"/>
        <item x="133"/>
        <item x="65"/>
        <item x="96"/>
        <item x="97"/>
        <item x="98"/>
        <item x="99"/>
        <item x="45"/>
        <item x="48"/>
        <item x="49"/>
        <item x="50"/>
        <item x="51"/>
        <item x="52"/>
        <item x="100"/>
        <item x="101"/>
        <item x="46"/>
        <item x="102"/>
        <item x="134"/>
        <item x="136"/>
        <item x="137"/>
        <item x="138"/>
        <item x="139"/>
        <item x="140"/>
        <item x="141"/>
        <item x="142"/>
        <item x="135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</items>
    </pivotField>
    <pivotField axis="axisRow" compact="0" outline="0" showAll="0" defaultSubtotal="0">
      <items count="1170">
        <item x="374"/>
        <item x="131"/>
        <item x="158"/>
        <item x="107"/>
        <item x="42"/>
        <item x="34"/>
        <item x="2"/>
        <item x="64"/>
        <item x="482"/>
        <item x="11"/>
        <item x="94"/>
        <item x="260"/>
        <item x="514"/>
        <item x="108"/>
        <item x="467"/>
        <item x="468"/>
        <item x="97"/>
        <item x="12"/>
        <item x="466"/>
        <item x="407"/>
        <item x="245"/>
        <item x="33"/>
        <item x="401"/>
        <item x="267"/>
        <item x="6"/>
        <item x="35"/>
        <item x="418"/>
        <item x="49"/>
        <item x="265"/>
        <item x="48"/>
        <item x="431"/>
        <item x="330"/>
        <item x="151"/>
        <item x="198"/>
        <item x="176"/>
        <item x="5"/>
        <item x="426"/>
        <item x="429"/>
        <item x="430"/>
        <item x="311"/>
        <item x="364"/>
        <item x="411"/>
        <item x="155"/>
        <item x="45"/>
        <item x="46"/>
        <item x="478"/>
        <item x="125"/>
        <item x="479"/>
        <item x="446"/>
        <item x="367"/>
        <item x="78"/>
        <item x="252"/>
        <item x="53"/>
        <item x="152"/>
        <item x="301"/>
        <item x="489"/>
        <item x="449"/>
        <item x="250"/>
        <item x="397"/>
        <item x="410"/>
        <item x="47"/>
        <item x="24"/>
        <item x="20"/>
        <item x="445"/>
        <item x="201"/>
        <item x="493"/>
        <item x="476"/>
        <item x="436"/>
        <item x="169"/>
        <item x="9"/>
        <item x="458"/>
        <item x="39"/>
        <item x="40"/>
        <item x="41"/>
        <item x="222"/>
        <item x="361"/>
        <item x="280"/>
        <item x="132"/>
        <item x="92"/>
        <item x="111"/>
        <item x="480"/>
        <item x="66"/>
        <item x="63"/>
        <item x="537"/>
        <item x="126"/>
        <item x="233"/>
        <item x="238"/>
        <item x="209"/>
        <item x="237"/>
        <item x="168"/>
        <item x="510"/>
        <item x="216"/>
        <item x="527"/>
        <item x="519"/>
        <item x="109"/>
        <item x="465"/>
        <item x="299"/>
        <item x="99"/>
        <item x="452"/>
        <item x="481"/>
        <item x="84"/>
        <item x="86"/>
        <item x="62"/>
        <item x="31"/>
        <item x="518"/>
        <item x="383"/>
        <item x="362"/>
        <item x="273"/>
        <item x="331"/>
        <item x="189"/>
        <item x="157"/>
        <item x="81"/>
        <item x="68"/>
        <item x="244"/>
        <item x="522"/>
        <item x="384"/>
        <item x="224"/>
        <item x="166"/>
        <item x="37"/>
        <item x="264"/>
        <item x="470"/>
        <item x="173"/>
        <item x="179"/>
        <item x="263"/>
        <item x="270"/>
        <item x="172"/>
        <item x="175"/>
        <item x="71"/>
        <item x="272"/>
        <item x="469"/>
        <item x="327"/>
        <item x="115"/>
        <item x="196"/>
        <item x="499"/>
        <item x="437"/>
        <item x="122"/>
        <item x="124"/>
        <item x="123"/>
        <item x="325"/>
        <item x="306"/>
        <item x="85"/>
        <item x="328"/>
        <item x="314"/>
        <item x="167"/>
        <item x="65"/>
        <item x="239"/>
        <item x="403"/>
        <item x="475"/>
        <item x="73"/>
        <item x="30"/>
        <item x="315"/>
        <item x="72"/>
        <item x="463"/>
        <item x="288"/>
        <item x="3"/>
        <item x="427"/>
        <item x="398"/>
        <item x="29"/>
        <item x="14"/>
        <item x="513"/>
        <item x="365"/>
        <item x="120"/>
        <item x="484"/>
        <item x="205"/>
        <item x="234"/>
        <item x="240"/>
        <item x="235"/>
        <item x="289"/>
        <item x="154"/>
        <item x="405"/>
        <item x="80"/>
        <item x="13"/>
        <item x="494"/>
        <item x="149"/>
        <item x="495"/>
        <item x="477"/>
        <item x="199"/>
        <item x="406"/>
        <item x="419"/>
        <item x="424"/>
        <item x="320"/>
        <item x="277"/>
        <item x="492"/>
        <item x="502"/>
        <item x="396"/>
        <item x="74"/>
        <item x="275"/>
        <item x="276"/>
        <item x="434"/>
        <item x="329"/>
        <item x="428"/>
        <item x="433"/>
        <item x="432"/>
        <item x="423"/>
        <item x="274"/>
        <item x="285"/>
        <item x="317"/>
        <item x="319"/>
        <item x="435"/>
        <item x="206"/>
        <item x="290"/>
        <item x="10"/>
        <item x="91"/>
        <item x="409"/>
        <item x="326"/>
        <item x="135"/>
        <item x="417"/>
        <item x="148"/>
        <item x="112"/>
        <item x="408"/>
        <item x="413"/>
        <item x="412"/>
        <item x="318"/>
        <item x="113"/>
        <item x="83"/>
        <item x="462"/>
        <item x="261"/>
        <item x="266"/>
        <item x="177"/>
        <item x="302"/>
        <item x="324"/>
        <item x="23"/>
        <item x="22"/>
        <item x="391"/>
        <item x="473"/>
        <item x="55"/>
        <item x="161"/>
        <item x="28"/>
        <item x="69"/>
        <item x="498"/>
        <item x="295"/>
        <item x="296"/>
        <item x="533"/>
        <item x="530"/>
        <item x="528"/>
        <item x="181"/>
        <item x="524"/>
        <item x="425"/>
        <item x="195"/>
        <item x="483"/>
        <item x="129"/>
        <item x="303"/>
        <item x="511"/>
        <item x="438"/>
        <item x="156"/>
        <item x="212"/>
        <item x="503"/>
        <item x="508"/>
        <item x="153"/>
        <item x="1"/>
        <item x="316"/>
        <item x="500"/>
        <item x="75"/>
        <item x="101"/>
        <item x="305"/>
        <item x="321"/>
        <item x="497"/>
        <item x="213"/>
        <item x="207"/>
        <item x="58"/>
        <item x="121"/>
        <item x="70"/>
        <item x="504"/>
        <item x="505"/>
        <item x="490"/>
        <item x="8"/>
        <item x="76"/>
        <item x="77"/>
        <item x="304"/>
        <item x="4"/>
        <item x="186"/>
        <item x="185"/>
        <item x="119"/>
        <item x="531"/>
        <item x="128"/>
        <item x="67"/>
        <item x="130"/>
        <item x="180"/>
        <item x="7"/>
        <item x="43"/>
        <item x="538"/>
        <item x="36"/>
        <item x="394"/>
        <item x="82"/>
        <item x="51"/>
        <item x="291"/>
        <item x="294"/>
        <item x="292"/>
        <item x="439"/>
        <item x="451"/>
        <item x="440"/>
        <item x="448"/>
        <item x="249"/>
        <item x="259"/>
        <item x="507"/>
        <item x="547"/>
        <item x="520"/>
        <item x="546"/>
        <item x="512"/>
        <item x="540"/>
        <item x="488"/>
        <item x="474"/>
        <item x="160"/>
        <item x="93"/>
        <item x="251"/>
        <item x="52"/>
        <item x="44"/>
        <item x="286"/>
        <item x="300"/>
        <item x="287"/>
        <item x="297"/>
        <item x="104"/>
        <item x="162"/>
        <item x="163"/>
        <item x="377"/>
        <item x="382"/>
        <item x="375"/>
        <item x="453"/>
        <item x="542"/>
        <item x="543"/>
        <item x="387"/>
        <item x="420"/>
        <item x="388"/>
        <item x="190"/>
        <item x="386"/>
        <item x="136"/>
        <item x="485"/>
        <item x="191"/>
        <item x="487"/>
        <item x="214"/>
        <item x="147"/>
        <item x="486"/>
        <item x="400"/>
        <item x="171"/>
        <item x="472"/>
        <item x="416"/>
        <item x="541"/>
        <item x="145"/>
        <item x="282"/>
        <item x="133"/>
        <item x="193"/>
        <item x="373"/>
        <item x="376"/>
        <item x="366"/>
        <item x="165"/>
        <item x="246"/>
        <item x="390"/>
        <item x="137"/>
        <item x="457"/>
        <item x="143"/>
        <item x="293"/>
        <item x="392"/>
        <item x="371"/>
        <item x="102"/>
        <item x="517"/>
        <item x="139"/>
        <item x="516"/>
        <item x="535"/>
        <item x="501"/>
        <item x="368"/>
        <item x="372"/>
        <item x="548"/>
        <item x="192"/>
        <item x="545"/>
        <item x="159"/>
        <item x="146"/>
        <item x="134"/>
        <item x="247"/>
        <item x="194"/>
        <item x="549"/>
        <item x="379"/>
        <item x="506"/>
        <item x="378"/>
        <item x="370"/>
        <item x="389"/>
        <item x="539"/>
        <item x="140"/>
        <item x="103"/>
        <item x="393"/>
        <item x="369"/>
        <item x="278"/>
        <item x="323"/>
        <item x="380"/>
        <item x="200"/>
        <item x="141"/>
        <item x="536"/>
        <item x="279"/>
        <item x="281"/>
        <item x="381"/>
        <item x="283"/>
        <item x="544"/>
        <item x="142"/>
        <item x="144"/>
        <item x="138"/>
        <item x="456"/>
        <item x="454"/>
        <item x="105"/>
        <item x="358"/>
        <item x="359"/>
        <item x="339"/>
        <item x="332"/>
        <item x="333"/>
        <item x="334"/>
        <item x="337"/>
        <item x="338"/>
        <item x="335"/>
        <item x="336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60"/>
        <item x="532"/>
        <item x="455"/>
        <item x="106"/>
        <item x="254"/>
        <item x="178"/>
        <item x="90"/>
        <item x="447"/>
        <item x="269"/>
        <item x="262"/>
        <item x="248"/>
        <item x="96"/>
        <item x="253"/>
        <item x="271"/>
        <item x="127"/>
        <item x="87"/>
        <item x="88"/>
        <item x="89"/>
        <item x="298"/>
        <item x="268"/>
        <item x="182"/>
        <item x="27"/>
        <item x="60"/>
        <item x="56"/>
        <item x="25"/>
        <item x="32"/>
        <item x="26"/>
        <item x="16"/>
        <item x="15"/>
        <item x="19"/>
        <item x="443"/>
        <item x="309"/>
        <item x="79"/>
        <item x="98"/>
        <item x="150"/>
        <item x="229"/>
        <item x="526"/>
        <item x="227"/>
        <item x="232"/>
        <item x="228"/>
        <item x="241"/>
        <item x="61"/>
        <item x="231"/>
        <item x="170"/>
        <item x="471"/>
        <item x="230"/>
        <item x="184"/>
        <item x="444"/>
        <item x="0"/>
        <item x="313"/>
        <item x="284"/>
        <item x="38"/>
        <item x="21"/>
        <item x="59"/>
        <item x="100"/>
        <item x="525"/>
        <item x="236"/>
        <item x="95"/>
        <item x="110"/>
        <item x="441"/>
        <item x="450"/>
        <item x="322"/>
        <item x="491"/>
        <item x="57"/>
        <item x="307"/>
        <item x="521"/>
        <item x="308"/>
        <item x="188"/>
        <item x="496"/>
        <item x="515"/>
        <item x="255"/>
        <item x="256"/>
        <item x="220"/>
        <item x="114"/>
        <item x="258"/>
        <item x="217"/>
        <item x="116"/>
        <item x="117"/>
        <item x="118"/>
        <item x="183"/>
        <item x="187"/>
        <item x="464"/>
        <item x="459"/>
        <item x="461"/>
        <item x="215"/>
        <item x="509"/>
        <item x="523"/>
        <item x="208"/>
        <item x="210"/>
        <item x="50"/>
        <item x="164"/>
        <item x="211"/>
        <item x="310"/>
        <item x="54"/>
        <item x="363"/>
        <item x="242"/>
        <item x="460"/>
        <item x="385"/>
        <item x="414"/>
        <item x="204"/>
        <item x="197"/>
        <item x="243"/>
        <item x="17"/>
        <item x="18"/>
        <item x="402"/>
        <item x="399"/>
        <item x="395"/>
        <item x="404"/>
        <item x="226"/>
        <item x="225"/>
        <item x="221"/>
        <item x="223"/>
        <item x="218"/>
        <item x="219"/>
        <item x="203"/>
        <item x="529"/>
        <item x="415"/>
        <item x="312"/>
        <item x="257"/>
        <item x="442"/>
        <item x="174"/>
        <item x="202"/>
        <item x="534"/>
        <item x="421"/>
        <item x="422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600"/>
        <item x="601"/>
        <item x="602"/>
        <item x="603"/>
        <item x="604"/>
        <item x="605"/>
        <item x="606"/>
        <item x="607"/>
        <item x="608"/>
        <item x="597"/>
        <item x="598"/>
        <item x="609"/>
        <item x="610"/>
        <item x="611"/>
        <item x="612"/>
        <item x="613"/>
        <item x="614"/>
        <item x="615"/>
        <item x="616"/>
        <item x="617"/>
        <item x="618"/>
        <item x="599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m="1" x="1168"/>
        <item m="1" x="1169"/>
        <item x="789"/>
        <item x="790"/>
        <item x="79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multipleItemSelectionAllowed="1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axis="axisPage" dataField="1" compact="0" outline="0" multipleItemSelectionAllowed="1" showAll="0" defaultSubtotal="0">
      <items count="230">
        <item x="61"/>
        <item m="1" x="209"/>
        <item x="111"/>
        <item m="1" x="187"/>
        <item m="1" x="228"/>
        <item x="38"/>
        <item x="83"/>
        <item m="1" x="186"/>
        <item m="1" x="203"/>
        <item x="27"/>
        <item x="120"/>
        <item m="1" x="204"/>
        <item x="3"/>
        <item m="1" x="176"/>
        <item m="1" x="158"/>
        <item x="34"/>
        <item x="6"/>
        <item x="15"/>
        <item x="59"/>
        <item x="23"/>
        <item x="26"/>
        <item m="1" x="218"/>
        <item m="1" x="205"/>
        <item x="82"/>
        <item m="1" x="173"/>
        <item x="109"/>
        <item x="24"/>
        <item m="1" x="222"/>
        <item x="74"/>
        <item x="37"/>
        <item m="1" x="192"/>
        <item x="17"/>
        <item x="73"/>
        <item x="106"/>
        <item x="22"/>
        <item x="65"/>
        <item x="10"/>
        <item m="1" x="214"/>
        <item m="1" x="190"/>
        <item x="29"/>
        <item m="1" x="210"/>
        <item m="1" x="165"/>
        <item x="58"/>
        <item x="104"/>
        <item m="1" x="171"/>
        <item x="105"/>
        <item x="0"/>
        <item x="84"/>
        <item m="1" x="191"/>
        <item x="57"/>
        <item x="18"/>
        <item x="103"/>
        <item m="1" x="197"/>
        <item m="1" x="164"/>
        <item x="5"/>
        <item m="1" x="200"/>
        <item m="1" x="140"/>
        <item m="1" x="167"/>
        <item x="85"/>
        <item m="1" x="154"/>
        <item m="1" x="142"/>
        <item m="1" x="180"/>
        <item m="1" x="226"/>
        <item m="1" x="170"/>
        <item m="1" x="181"/>
        <item m="1" x="177"/>
        <item h="1" x="1"/>
        <item x="88"/>
        <item x="91"/>
        <item m="1" x="207"/>
        <item x="93"/>
        <item x="94"/>
        <item x="95"/>
        <item x="96"/>
        <item x="97"/>
        <item m="1" x="220"/>
        <item x="99"/>
        <item x="100"/>
        <item x="101"/>
        <item x="110"/>
        <item x="7"/>
        <item x="2"/>
        <item x="4"/>
        <item m="1" x="163"/>
        <item m="1" x="189"/>
        <item m="1" x="229"/>
        <item m="1" x="141"/>
        <item m="1" x="157"/>
        <item x="126"/>
        <item x="127"/>
        <item m="1" x="211"/>
        <item m="1" x="175"/>
        <item m="1" x="169"/>
        <item m="1" x="174"/>
        <item m="1" x="184"/>
        <item m="1" x="145"/>
        <item m="1" x="162"/>
        <item m="1" x="166"/>
        <item m="1" x="160"/>
        <item m="1" x="188"/>
        <item m="1" x="159"/>
        <item x="134"/>
        <item x="135"/>
        <item x="136"/>
        <item x="137"/>
        <item x="138"/>
        <item x="78"/>
        <item x="89"/>
        <item x="108"/>
        <item x="117"/>
        <item x="130"/>
        <item x="107"/>
        <item m="1" x="156"/>
        <item x="62"/>
        <item x="63"/>
        <item x="60"/>
        <item x="64"/>
        <item x="66"/>
        <item x="67"/>
        <item x="68"/>
        <item x="69"/>
        <item x="70"/>
        <item x="71"/>
        <item x="72"/>
        <item x="75"/>
        <item x="76"/>
        <item x="77"/>
        <item m="1" x="225"/>
        <item x="86"/>
        <item m="1" x="223"/>
        <item x="87"/>
        <item x="98"/>
        <item x="102"/>
        <item x="121"/>
        <item x="124"/>
        <item x="125"/>
        <item x="123"/>
        <item m="1" x="148"/>
        <item h="1" m="1" x="216"/>
        <item m="1" x="183"/>
        <item m="1" x="224"/>
        <item x="12"/>
        <item h="1" m="1" x="168"/>
        <item x="116"/>
        <item x="19"/>
        <item m="1" x="153"/>
        <item h="1" m="1" x="198"/>
        <item h="1" m="1" x="215"/>
        <item x="25"/>
        <item h="1" m="1" x="202"/>
        <item m="1" x="194"/>
        <item m="1" x="213"/>
        <item m="1" x="161"/>
        <item m="1" x="201"/>
        <item m="1" x="196"/>
        <item m="1" x="155"/>
        <item m="1" x="149"/>
        <item x="14"/>
        <item x="16"/>
        <item x="21"/>
        <item x="8"/>
        <item x="13"/>
        <item h="1" m="1" x="195"/>
        <item x="131"/>
        <item h="1" m="1" x="151"/>
        <item h="1" m="1" x="208"/>
        <item x="11"/>
        <item x="20"/>
        <item h="1" m="1" x="219"/>
        <item x="30"/>
        <item x="31"/>
        <item x="33"/>
        <item x="35"/>
        <item h="1" m="1" x="172"/>
        <item h="1" m="1" x="185"/>
        <item x="43"/>
        <item x="44"/>
        <item x="45"/>
        <item h="1" m="1" x="206"/>
        <item x="47"/>
        <item x="48"/>
        <item x="49"/>
        <item h="1" m="1" x="182"/>
        <item h="1" m="1" x="146"/>
        <item x="114"/>
        <item x="115"/>
        <item h="1" m="1" x="150"/>
        <item h="1" m="1" x="147"/>
        <item h="1" m="1" x="199"/>
        <item m="1" x="217"/>
        <item h="1" m="1" x="152"/>
        <item h="1" m="1" x="144"/>
        <item x="56"/>
        <item x="90"/>
        <item x="92"/>
        <item h="1" m="1" x="179"/>
        <item x="112"/>
        <item x="113"/>
        <item x="52"/>
        <item h="1" m="1" x="212"/>
        <item x="133"/>
        <item x="9"/>
        <item m="1" x="143"/>
        <item m="1" x="221"/>
        <item m="1" x="227"/>
        <item m="1" x="139"/>
        <item x="36"/>
        <item x="39"/>
        <item x="41"/>
        <item x="46"/>
        <item x="50"/>
        <item x="32"/>
        <item x="40"/>
        <item x="42"/>
        <item x="28"/>
        <item h="1" m="1" x="193"/>
        <item h="1" m="1" x="178"/>
        <item x="122"/>
        <item x="51"/>
        <item x="53"/>
        <item x="54"/>
        <item x="55"/>
        <item h="1" x="118"/>
        <item h="1" x="119"/>
        <item h="1" x="128"/>
        <item h="1" x="129"/>
        <item h="1" x="79"/>
        <item h="1" x="80"/>
        <item h="1" x="81"/>
        <item h="1" x="132"/>
      </items>
    </pivotField>
    <pivotField dataField="1" compact="0" numFmtId="3" outline="0" showAll="0" defaultSubtotal="0"/>
  </pivotFields>
  <rowFields count="3">
    <field x="3"/>
    <field x="5"/>
    <field x="6"/>
  </rowFields>
  <rowItems count="2">
    <i>
      <x v="12"/>
      <x v="37"/>
      <x v="68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-1"/>
    <pageField fld="36" hier="-1"/>
  </pageFields>
  <dataFields count="4">
    <dataField name="Suma de PPEF 2011" fld="34" baseField="0" baseItem="0"/>
    <dataField name="Reducción " fld="35" baseField="0" baseItem="0"/>
    <dataField name="Ampliación " fld="36" baseField="0" baseItem="0"/>
    <dataField name="Suma de PEF 2011" fld="37" baseField="0" baseItem="0"/>
  </dataFields>
  <formats count="12">
    <format dxfId="183">
      <pivotArea outline="0" collapsedLevelsAreSubtotals="1" fieldPosition="0"/>
    </format>
    <format dxfId="182">
      <pivotArea field="-2" type="button" dataOnly="0" labelOnly="1" outline="0" axis="axisCol" fieldPosition="0"/>
    </format>
    <format dxfId="181">
      <pivotArea type="topRight" dataOnly="0" labelOnly="1" outline="0" fieldPosition="0"/>
    </format>
    <format dxfId="180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79">
      <pivotArea field="6" type="button" dataOnly="0" labelOnly="1" outline="0" axis="axisRow" fieldPosition="2"/>
    </format>
    <format dxfId="178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77">
      <pivotArea field="36" type="button" dataOnly="0" labelOnly="1" outline="0" axis="axisPage" fieldPosition="1"/>
    </format>
    <format dxfId="176">
      <pivotArea type="origin" dataOnly="0" labelOnly="1" outline="0" fieldPosition="0"/>
    </format>
    <format dxfId="175">
      <pivotArea field="1" type="button" dataOnly="0" labelOnly="1" outline="0" axis="axisPage" fieldPosition="0"/>
    </format>
    <format dxfId="174">
      <pivotArea field="3" type="button" dataOnly="0" labelOnly="1" outline="0" axis="axisRow" fieldPosition="0"/>
    </format>
    <format dxfId="173">
      <pivotArea field="5" type="button" dataOnly="0" labelOnly="1" outline="0" axis="axisRow" fieldPosition="1"/>
    </format>
    <format dxfId="172">
      <pivotArea dataOnly="0" labelOnly="1" grandRow="1" outline="0" fieldPosition="0"/>
    </format>
  </formats>
  <pivotTableStyleInfo name="PivotStyleMedium18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multipleFieldFilters="0">
  <location ref="A7:H86" firstHeaderRow="1" firstDataRow="2" firstDataCol="4" rowPageCount="2" colPageCount="1"/>
  <pivotFields count="38">
    <pivotField compact="0" outline="0" multipleItemSelectionAllowed="1" showAll="0" defaultSubtotal="0"/>
    <pivotField axis="axisRow" compact="0" outline="0" multipleItemSelectionAllowed="1" showAll="0" defaultSubtotal="0">
      <items count="42">
        <item x="0"/>
        <item x="5"/>
        <item x="1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"/>
        <item x="3"/>
        <item x="4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h="1" x="35"/>
        <item x="36"/>
        <item x="37"/>
        <item x="38"/>
        <item x="39"/>
        <item x="40"/>
        <item x="41"/>
      </items>
    </pivotField>
    <pivotField compact="0" outline="0" showAll="0" defaultSubtotal="0"/>
    <pivotField axis="axisRow" compact="0" outline="0" showAll="0" defaultSubtotal="0">
      <items count="22">
        <item x="12"/>
        <item x="8"/>
        <item x="4"/>
        <item x="9"/>
        <item x="10"/>
        <item x="0"/>
        <item x="13"/>
        <item x="2"/>
        <item x="6"/>
        <item x="3"/>
        <item x="5"/>
        <item x="1"/>
        <item x="11"/>
        <item x="7"/>
        <item x="14"/>
        <item x="15"/>
        <item x="16"/>
        <item x="17"/>
        <item x="18"/>
        <item x="19"/>
        <item x="20"/>
        <item x="21"/>
      </items>
    </pivotField>
    <pivotField compact="0" outline="0" showAll="0" defaultSubtotal="0"/>
    <pivotField axis="axisRow" compact="0" outline="0" showAll="0" defaultSubtotal="0">
      <items count="370"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2"/>
        <item x="23"/>
        <item x="24"/>
        <item x="20"/>
        <item x="21"/>
        <item x="47"/>
        <item x="0"/>
        <item x="25"/>
        <item x="1"/>
        <item x="31"/>
        <item x="26"/>
        <item x="27"/>
        <item x="28"/>
        <item x="29"/>
        <item x="30"/>
        <item x="53"/>
        <item x="54"/>
        <item x="55"/>
        <item x="56"/>
        <item x="57"/>
        <item x="58"/>
        <item x="59"/>
        <item x="60"/>
        <item x="66"/>
        <item x="67"/>
        <item x="76"/>
        <item x="61"/>
        <item x="68"/>
        <item x="69"/>
        <item x="70"/>
        <item x="71"/>
        <item x="72"/>
        <item x="73"/>
        <item x="103"/>
        <item x="74"/>
        <item x="104"/>
        <item x="75"/>
        <item x="105"/>
        <item x="106"/>
        <item x="107"/>
        <item x="108"/>
        <item x="77"/>
        <item x="78"/>
        <item x="79"/>
        <item x="109"/>
        <item x="62"/>
        <item x="80"/>
        <item x="127"/>
        <item x="128"/>
        <item x="129"/>
        <item x="81"/>
        <item x="116"/>
        <item x="117"/>
        <item x="32"/>
        <item x="82"/>
        <item x="130"/>
        <item x="83"/>
        <item x="84"/>
        <item x="131"/>
        <item x="85"/>
        <item x="86"/>
        <item x="87"/>
        <item x="119"/>
        <item x="120"/>
        <item x="121"/>
        <item x="122"/>
        <item x="123"/>
        <item x="124"/>
        <item x="125"/>
        <item x="126"/>
        <item x="110"/>
        <item x="111"/>
        <item x="63"/>
        <item x="88"/>
        <item x="89"/>
        <item x="33"/>
        <item x="112"/>
        <item x="34"/>
        <item x="35"/>
        <item x="36"/>
        <item x="37"/>
        <item x="38"/>
        <item x="39"/>
        <item x="40"/>
        <item x="41"/>
        <item x="42"/>
        <item x="43"/>
        <item x="113"/>
        <item x="114"/>
        <item x="115"/>
        <item x="118"/>
        <item x="90"/>
        <item x="91"/>
        <item x="92"/>
        <item x="93"/>
        <item x="94"/>
        <item x="95"/>
        <item x="44"/>
        <item x="64"/>
        <item x="132"/>
        <item x="133"/>
        <item x="65"/>
        <item x="96"/>
        <item x="97"/>
        <item x="98"/>
        <item x="99"/>
        <item x="45"/>
        <item x="48"/>
        <item x="49"/>
        <item x="50"/>
        <item x="51"/>
        <item x="52"/>
        <item x="100"/>
        <item x="101"/>
        <item x="46"/>
        <item x="102"/>
        <item x="134"/>
        <item x="136"/>
        <item x="137"/>
        <item x="138"/>
        <item x="139"/>
        <item x="140"/>
        <item x="141"/>
        <item x="142"/>
        <item x="135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</items>
    </pivotField>
    <pivotField axis="axisRow" compact="0" outline="0" showAll="0" defaultSubtotal="0">
      <items count="1170">
        <item x="374"/>
        <item x="131"/>
        <item x="158"/>
        <item x="107"/>
        <item x="42"/>
        <item x="34"/>
        <item x="2"/>
        <item x="64"/>
        <item x="482"/>
        <item x="11"/>
        <item x="94"/>
        <item x="260"/>
        <item x="514"/>
        <item x="108"/>
        <item x="467"/>
        <item x="468"/>
        <item x="97"/>
        <item x="12"/>
        <item x="466"/>
        <item x="407"/>
        <item x="245"/>
        <item x="33"/>
        <item x="401"/>
        <item x="267"/>
        <item x="6"/>
        <item x="35"/>
        <item x="418"/>
        <item x="49"/>
        <item x="265"/>
        <item x="48"/>
        <item x="431"/>
        <item x="330"/>
        <item x="151"/>
        <item x="198"/>
        <item x="176"/>
        <item x="5"/>
        <item x="426"/>
        <item x="429"/>
        <item x="430"/>
        <item x="311"/>
        <item x="364"/>
        <item x="411"/>
        <item x="155"/>
        <item x="45"/>
        <item x="46"/>
        <item x="478"/>
        <item x="125"/>
        <item x="479"/>
        <item x="446"/>
        <item x="367"/>
        <item x="78"/>
        <item x="252"/>
        <item x="53"/>
        <item x="152"/>
        <item x="301"/>
        <item x="489"/>
        <item x="449"/>
        <item x="250"/>
        <item x="397"/>
        <item x="410"/>
        <item x="47"/>
        <item x="24"/>
        <item x="20"/>
        <item x="445"/>
        <item x="201"/>
        <item x="493"/>
        <item x="476"/>
        <item x="436"/>
        <item x="169"/>
        <item x="9"/>
        <item x="458"/>
        <item x="39"/>
        <item x="40"/>
        <item x="41"/>
        <item x="222"/>
        <item x="361"/>
        <item x="280"/>
        <item x="132"/>
        <item x="92"/>
        <item x="111"/>
        <item x="480"/>
        <item x="66"/>
        <item x="63"/>
        <item x="537"/>
        <item x="126"/>
        <item x="233"/>
        <item x="238"/>
        <item x="209"/>
        <item x="237"/>
        <item x="168"/>
        <item x="510"/>
        <item x="216"/>
        <item x="527"/>
        <item x="519"/>
        <item x="109"/>
        <item x="465"/>
        <item x="299"/>
        <item x="99"/>
        <item x="452"/>
        <item x="481"/>
        <item x="84"/>
        <item x="86"/>
        <item x="62"/>
        <item x="31"/>
        <item x="518"/>
        <item x="383"/>
        <item x="362"/>
        <item x="273"/>
        <item x="331"/>
        <item x="189"/>
        <item x="157"/>
        <item x="81"/>
        <item x="68"/>
        <item x="244"/>
        <item x="522"/>
        <item x="384"/>
        <item x="224"/>
        <item x="166"/>
        <item x="37"/>
        <item x="264"/>
        <item x="470"/>
        <item x="173"/>
        <item x="179"/>
        <item x="263"/>
        <item x="270"/>
        <item x="172"/>
        <item x="175"/>
        <item x="71"/>
        <item x="272"/>
        <item x="469"/>
        <item x="327"/>
        <item x="115"/>
        <item x="196"/>
        <item x="499"/>
        <item x="437"/>
        <item x="122"/>
        <item x="124"/>
        <item x="123"/>
        <item x="325"/>
        <item x="306"/>
        <item x="85"/>
        <item x="328"/>
        <item x="314"/>
        <item x="167"/>
        <item x="65"/>
        <item x="239"/>
        <item x="403"/>
        <item x="475"/>
        <item x="73"/>
        <item x="30"/>
        <item x="315"/>
        <item x="72"/>
        <item x="463"/>
        <item x="288"/>
        <item x="3"/>
        <item x="427"/>
        <item x="398"/>
        <item x="29"/>
        <item x="14"/>
        <item x="513"/>
        <item x="365"/>
        <item x="120"/>
        <item x="484"/>
        <item x="205"/>
        <item x="234"/>
        <item x="240"/>
        <item x="235"/>
        <item x="289"/>
        <item x="154"/>
        <item x="405"/>
        <item x="80"/>
        <item x="13"/>
        <item x="494"/>
        <item x="149"/>
        <item x="495"/>
        <item x="477"/>
        <item x="199"/>
        <item x="406"/>
        <item x="419"/>
        <item x="424"/>
        <item x="320"/>
        <item x="277"/>
        <item x="492"/>
        <item x="502"/>
        <item x="396"/>
        <item x="74"/>
        <item x="275"/>
        <item x="276"/>
        <item x="434"/>
        <item x="329"/>
        <item x="428"/>
        <item x="433"/>
        <item x="432"/>
        <item x="423"/>
        <item x="274"/>
        <item x="285"/>
        <item x="317"/>
        <item x="319"/>
        <item x="435"/>
        <item x="206"/>
        <item x="290"/>
        <item x="10"/>
        <item x="91"/>
        <item x="409"/>
        <item x="326"/>
        <item x="135"/>
        <item x="417"/>
        <item x="148"/>
        <item x="112"/>
        <item x="408"/>
        <item x="413"/>
        <item x="412"/>
        <item x="318"/>
        <item x="113"/>
        <item x="83"/>
        <item x="462"/>
        <item x="261"/>
        <item x="266"/>
        <item x="177"/>
        <item x="302"/>
        <item x="324"/>
        <item x="23"/>
        <item x="22"/>
        <item x="391"/>
        <item x="473"/>
        <item x="55"/>
        <item x="161"/>
        <item x="28"/>
        <item x="69"/>
        <item x="498"/>
        <item x="295"/>
        <item x="296"/>
        <item x="533"/>
        <item x="530"/>
        <item x="528"/>
        <item x="181"/>
        <item x="524"/>
        <item x="425"/>
        <item x="195"/>
        <item x="483"/>
        <item x="129"/>
        <item x="303"/>
        <item x="511"/>
        <item x="438"/>
        <item x="156"/>
        <item x="212"/>
        <item x="503"/>
        <item x="508"/>
        <item x="153"/>
        <item x="1"/>
        <item x="316"/>
        <item x="500"/>
        <item x="75"/>
        <item x="101"/>
        <item x="305"/>
        <item x="321"/>
        <item x="497"/>
        <item x="213"/>
        <item x="207"/>
        <item x="58"/>
        <item x="121"/>
        <item x="70"/>
        <item x="504"/>
        <item x="505"/>
        <item x="490"/>
        <item x="8"/>
        <item x="76"/>
        <item x="77"/>
        <item x="304"/>
        <item x="4"/>
        <item x="186"/>
        <item x="185"/>
        <item x="119"/>
        <item x="531"/>
        <item x="128"/>
        <item x="67"/>
        <item x="130"/>
        <item x="180"/>
        <item x="7"/>
        <item x="43"/>
        <item x="538"/>
        <item x="36"/>
        <item x="394"/>
        <item x="82"/>
        <item x="51"/>
        <item x="291"/>
        <item x="294"/>
        <item x="292"/>
        <item x="439"/>
        <item x="451"/>
        <item x="440"/>
        <item x="448"/>
        <item x="249"/>
        <item x="259"/>
        <item x="507"/>
        <item x="547"/>
        <item x="520"/>
        <item x="546"/>
        <item x="512"/>
        <item x="540"/>
        <item x="488"/>
        <item x="474"/>
        <item x="160"/>
        <item x="93"/>
        <item x="251"/>
        <item x="52"/>
        <item x="44"/>
        <item x="286"/>
        <item x="300"/>
        <item x="287"/>
        <item x="297"/>
        <item x="104"/>
        <item x="162"/>
        <item x="163"/>
        <item x="377"/>
        <item x="382"/>
        <item x="375"/>
        <item x="453"/>
        <item x="542"/>
        <item x="543"/>
        <item x="387"/>
        <item x="420"/>
        <item x="388"/>
        <item x="190"/>
        <item x="386"/>
        <item x="136"/>
        <item x="485"/>
        <item x="191"/>
        <item x="487"/>
        <item x="214"/>
        <item x="147"/>
        <item x="486"/>
        <item x="400"/>
        <item x="171"/>
        <item x="472"/>
        <item x="416"/>
        <item x="541"/>
        <item x="145"/>
        <item x="282"/>
        <item x="133"/>
        <item x="193"/>
        <item x="373"/>
        <item x="376"/>
        <item x="366"/>
        <item x="165"/>
        <item x="246"/>
        <item x="390"/>
        <item x="137"/>
        <item x="457"/>
        <item x="143"/>
        <item x="293"/>
        <item x="392"/>
        <item x="371"/>
        <item x="102"/>
        <item x="517"/>
        <item x="139"/>
        <item x="516"/>
        <item x="535"/>
        <item x="501"/>
        <item x="368"/>
        <item x="372"/>
        <item x="548"/>
        <item x="192"/>
        <item x="545"/>
        <item x="159"/>
        <item x="146"/>
        <item x="134"/>
        <item x="247"/>
        <item x="194"/>
        <item x="549"/>
        <item x="379"/>
        <item x="506"/>
        <item x="378"/>
        <item x="370"/>
        <item x="389"/>
        <item x="539"/>
        <item x="140"/>
        <item x="103"/>
        <item x="393"/>
        <item x="369"/>
        <item x="278"/>
        <item x="323"/>
        <item x="380"/>
        <item x="200"/>
        <item x="141"/>
        <item x="536"/>
        <item x="279"/>
        <item x="281"/>
        <item x="381"/>
        <item x="283"/>
        <item x="544"/>
        <item x="142"/>
        <item x="144"/>
        <item x="138"/>
        <item x="456"/>
        <item x="454"/>
        <item x="105"/>
        <item x="358"/>
        <item x="359"/>
        <item x="339"/>
        <item x="332"/>
        <item x="333"/>
        <item x="334"/>
        <item x="337"/>
        <item x="338"/>
        <item x="335"/>
        <item x="336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60"/>
        <item x="532"/>
        <item x="455"/>
        <item x="106"/>
        <item x="254"/>
        <item x="178"/>
        <item x="90"/>
        <item x="447"/>
        <item x="269"/>
        <item x="262"/>
        <item x="248"/>
        <item x="96"/>
        <item x="253"/>
        <item x="271"/>
        <item x="127"/>
        <item x="87"/>
        <item x="88"/>
        <item x="89"/>
        <item x="298"/>
        <item x="268"/>
        <item x="182"/>
        <item x="27"/>
        <item x="60"/>
        <item x="56"/>
        <item x="25"/>
        <item x="32"/>
        <item x="26"/>
        <item x="16"/>
        <item x="15"/>
        <item x="19"/>
        <item x="443"/>
        <item x="309"/>
        <item x="79"/>
        <item x="98"/>
        <item x="150"/>
        <item x="229"/>
        <item x="526"/>
        <item x="227"/>
        <item x="232"/>
        <item x="228"/>
        <item x="241"/>
        <item x="61"/>
        <item x="231"/>
        <item x="170"/>
        <item x="471"/>
        <item x="230"/>
        <item x="184"/>
        <item x="444"/>
        <item x="0"/>
        <item x="313"/>
        <item x="284"/>
        <item x="38"/>
        <item x="21"/>
        <item x="59"/>
        <item x="100"/>
        <item x="525"/>
        <item x="236"/>
        <item x="95"/>
        <item x="110"/>
        <item x="441"/>
        <item x="450"/>
        <item x="322"/>
        <item x="491"/>
        <item x="57"/>
        <item x="307"/>
        <item x="521"/>
        <item x="308"/>
        <item x="188"/>
        <item x="496"/>
        <item x="515"/>
        <item x="255"/>
        <item x="256"/>
        <item x="220"/>
        <item x="114"/>
        <item x="258"/>
        <item x="217"/>
        <item x="116"/>
        <item x="117"/>
        <item x="118"/>
        <item x="183"/>
        <item x="187"/>
        <item x="464"/>
        <item x="459"/>
        <item x="461"/>
        <item x="215"/>
        <item x="509"/>
        <item x="523"/>
        <item x="208"/>
        <item x="210"/>
        <item x="50"/>
        <item x="164"/>
        <item x="211"/>
        <item x="310"/>
        <item x="54"/>
        <item x="363"/>
        <item x="242"/>
        <item x="460"/>
        <item x="385"/>
        <item x="414"/>
        <item x="204"/>
        <item x="197"/>
        <item x="243"/>
        <item x="17"/>
        <item x="18"/>
        <item x="402"/>
        <item x="399"/>
        <item x="395"/>
        <item x="404"/>
        <item x="226"/>
        <item x="225"/>
        <item x="221"/>
        <item x="223"/>
        <item x="218"/>
        <item x="219"/>
        <item x="203"/>
        <item x="529"/>
        <item x="415"/>
        <item x="312"/>
        <item x="257"/>
        <item x="442"/>
        <item x="174"/>
        <item x="202"/>
        <item x="534"/>
        <item x="421"/>
        <item x="422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600"/>
        <item x="601"/>
        <item x="602"/>
        <item x="603"/>
        <item x="604"/>
        <item x="605"/>
        <item x="606"/>
        <item x="607"/>
        <item x="608"/>
        <item x="597"/>
        <item x="598"/>
        <item x="609"/>
        <item x="610"/>
        <item x="611"/>
        <item x="612"/>
        <item x="613"/>
        <item x="614"/>
        <item x="615"/>
        <item x="616"/>
        <item x="617"/>
        <item x="618"/>
        <item x="599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m="1" x="1168"/>
        <item m="1" x="1169"/>
        <item x="789"/>
        <item x="790"/>
        <item x="79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multipleItemSelectionAllowed="1" showAll="0" defaultSubtotal="0"/>
    <pivotField axis="axisPage" compact="0" outline="0" multipleItemSelectionAllowed="1" showAll="0" defaultSubtotal="0">
      <items count="2">
        <item x="1"/>
        <item h="1" x="0"/>
      </items>
    </pivotField>
    <pivotField compact="0" outline="0" showAll="0" defaultSubtotal="0"/>
    <pivotField axis="axisPage" compact="0" outline="0" multipleItemSelectionAllowed="1" showAll="0" defaultSubtotal="0">
      <items count="2">
        <item x="1"/>
        <item h="1"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multipleItemSelectionAllowed="1" showAll="0" defaultSubtotal="0">
      <items count="230">
        <item x="61"/>
        <item m="1" x="209"/>
        <item x="111"/>
        <item m="1" x="187"/>
        <item m="1" x="228"/>
        <item x="38"/>
        <item x="83"/>
        <item m="1" x="186"/>
        <item m="1" x="203"/>
        <item x="27"/>
        <item x="120"/>
        <item m="1" x="204"/>
        <item x="3"/>
        <item m="1" x="176"/>
        <item m="1" x="158"/>
        <item x="34"/>
        <item x="6"/>
        <item x="15"/>
        <item x="59"/>
        <item x="23"/>
        <item x="26"/>
        <item m="1" x="218"/>
        <item m="1" x="205"/>
        <item x="82"/>
        <item m="1" x="173"/>
        <item x="109"/>
        <item x="24"/>
        <item m="1" x="222"/>
        <item x="74"/>
        <item x="37"/>
        <item m="1" x="192"/>
        <item x="17"/>
        <item x="73"/>
        <item x="106"/>
        <item x="22"/>
        <item x="65"/>
        <item x="10"/>
        <item m="1" x="214"/>
        <item m="1" x="190"/>
        <item x="29"/>
        <item m="1" x="210"/>
        <item m="1" x="165"/>
        <item x="58"/>
        <item x="104"/>
        <item m="1" x="171"/>
        <item x="105"/>
        <item x="0"/>
        <item x="84"/>
        <item m="1" x="191"/>
        <item x="57"/>
        <item x="18"/>
        <item x="103"/>
        <item m="1" x="197"/>
        <item m="1" x="164"/>
        <item x="5"/>
        <item m="1" x="200"/>
        <item m="1" x="140"/>
        <item m="1" x="167"/>
        <item x="85"/>
        <item m="1" x="154"/>
        <item m="1" x="142"/>
        <item m="1" x="180"/>
        <item m="1" x="226"/>
        <item m="1" x="170"/>
        <item m="1" x="181"/>
        <item m="1" x="177"/>
        <item h="1" x="1"/>
        <item x="88"/>
        <item x="91"/>
        <item m="1" x="207"/>
        <item x="93"/>
        <item x="94"/>
        <item x="95"/>
        <item x="96"/>
        <item x="97"/>
        <item m="1" x="220"/>
        <item x="99"/>
        <item x="100"/>
        <item x="101"/>
        <item x="110"/>
        <item x="7"/>
        <item x="2"/>
        <item x="4"/>
        <item m="1" x="163"/>
        <item m="1" x="189"/>
        <item m="1" x="229"/>
        <item m="1" x="141"/>
        <item m="1" x="157"/>
        <item x="126"/>
        <item x="127"/>
        <item m="1" x="211"/>
        <item m="1" x="175"/>
        <item m="1" x="169"/>
        <item m="1" x="174"/>
        <item m="1" x="184"/>
        <item m="1" x="145"/>
        <item m="1" x="162"/>
        <item m="1" x="166"/>
        <item m="1" x="160"/>
        <item m="1" x="188"/>
        <item m="1" x="159"/>
        <item x="134"/>
        <item x="135"/>
        <item x="136"/>
        <item x="137"/>
        <item x="138"/>
        <item h="1" x="78"/>
        <item h="1" x="89"/>
        <item h="1" x="108"/>
        <item h="1" x="117"/>
        <item h="1" x="130"/>
        <item h="1" x="107"/>
        <item h="1" m="1" x="156"/>
        <item h="1" x="62"/>
        <item h="1" x="63"/>
        <item h="1" x="60"/>
        <item h="1" x="64"/>
        <item h="1" x="66"/>
        <item h="1" x="67"/>
        <item h="1" x="68"/>
        <item h="1" x="69"/>
        <item h="1" x="70"/>
        <item h="1" x="71"/>
        <item h="1" x="72"/>
        <item h="1" x="75"/>
        <item h="1" x="76"/>
        <item h="1" x="77"/>
        <item h="1" m="1" x="225"/>
        <item h="1" x="86"/>
        <item h="1" m="1" x="223"/>
        <item h="1" x="87"/>
        <item h="1" x="98"/>
        <item h="1" x="102"/>
        <item h="1" x="121"/>
        <item h="1" x="124"/>
        <item h="1" x="125"/>
        <item h="1" x="123"/>
        <item h="1" m="1" x="148"/>
        <item h="1" m="1" x="216"/>
        <item h="1" m="1" x="183"/>
        <item h="1" m="1" x="224"/>
        <item h="1" x="12"/>
        <item h="1" m="1" x="168"/>
        <item h="1" x="116"/>
        <item h="1" x="19"/>
        <item h="1" m="1" x="153"/>
        <item h="1" m="1" x="198"/>
        <item h="1" m="1" x="215"/>
        <item h="1" x="25"/>
        <item h="1" m="1" x="202"/>
        <item h="1" m="1" x="194"/>
        <item h="1" m="1" x="213"/>
        <item h="1" m="1" x="161"/>
        <item h="1" m="1" x="201"/>
        <item h="1" m="1" x="196"/>
        <item h="1" m="1" x="155"/>
        <item h="1" m="1" x="149"/>
        <item h="1" x="14"/>
        <item h="1" x="16"/>
        <item h="1" x="21"/>
        <item h="1" x="8"/>
        <item h="1" x="13"/>
        <item h="1" m="1" x="195"/>
        <item h="1" x="131"/>
        <item h="1" m="1" x="151"/>
        <item h="1" m="1" x="208"/>
        <item h="1" x="11"/>
        <item h="1" x="20"/>
        <item h="1" m="1" x="219"/>
        <item h="1" x="30"/>
        <item h="1" x="31"/>
        <item h="1" x="33"/>
        <item h="1" x="35"/>
        <item h="1" m="1" x="172"/>
        <item h="1" m="1" x="185"/>
        <item h="1" x="43"/>
        <item h="1" x="44"/>
        <item h="1" x="45"/>
        <item h="1" m="1" x="206"/>
        <item h="1" x="47"/>
        <item h="1" x="48"/>
        <item h="1" x="49"/>
        <item h="1" m="1" x="182"/>
        <item h="1" m="1" x="146"/>
        <item h="1" x="114"/>
        <item h="1" x="115"/>
        <item h="1" m="1" x="150"/>
        <item h="1" m="1" x="147"/>
        <item h="1" m="1" x="199"/>
        <item h="1" m="1" x="217"/>
        <item h="1" m="1" x="152"/>
        <item h="1" m="1" x="144"/>
        <item h="1" x="56"/>
        <item h="1" x="90"/>
        <item h="1" x="92"/>
        <item h="1" m="1" x="179"/>
        <item h="1" x="112"/>
        <item h="1" x="113"/>
        <item h="1" x="52"/>
        <item h="1" m="1" x="212"/>
        <item h="1" x="133"/>
        <item h="1" x="9"/>
        <item h="1" m="1" x="143"/>
        <item h="1" m="1" x="221"/>
        <item h="1" m="1" x="227"/>
        <item h="1" m="1" x="139"/>
        <item h="1" x="36"/>
        <item h="1" x="39"/>
        <item h="1" x="41"/>
        <item h="1" x="46"/>
        <item h="1" x="50"/>
        <item h="1" x="32"/>
        <item h="1" x="40"/>
        <item h="1" x="42"/>
        <item h="1" x="28"/>
        <item h="1" m="1" x="193"/>
        <item h="1" m="1" x="178"/>
        <item h="1" x="122"/>
        <item h="1" x="51"/>
        <item h="1" x="53"/>
        <item h="1" x="54"/>
        <item h="1" x="55"/>
        <item h="1" x="118"/>
        <item h="1" x="119"/>
        <item h="1" x="128"/>
        <item h="1" x="129"/>
        <item h="1" x="79"/>
        <item h="1" x="80"/>
        <item h="1" x="81"/>
        <item h="1" x="132"/>
      </items>
    </pivotField>
    <pivotField dataField="1" compact="0" numFmtId="3" outline="0" showAll="0" defaultSubtotal="0"/>
  </pivotFields>
  <rowFields count="4">
    <field x="1"/>
    <field x="3"/>
    <field x="5"/>
    <field x="6"/>
  </rowFields>
  <rowItems count="78">
    <i>
      <x v="5"/>
      <x v="3"/>
      <x v="18"/>
      <x v="3"/>
    </i>
    <i r="2">
      <x v="30"/>
      <x v="79"/>
    </i>
    <i r="2">
      <x v="31"/>
      <x v="208"/>
    </i>
    <i r="1">
      <x v="5"/>
      <x v="13"/>
      <x v="272"/>
    </i>
    <i r="2">
      <x v="24"/>
      <x v="473"/>
    </i>
    <i r="2">
      <x v="26"/>
      <x v="249"/>
    </i>
    <i r="2">
      <x v="27"/>
      <x v="161"/>
    </i>
    <i r="1">
      <x v="7"/>
      <x/>
      <x v="5"/>
    </i>
    <i r="1">
      <x v="9"/>
      <x/>
      <x v="4"/>
    </i>
    <i r="1">
      <x v="10"/>
      <x v="11"/>
      <x v="240"/>
    </i>
    <i r="2">
      <x v="12"/>
      <x v="276"/>
    </i>
    <i r="2">
      <x v="13"/>
      <x v="1"/>
    </i>
    <i r="1">
      <x v="12"/>
      <x v="96"/>
      <x v="393"/>
    </i>
    <i r="2">
      <x v="97"/>
      <x v="355"/>
    </i>
    <i r="2">
      <x v="98"/>
      <x v="376"/>
    </i>
    <i r="2">
      <x v="99"/>
      <x v="384"/>
    </i>
    <i r="2">
      <x v="100"/>
      <x v="391"/>
    </i>
    <i r="2">
      <x v="101"/>
      <x v="349"/>
    </i>
    <i r="2">
      <x v="102"/>
      <x v="392"/>
    </i>
    <i r="2">
      <x v="103"/>
      <x v="337"/>
    </i>
    <i r="1">
      <x v="13"/>
      <x v="1"/>
      <x v="459"/>
    </i>
    <i r="2">
      <x v="3"/>
      <x v="32"/>
    </i>
    <i r="2">
      <x v="6"/>
      <x v="53"/>
    </i>
    <i r="2">
      <x v="7"/>
      <x v="248"/>
    </i>
    <i r="2">
      <x v="8"/>
      <x v="168"/>
    </i>
    <i>
      <x v="7"/>
      <x v="12"/>
      <x v="125"/>
      <x v="323"/>
    </i>
    <i r="2">
      <x v="126"/>
      <x v="327"/>
    </i>
    <i r="2">
      <x v="127"/>
      <x v="362"/>
    </i>
    <i r="2">
      <x v="128"/>
      <x v="340"/>
    </i>
    <i r="2">
      <x v="129"/>
      <x v="368"/>
    </i>
    <i>
      <x v="8"/>
      <x v="5"/>
      <x v="30"/>
      <x v="463"/>
    </i>
    <i r="1">
      <x v="12"/>
      <x v="63"/>
      <x v="345"/>
    </i>
    <i>
      <x v="9"/>
      <x v="12"/>
      <x v="15"/>
      <x v="186"/>
    </i>
    <i r="2">
      <x v="16"/>
      <x v="187"/>
    </i>
    <i r="2">
      <x v="20"/>
      <x v="380"/>
    </i>
    <i>
      <x v="10"/>
      <x v="4"/>
      <x/>
      <x v="255"/>
    </i>
    <i r="1">
      <x v="5"/>
      <x v="8"/>
      <x v="471"/>
    </i>
    <i r="1">
      <x v="12"/>
      <x v="21"/>
      <x v="343"/>
    </i>
    <i r="2">
      <x v="64"/>
      <x v="341"/>
    </i>
    <i r="2">
      <x v="74"/>
      <x v="342"/>
    </i>
    <i>
      <x v="11"/>
      <x v="10"/>
      <x v="16"/>
      <x v="56"/>
    </i>
    <i r="1">
      <x v="11"/>
      <x/>
      <x v="98"/>
    </i>
    <i r="1">
      <x v="12"/>
      <x v="36"/>
      <x v="317"/>
    </i>
    <i r="2">
      <x v="64"/>
      <x v="341"/>
    </i>
    <i r="2">
      <x v="105"/>
      <x v="70"/>
    </i>
    <i r="1">
      <x v="13"/>
      <x v="4"/>
      <x v="508"/>
    </i>
    <i>
      <x v="14"/>
      <x v="12"/>
      <x v="69"/>
      <x v="358"/>
    </i>
    <i r="2">
      <x v="70"/>
      <x v="183"/>
    </i>
    <i r="2">
      <x v="108"/>
      <x v="246"/>
    </i>
    <i>
      <x v="15"/>
      <x v="2"/>
      <x v="4"/>
      <x v="294"/>
    </i>
    <i r="1">
      <x v="5"/>
      <x v="80"/>
      <x v="234"/>
    </i>
    <i r="2">
      <x v="82"/>
      <x v="233"/>
    </i>
    <i r="2">
      <x v="85"/>
      <x v="232"/>
    </i>
    <i r="1">
      <x v="10"/>
      <x v="1"/>
      <x v="280"/>
    </i>
    <i r="1">
      <x v="12"/>
      <x v="43"/>
      <x v="299"/>
    </i>
    <i r="2">
      <x v="45"/>
      <x v="336"/>
    </i>
    <i r="2">
      <x v="63"/>
      <x v="345"/>
    </i>
    <i r="2">
      <x v="66"/>
      <x v="390"/>
    </i>
    <i r="2">
      <x v="73"/>
      <x v="297"/>
    </i>
    <i r="2">
      <x v="76"/>
      <x v="295"/>
    </i>
    <i r="1">
      <x v="13"/>
      <x v="2"/>
      <x v="550"/>
    </i>
    <i r="2">
      <x v="4"/>
      <x v="551"/>
    </i>
    <i r="2">
      <x v="19"/>
      <x v="557"/>
    </i>
    <i r="2">
      <x v="21"/>
      <x v="559"/>
    </i>
    <i r="2">
      <x v="28"/>
      <x v="565"/>
    </i>
    <i>
      <x v="21"/>
      <x v="12"/>
      <x v="52"/>
      <x v="610"/>
    </i>
    <i r="2">
      <x v="59"/>
      <x v="613"/>
    </i>
    <i r="2">
      <x v="63"/>
      <x v="345"/>
    </i>
    <i r="2">
      <x v="64"/>
      <x v="341"/>
    </i>
    <i r="2">
      <x v="135"/>
      <x v="608"/>
    </i>
    <i r="2">
      <x v="137"/>
      <x v="611"/>
    </i>
    <i r="2">
      <x v="138"/>
      <x v="614"/>
    </i>
    <i r="2">
      <x v="139"/>
      <x v="615"/>
    </i>
    <i r="2">
      <x v="140"/>
      <x v="616"/>
    </i>
    <i r="2">
      <x v="143"/>
      <x v="619"/>
    </i>
    <i r="2">
      <x v="145"/>
      <x v="621"/>
    </i>
    <i>
      <x v="29"/>
      <x v="12"/>
      <x v="37"/>
      <x v="68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23" hier="-1"/>
    <pageField fld="21" hier="-1"/>
  </pageFields>
  <dataFields count="4">
    <dataField name="Suma de PPEF 2011" fld="34" baseField="0" baseItem="0"/>
    <dataField name="Reducción " fld="35" baseField="0" baseItem="0"/>
    <dataField name="Ampliación " fld="36" baseField="0" baseItem="0"/>
    <dataField name="Suma de PEF 2011" fld="37" baseField="0" baseItem="0"/>
  </dataFields>
  <formats count="172">
    <format dxfId="171">
      <pivotArea outline="0" collapsedLevelsAreSubtotals="1" fieldPosition="0"/>
    </format>
    <format dxfId="170">
      <pivotArea field="-2" type="button" dataOnly="0" labelOnly="1" outline="0" axis="axisCol" fieldPosition="0"/>
    </format>
    <format dxfId="169">
      <pivotArea type="topRight" dataOnly="0" labelOnly="1" outline="0" fieldPosition="0"/>
    </format>
    <format dxfId="168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67">
      <pivotArea field="6" type="button" dataOnly="0" labelOnly="1" outline="0" axis="axisRow" fieldPosition="3"/>
    </format>
    <format dxfId="166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65">
      <pivotArea field="36" type="button" dataOnly="0" labelOnly="1" outline="0"/>
    </format>
    <format dxfId="164">
      <pivotArea field="23" type="button" dataOnly="0" labelOnly="1" outline="0" axis="axisPage" fieldPosition="0"/>
    </format>
    <format dxfId="163">
      <pivotArea dataOnly="0" labelOnly="1" outline="0" fieldPosition="0">
        <references count="1">
          <reference field="23" count="0"/>
        </references>
      </pivotArea>
    </format>
    <format dxfId="162">
      <pivotArea field="21" type="button" dataOnly="0" labelOnly="1" outline="0" axis="axisPage" fieldPosition="1"/>
    </format>
    <format dxfId="161">
      <pivotArea dataOnly="0" labelOnly="1" outline="0" fieldPosition="0">
        <references count="1">
          <reference field="21" count="0"/>
        </references>
      </pivotArea>
    </format>
    <format dxfId="160">
      <pivotArea type="origin" dataOnly="0" labelOnly="1" outline="0" fieldPosition="0"/>
    </format>
    <format dxfId="159">
      <pivotArea field="1" type="button" dataOnly="0" labelOnly="1" outline="0" axis="axisRow" fieldPosition="0"/>
    </format>
    <format dxfId="158">
      <pivotArea field="3" type="button" dataOnly="0" labelOnly="1" outline="0" axis="axisRow" fieldPosition="1"/>
    </format>
    <format dxfId="157">
      <pivotArea field="5" type="button" dataOnly="0" labelOnly="1" outline="0" axis="axisRow" fieldPosition="2"/>
    </format>
    <format dxfId="156">
      <pivotArea dataOnly="0" labelOnly="1" outline="0" fieldPosition="0">
        <references count="1">
          <reference field="1" count="10">
            <x v="5"/>
            <x v="7"/>
            <x v="8"/>
            <x v="9"/>
            <x v="10"/>
            <x v="11"/>
            <x v="14"/>
            <x v="15"/>
            <x v="21"/>
            <x v="29"/>
          </reference>
        </references>
      </pivotArea>
    </format>
    <format dxfId="155">
      <pivotArea dataOnly="0" labelOnly="1" grandRow="1" outline="0" fieldPosition="0"/>
    </format>
    <format dxfId="154">
      <pivotArea dataOnly="0" labelOnly="1" outline="0" fieldPosition="0">
        <references count="2">
          <reference field="1" count="1" selected="0">
            <x v="5"/>
          </reference>
          <reference field="3" count="7">
            <x v="3"/>
            <x v="5"/>
            <x v="7"/>
            <x v="9"/>
            <x v="10"/>
            <x v="12"/>
            <x v="13"/>
          </reference>
        </references>
      </pivotArea>
    </format>
    <format dxfId="153">
      <pivotArea dataOnly="0" labelOnly="1" outline="0" fieldPosition="0">
        <references count="2">
          <reference field="1" count="1" selected="0">
            <x v="7"/>
          </reference>
          <reference field="3" count="1">
            <x v="12"/>
          </reference>
        </references>
      </pivotArea>
    </format>
    <format dxfId="152">
      <pivotArea dataOnly="0" labelOnly="1" outline="0" fieldPosition="0">
        <references count="2">
          <reference field="1" count="1" selected="0">
            <x v="8"/>
          </reference>
          <reference field="3" count="2">
            <x v="5"/>
            <x v="12"/>
          </reference>
        </references>
      </pivotArea>
    </format>
    <format dxfId="151">
      <pivotArea dataOnly="0" labelOnly="1" outline="0" fieldPosition="0">
        <references count="2">
          <reference field="1" count="1" selected="0">
            <x v="10"/>
          </reference>
          <reference field="3" count="3">
            <x v="4"/>
            <x v="5"/>
            <x v="12"/>
          </reference>
        </references>
      </pivotArea>
    </format>
    <format dxfId="150">
      <pivotArea dataOnly="0" labelOnly="1" outline="0" fieldPosition="0">
        <references count="2">
          <reference field="1" count="1" selected="0">
            <x v="11"/>
          </reference>
          <reference field="3" count="4">
            <x v="10"/>
            <x v="11"/>
            <x v="12"/>
            <x v="13"/>
          </reference>
        </references>
      </pivotArea>
    </format>
    <format dxfId="149">
      <pivotArea dataOnly="0" labelOnly="1" outline="0" fieldPosition="0">
        <references count="2">
          <reference field="1" count="1" selected="0">
            <x v="14"/>
          </reference>
          <reference field="3" count="1">
            <x v="12"/>
          </reference>
        </references>
      </pivotArea>
    </format>
    <format dxfId="148">
      <pivotArea dataOnly="0" labelOnly="1" outline="0" fieldPosition="0">
        <references count="2">
          <reference field="1" count="1" selected="0">
            <x v="15"/>
          </reference>
          <reference field="3" count="5">
            <x v="2"/>
            <x v="5"/>
            <x v="10"/>
            <x v="12"/>
            <x v="13"/>
          </reference>
        </references>
      </pivotArea>
    </format>
    <format dxfId="147">
      <pivotArea dataOnly="0" labelOnly="1" outline="0" fieldPosition="0">
        <references count="2">
          <reference field="1" count="1" selected="0">
            <x v="21"/>
          </reference>
          <reference field="3" count="1">
            <x v="12"/>
          </reference>
        </references>
      </pivotArea>
    </format>
    <format dxfId="146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3"/>
          </reference>
          <reference field="5" count="3">
            <x v="18"/>
            <x v="30"/>
            <x v="31"/>
          </reference>
        </references>
      </pivotArea>
    </format>
    <format dxfId="145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5"/>
          </reference>
          <reference field="5" count="4">
            <x v="13"/>
            <x v="24"/>
            <x v="26"/>
            <x v="27"/>
          </reference>
        </references>
      </pivotArea>
    </format>
    <format dxfId="144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7"/>
          </reference>
          <reference field="5" count="1">
            <x v="0"/>
          </reference>
        </references>
      </pivotArea>
    </format>
    <format dxfId="143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10"/>
          </reference>
          <reference field="5" count="3">
            <x v="11"/>
            <x v="12"/>
            <x v="13"/>
          </reference>
        </references>
      </pivotArea>
    </format>
    <format dxfId="142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12"/>
          </reference>
          <reference field="5" count="8"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141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13"/>
          </reference>
          <reference field="5" count="5">
            <x v="1"/>
            <x v="3"/>
            <x v="6"/>
            <x v="7"/>
            <x v="8"/>
          </reference>
        </references>
      </pivotArea>
    </format>
    <format dxfId="140">
      <pivotArea dataOnly="0" labelOnly="1" outline="0" fieldPosition="0">
        <references count="3">
          <reference field="1" count="1" selected="0">
            <x v="7"/>
          </reference>
          <reference field="3" count="1" selected="0">
            <x v="12"/>
          </reference>
          <reference field="5" count="5">
            <x v="125"/>
            <x v="126"/>
            <x v="127"/>
            <x v="128"/>
            <x v="129"/>
          </reference>
        </references>
      </pivotArea>
    </format>
    <format dxfId="139">
      <pivotArea dataOnly="0" labelOnly="1" outline="0" fieldPosition="0">
        <references count="3">
          <reference field="1" count="1" selected="0">
            <x v="8"/>
          </reference>
          <reference field="3" count="1" selected="0">
            <x v="5"/>
          </reference>
          <reference field="5" count="1">
            <x v="30"/>
          </reference>
        </references>
      </pivotArea>
    </format>
    <format dxfId="138">
      <pivotArea dataOnly="0" labelOnly="1" outline="0" fieldPosition="0">
        <references count="3">
          <reference field="1" count="1" selected="0">
            <x v="8"/>
          </reference>
          <reference field="3" count="1" selected="0">
            <x v="12"/>
          </reference>
          <reference field="5" count="1">
            <x v="63"/>
          </reference>
        </references>
      </pivotArea>
    </format>
    <format dxfId="137">
      <pivotArea dataOnly="0" labelOnly="1" outline="0" fieldPosition="0">
        <references count="3">
          <reference field="1" count="1" selected="0">
            <x v="9"/>
          </reference>
          <reference field="3" count="1" selected="0">
            <x v="12"/>
          </reference>
          <reference field="5" count="3">
            <x v="15"/>
            <x v="16"/>
            <x v="20"/>
          </reference>
        </references>
      </pivotArea>
    </format>
    <format dxfId="136">
      <pivotArea dataOnly="0" labelOnly="1" outline="0" fieldPosition="0">
        <references count="3">
          <reference field="1" count="1" selected="0">
            <x v="10"/>
          </reference>
          <reference field="3" count="1" selected="0">
            <x v="4"/>
          </reference>
          <reference field="5" count="1">
            <x v="0"/>
          </reference>
        </references>
      </pivotArea>
    </format>
    <format dxfId="135">
      <pivotArea dataOnly="0" labelOnly="1" outline="0" fieldPosition="0">
        <references count="3">
          <reference field="1" count="1" selected="0">
            <x v="10"/>
          </reference>
          <reference field="3" count="1" selected="0">
            <x v="5"/>
          </reference>
          <reference field="5" count="1">
            <x v="8"/>
          </reference>
        </references>
      </pivotArea>
    </format>
    <format dxfId="134">
      <pivotArea dataOnly="0" labelOnly="1" outline="0" fieldPosition="0">
        <references count="3">
          <reference field="1" count="1" selected="0">
            <x v="10"/>
          </reference>
          <reference field="3" count="1" selected="0">
            <x v="12"/>
          </reference>
          <reference field="5" count="3">
            <x v="21"/>
            <x v="64"/>
            <x v="74"/>
          </reference>
        </references>
      </pivotArea>
    </format>
    <format dxfId="133">
      <pivotArea dataOnly="0" labelOnly="1" outline="0" fieldPosition="0">
        <references count="3">
          <reference field="1" count="1" selected="0">
            <x v="11"/>
          </reference>
          <reference field="3" count="1" selected="0">
            <x v="10"/>
          </reference>
          <reference field="5" count="1">
            <x v="16"/>
          </reference>
        </references>
      </pivotArea>
    </format>
    <format dxfId="132">
      <pivotArea dataOnly="0" labelOnly="1" outline="0" fieldPosition="0">
        <references count="3">
          <reference field="1" count="1" selected="0">
            <x v="11"/>
          </reference>
          <reference field="3" count="1" selected="0">
            <x v="11"/>
          </reference>
          <reference field="5" count="1">
            <x v="0"/>
          </reference>
        </references>
      </pivotArea>
    </format>
    <format dxfId="131">
      <pivotArea dataOnly="0" labelOnly="1" outline="0" fieldPosition="0">
        <references count="3">
          <reference field="1" count="1" selected="0">
            <x v="11"/>
          </reference>
          <reference field="3" count="1" selected="0">
            <x v="12"/>
          </reference>
          <reference field="5" count="3">
            <x v="36"/>
            <x v="64"/>
            <x v="105"/>
          </reference>
        </references>
      </pivotArea>
    </format>
    <format dxfId="130">
      <pivotArea dataOnly="0" labelOnly="1" outline="0" fieldPosition="0">
        <references count="3">
          <reference field="1" count="1" selected="0">
            <x v="11"/>
          </reference>
          <reference field="3" count="1" selected="0">
            <x v="13"/>
          </reference>
          <reference field="5" count="1">
            <x v="4"/>
          </reference>
        </references>
      </pivotArea>
    </format>
    <format dxfId="129">
      <pivotArea dataOnly="0" labelOnly="1" outline="0" fieldPosition="0">
        <references count="3">
          <reference field="1" count="1" selected="0">
            <x v="14"/>
          </reference>
          <reference field="3" count="1" selected="0">
            <x v="12"/>
          </reference>
          <reference field="5" count="3">
            <x v="69"/>
            <x v="70"/>
            <x v="108"/>
          </reference>
        </references>
      </pivotArea>
    </format>
    <format dxfId="128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2"/>
          </reference>
          <reference field="5" count="1">
            <x v="4"/>
          </reference>
        </references>
      </pivotArea>
    </format>
    <format dxfId="127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5"/>
          </reference>
          <reference field="5" count="3">
            <x v="80"/>
            <x v="82"/>
            <x v="85"/>
          </reference>
        </references>
      </pivotArea>
    </format>
    <format dxfId="126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10"/>
          </reference>
          <reference field="5" count="1">
            <x v="1"/>
          </reference>
        </references>
      </pivotArea>
    </format>
    <format dxfId="125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12"/>
          </reference>
          <reference field="5" count="6">
            <x v="43"/>
            <x v="45"/>
            <x v="63"/>
            <x v="66"/>
            <x v="73"/>
            <x v="76"/>
          </reference>
        </references>
      </pivotArea>
    </format>
    <format dxfId="124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13"/>
          </reference>
          <reference field="5" count="5">
            <x v="2"/>
            <x v="4"/>
            <x v="19"/>
            <x v="21"/>
            <x v="28"/>
          </reference>
        </references>
      </pivotArea>
    </format>
    <format dxfId="123">
      <pivotArea dataOnly="0" labelOnly="1" outline="0" fieldPosition="0">
        <references count="3">
          <reference field="1" count="1" selected="0">
            <x v="21"/>
          </reference>
          <reference field="3" count="1" selected="0">
            <x v="12"/>
          </reference>
          <reference field="5" count="11">
            <x v="52"/>
            <x v="59"/>
            <x v="63"/>
            <x v="64"/>
            <x v="135"/>
            <x v="137"/>
            <x v="138"/>
            <x v="139"/>
            <x v="140"/>
            <x v="143"/>
            <x v="145"/>
          </reference>
        </references>
      </pivotArea>
    </format>
    <format dxfId="122">
      <pivotArea dataOnly="0" labelOnly="1" outline="0" fieldPosition="0">
        <references count="3">
          <reference field="1" count="1" selected="0">
            <x v="29"/>
          </reference>
          <reference field="3" count="1" selected="0">
            <x v="12"/>
          </reference>
          <reference field="5" count="1">
            <x v="37"/>
          </reference>
        </references>
      </pivotArea>
    </format>
    <format dxfId="121">
      <pivotArea field="23" type="button" dataOnly="0" labelOnly="1" outline="0" axis="axisPage" fieldPosition="0"/>
    </format>
    <format dxfId="120">
      <pivotArea dataOnly="0" labelOnly="1" outline="0" fieldPosition="0">
        <references count="1">
          <reference field="23" count="0"/>
        </references>
      </pivotArea>
    </format>
    <format dxfId="119">
      <pivotArea field="21" type="button" dataOnly="0" labelOnly="1" outline="0" axis="axisPage" fieldPosition="1"/>
    </format>
    <format dxfId="118">
      <pivotArea dataOnly="0" labelOnly="1" outline="0" fieldPosition="0">
        <references count="1">
          <reference field="21" count="0"/>
        </references>
      </pivotArea>
    </format>
    <format dxfId="117">
      <pivotArea type="origin" dataOnly="0" labelOnly="1" outline="0" fieldPosition="0"/>
    </format>
    <format dxfId="116">
      <pivotArea field="1" type="button" dataOnly="0" labelOnly="1" outline="0" axis="axisRow" fieldPosition="0"/>
    </format>
    <format dxfId="115">
      <pivotArea field="3" type="button" dataOnly="0" labelOnly="1" outline="0" axis="axisRow" fieldPosition="1"/>
    </format>
    <format dxfId="114">
      <pivotArea field="5" type="button" dataOnly="0" labelOnly="1" outline="0" axis="axisRow" fieldPosition="2"/>
    </format>
    <format dxfId="113">
      <pivotArea dataOnly="0" labelOnly="1" outline="0" fieldPosition="0">
        <references count="1">
          <reference field="1" count="10">
            <x v="5"/>
            <x v="7"/>
            <x v="8"/>
            <x v="9"/>
            <x v="10"/>
            <x v="11"/>
            <x v="14"/>
            <x v="15"/>
            <x v="21"/>
            <x v="29"/>
          </reference>
        </references>
      </pivotArea>
    </format>
    <format dxfId="112">
      <pivotArea dataOnly="0" labelOnly="1" grandRow="1" outline="0" fieldPosition="0"/>
    </format>
    <format dxfId="111">
      <pivotArea dataOnly="0" labelOnly="1" outline="0" fieldPosition="0">
        <references count="2">
          <reference field="1" count="1" selected="0">
            <x v="5"/>
          </reference>
          <reference field="3" count="7">
            <x v="3"/>
            <x v="5"/>
            <x v="7"/>
            <x v="9"/>
            <x v="10"/>
            <x v="12"/>
            <x v="13"/>
          </reference>
        </references>
      </pivotArea>
    </format>
    <format dxfId="110">
      <pivotArea dataOnly="0" labelOnly="1" outline="0" fieldPosition="0">
        <references count="2">
          <reference field="1" count="1" selected="0">
            <x v="7"/>
          </reference>
          <reference field="3" count="1">
            <x v="12"/>
          </reference>
        </references>
      </pivotArea>
    </format>
    <format dxfId="109">
      <pivotArea dataOnly="0" labelOnly="1" outline="0" fieldPosition="0">
        <references count="2">
          <reference field="1" count="1" selected="0">
            <x v="8"/>
          </reference>
          <reference field="3" count="2">
            <x v="5"/>
            <x v="12"/>
          </reference>
        </references>
      </pivotArea>
    </format>
    <format dxfId="108">
      <pivotArea dataOnly="0" labelOnly="1" outline="0" fieldPosition="0">
        <references count="2">
          <reference field="1" count="1" selected="0">
            <x v="10"/>
          </reference>
          <reference field="3" count="3">
            <x v="4"/>
            <x v="5"/>
            <x v="12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11"/>
          </reference>
          <reference field="3" count="4">
            <x v="10"/>
            <x v="11"/>
            <x v="12"/>
            <x v="13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14"/>
          </reference>
          <reference field="3" count="1">
            <x v="12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15"/>
          </reference>
          <reference field="3" count="5">
            <x v="2"/>
            <x v="5"/>
            <x v="10"/>
            <x v="12"/>
            <x v="13"/>
          </reference>
        </references>
      </pivotArea>
    </format>
    <format dxfId="104">
      <pivotArea dataOnly="0" labelOnly="1" outline="0" fieldPosition="0">
        <references count="2">
          <reference field="1" count="1" selected="0">
            <x v="21"/>
          </reference>
          <reference field="3" count="1">
            <x v="12"/>
          </reference>
        </references>
      </pivotArea>
    </format>
    <format dxfId="103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3"/>
          </reference>
          <reference field="5" count="3">
            <x v="18"/>
            <x v="30"/>
            <x v="31"/>
          </reference>
        </references>
      </pivotArea>
    </format>
    <format dxfId="102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5"/>
          </reference>
          <reference field="5" count="4">
            <x v="13"/>
            <x v="24"/>
            <x v="26"/>
            <x v="27"/>
          </reference>
        </references>
      </pivotArea>
    </format>
    <format dxfId="101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7"/>
          </reference>
          <reference field="5" count="1">
            <x v="0"/>
          </reference>
        </references>
      </pivotArea>
    </format>
    <format dxfId="100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10"/>
          </reference>
          <reference field="5" count="3">
            <x v="11"/>
            <x v="12"/>
            <x v="13"/>
          </reference>
        </references>
      </pivotArea>
    </format>
    <format dxfId="99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12"/>
          </reference>
          <reference field="5" count="8"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98">
      <pivotArea dataOnly="0" labelOnly="1" outline="0" fieldPosition="0">
        <references count="3">
          <reference field="1" count="1" selected="0">
            <x v="5"/>
          </reference>
          <reference field="3" count="1" selected="0">
            <x v="13"/>
          </reference>
          <reference field="5" count="5">
            <x v="1"/>
            <x v="3"/>
            <x v="6"/>
            <x v="7"/>
            <x v="8"/>
          </reference>
        </references>
      </pivotArea>
    </format>
    <format dxfId="97">
      <pivotArea dataOnly="0" labelOnly="1" outline="0" fieldPosition="0">
        <references count="3">
          <reference field="1" count="1" selected="0">
            <x v="7"/>
          </reference>
          <reference field="3" count="1" selected="0">
            <x v="12"/>
          </reference>
          <reference field="5" count="5">
            <x v="125"/>
            <x v="126"/>
            <x v="127"/>
            <x v="128"/>
            <x v="129"/>
          </reference>
        </references>
      </pivotArea>
    </format>
    <format dxfId="96">
      <pivotArea dataOnly="0" labelOnly="1" outline="0" fieldPosition="0">
        <references count="3">
          <reference field="1" count="1" selected="0">
            <x v="8"/>
          </reference>
          <reference field="3" count="1" selected="0">
            <x v="5"/>
          </reference>
          <reference field="5" count="1">
            <x v="30"/>
          </reference>
        </references>
      </pivotArea>
    </format>
    <format dxfId="95">
      <pivotArea dataOnly="0" labelOnly="1" outline="0" fieldPosition="0">
        <references count="3">
          <reference field="1" count="1" selected="0">
            <x v="8"/>
          </reference>
          <reference field="3" count="1" selected="0">
            <x v="12"/>
          </reference>
          <reference field="5" count="1">
            <x v="63"/>
          </reference>
        </references>
      </pivotArea>
    </format>
    <format dxfId="94">
      <pivotArea dataOnly="0" labelOnly="1" outline="0" fieldPosition="0">
        <references count="3">
          <reference field="1" count="1" selected="0">
            <x v="9"/>
          </reference>
          <reference field="3" count="1" selected="0">
            <x v="12"/>
          </reference>
          <reference field="5" count="3">
            <x v="15"/>
            <x v="16"/>
            <x v="20"/>
          </reference>
        </references>
      </pivotArea>
    </format>
    <format dxfId="93">
      <pivotArea dataOnly="0" labelOnly="1" outline="0" fieldPosition="0">
        <references count="3">
          <reference field="1" count="1" selected="0">
            <x v="10"/>
          </reference>
          <reference field="3" count="1" selected="0">
            <x v="4"/>
          </reference>
          <reference field="5" count="1">
            <x v="0"/>
          </reference>
        </references>
      </pivotArea>
    </format>
    <format dxfId="92">
      <pivotArea dataOnly="0" labelOnly="1" outline="0" fieldPosition="0">
        <references count="3">
          <reference field="1" count="1" selected="0">
            <x v="10"/>
          </reference>
          <reference field="3" count="1" selected="0">
            <x v="5"/>
          </reference>
          <reference field="5" count="1">
            <x v="8"/>
          </reference>
        </references>
      </pivotArea>
    </format>
    <format dxfId="91">
      <pivotArea dataOnly="0" labelOnly="1" outline="0" fieldPosition="0">
        <references count="3">
          <reference field="1" count="1" selected="0">
            <x v="10"/>
          </reference>
          <reference field="3" count="1" selected="0">
            <x v="12"/>
          </reference>
          <reference field="5" count="3">
            <x v="21"/>
            <x v="64"/>
            <x v="74"/>
          </reference>
        </references>
      </pivotArea>
    </format>
    <format dxfId="90">
      <pivotArea dataOnly="0" labelOnly="1" outline="0" fieldPosition="0">
        <references count="3">
          <reference field="1" count="1" selected="0">
            <x v="11"/>
          </reference>
          <reference field="3" count="1" selected="0">
            <x v="10"/>
          </reference>
          <reference field="5" count="1">
            <x v="16"/>
          </reference>
        </references>
      </pivotArea>
    </format>
    <format dxfId="89">
      <pivotArea dataOnly="0" labelOnly="1" outline="0" fieldPosition="0">
        <references count="3">
          <reference field="1" count="1" selected="0">
            <x v="11"/>
          </reference>
          <reference field="3" count="1" selected="0">
            <x v="11"/>
          </reference>
          <reference field="5" count="1">
            <x v="0"/>
          </reference>
        </references>
      </pivotArea>
    </format>
    <format dxfId="88">
      <pivotArea dataOnly="0" labelOnly="1" outline="0" fieldPosition="0">
        <references count="3">
          <reference field="1" count="1" selected="0">
            <x v="11"/>
          </reference>
          <reference field="3" count="1" selected="0">
            <x v="12"/>
          </reference>
          <reference field="5" count="3">
            <x v="36"/>
            <x v="64"/>
            <x v="105"/>
          </reference>
        </references>
      </pivotArea>
    </format>
    <format dxfId="87">
      <pivotArea dataOnly="0" labelOnly="1" outline="0" fieldPosition="0">
        <references count="3">
          <reference field="1" count="1" selected="0">
            <x v="11"/>
          </reference>
          <reference field="3" count="1" selected="0">
            <x v="13"/>
          </reference>
          <reference field="5" count="1">
            <x v="4"/>
          </reference>
        </references>
      </pivotArea>
    </format>
    <format dxfId="86">
      <pivotArea dataOnly="0" labelOnly="1" outline="0" fieldPosition="0">
        <references count="3">
          <reference field="1" count="1" selected="0">
            <x v="14"/>
          </reference>
          <reference field="3" count="1" selected="0">
            <x v="12"/>
          </reference>
          <reference field="5" count="3">
            <x v="69"/>
            <x v="70"/>
            <x v="108"/>
          </reference>
        </references>
      </pivotArea>
    </format>
    <format dxfId="85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2"/>
          </reference>
          <reference field="5" count="1">
            <x v="4"/>
          </reference>
        </references>
      </pivotArea>
    </format>
    <format dxfId="84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5"/>
          </reference>
          <reference field="5" count="3">
            <x v="80"/>
            <x v="82"/>
            <x v="85"/>
          </reference>
        </references>
      </pivotArea>
    </format>
    <format dxfId="83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10"/>
          </reference>
          <reference field="5" count="1">
            <x v="1"/>
          </reference>
        </references>
      </pivotArea>
    </format>
    <format dxfId="82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12"/>
          </reference>
          <reference field="5" count="6">
            <x v="43"/>
            <x v="45"/>
            <x v="63"/>
            <x v="66"/>
            <x v="73"/>
            <x v="76"/>
          </reference>
        </references>
      </pivotArea>
    </format>
    <format dxfId="81">
      <pivotArea dataOnly="0" labelOnly="1" outline="0" fieldPosition="0">
        <references count="3">
          <reference field="1" count="1" selected="0">
            <x v="15"/>
          </reference>
          <reference field="3" count="1" selected="0">
            <x v="13"/>
          </reference>
          <reference field="5" count="5">
            <x v="2"/>
            <x v="4"/>
            <x v="19"/>
            <x v="21"/>
            <x v="28"/>
          </reference>
        </references>
      </pivotArea>
    </format>
    <format dxfId="80">
      <pivotArea dataOnly="0" labelOnly="1" outline="0" fieldPosition="0">
        <references count="3">
          <reference field="1" count="1" selected="0">
            <x v="21"/>
          </reference>
          <reference field="3" count="1" selected="0">
            <x v="12"/>
          </reference>
          <reference field="5" count="11">
            <x v="52"/>
            <x v="59"/>
            <x v="63"/>
            <x v="64"/>
            <x v="135"/>
            <x v="137"/>
            <x v="138"/>
            <x v="139"/>
            <x v="140"/>
            <x v="143"/>
            <x v="145"/>
          </reference>
        </references>
      </pivotArea>
    </format>
    <format dxfId="79">
      <pivotArea dataOnly="0" labelOnly="1" outline="0" fieldPosition="0">
        <references count="3">
          <reference field="1" count="1" selected="0">
            <x v="29"/>
          </reference>
          <reference field="3" count="1" selected="0">
            <x v="12"/>
          </reference>
          <reference field="5" count="1">
            <x v="37"/>
          </reference>
        </references>
      </pivotArea>
    </format>
    <format dxfId="78">
      <pivotArea field="6" type="button" dataOnly="0" labelOnly="1" outline="0" axis="axisRow" fieldPosition="3"/>
    </format>
    <format dxfId="77">
      <pivotArea dataOnly="0" labelOnly="1" grandRow="1" outline="0" fieldPosition="0"/>
    </format>
    <format dxfId="76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3"/>
          </reference>
          <reference field="5" count="1" selected="0">
            <x v="18"/>
          </reference>
          <reference field="6" count="1">
            <x v="3"/>
          </reference>
        </references>
      </pivotArea>
    </format>
    <format dxfId="75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3"/>
          </reference>
          <reference field="5" count="1" selected="0">
            <x v="30"/>
          </reference>
          <reference field="6" count="1">
            <x v="79"/>
          </reference>
        </references>
      </pivotArea>
    </format>
    <format dxfId="74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3"/>
          </reference>
          <reference field="5" count="1" selected="0">
            <x v="31"/>
          </reference>
          <reference field="6" count="1">
            <x v="208"/>
          </reference>
        </references>
      </pivotArea>
    </format>
    <format dxfId="73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5"/>
          </reference>
          <reference field="5" count="1" selected="0">
            <x v="13"/>
          </reference>
          <reference field="6" count="1">
            <x v="272"/>
          </reference>
        </references>
      </pivotArea>
    </format>
    <format dxfId="72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5"/>
          </reference>
          <reference field="5" count="1" selected="0">
            <x v="24"/>
          </reference>
          <reference field="6" count="1">
            <x v="473"/>
          </reference>
        </references>
      </pivotArea>
    </format>
    <format dxfId="71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5"/>
          </reference>
          <reference field="5" count="1" selected="0">
            <x v="26"/>
          </reference>
          <reference field="6" count="1">
            <x v="249"/>
          </reference>
        </references>
      </pivotArea>
    </format>
    <format dxfId="70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5"/>
          </reference>
          <reference field="5" count="1" selected="0">
            <x v="27"/>
          </reference>
          <reference field="6" count="1">
            <x v="161"/>
          </reference>
        </references>
      </pivotArea>
    </format>
    <format dxfId="69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7"/>
          </reference>
          <reference field="5" count="1" selected="0">
            <x v="0"/>
          </reference>
          <reference field="6" count="1">
            <x v="5"/>
          </reference>
        </references>
      </pivotArea>
    </format>
    <format dxfId="68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9"/>
          </reference>
          <reference field="5" count="1" selected="0">
            <x v="0"/>
          </reference>
          <reference field="6" count="1">
            <x v="4"/>
          </reference>
        </references>
      </pivotArea>
    </format>
    <format dxfId="67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0"/>
          </reference>
          <reference field="5" count="1" selected="0">
            <x v="11"/>
          </reference>
          <reference field="6" count="1">
            <x v="240"/>
          </reference>
        </references>
      </pivotArea>
    </format>
    <format dxfId="66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0"/>
          </reference>
          <reference field="5" count="1" selected="0">
            <x v="12"/>
          </reference>
          <reference field="6" count="1">
            <x v="276"/>
          </reference>
        </references>
      </pivotArea>
    </format>
    <format dxfId="65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0"/>
          </reference>
          <reference field="5" count="1" selected="0">
            <x v="13"/>
          </reference>
          <reference field="6" count="1">
            <x v="1"/>
          </reference>
        </references>
      </pivotArea>
    </format>
    <format dxfId="64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2"/>
          </reference>
          <reference field="5" count="1" selected="0">
            <x v="96"/>
          </reference>
          <reference field="6" count="1">
            <x v="393"/>
          </reference>
        </references>
      </pivotArea>
    </format>
    <format dxfId="63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2"/>
          </reference>
          <reference field="5" count="1" selected="0">
            <x v="97"/>
          </reference>
          <reference field="6" count="1">
            <x v="355"/>
          </reference>
        </references>
      </pivotArea>
    </format>
    <format dxfId="62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2"/>
          </reference>
          <reference field="5" count="1" selected="0">
            <x v="98"/>
          </reference>
          <reference field="6" count="1">
            <x v="376"/>
          </reference>
        </references>
      </pivotArea>
    </format>
    <format dxfId="61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2"/>
          </reference>
          <reference field="5" count="1" selected="0">
            <x v="99"/>
          </reference>
          <reference field="6" count="1">
            <x v="384"/>
          </reference>
        </references>
      </pivotArea>
    </format>
    <format dxfId="60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2"/>
          </reference>
          <reference field="5" count="1" selected="0">
            <x v="100"/>
          </reference>
          <reference field="6" count="1">
            <x v="391"/>
          </reference>
        </references>
      </pivotArea>
    </format>
    <format dxfId="59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2"/>
          </reference>
          <reference field="5" count="1" selected="0">
            <x v="101"/>
          </reference>
          <reference field="6" count="1">
            <x v="349"/>
          </reference>
        </references>
      </pivotArea>
    </format>
    <format dxfId="58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2"/>
          </reference>
          <reference field="5" count="1" selected="0">
            <x v="102"/>
          </reference>
          <reference field="6" count="1">
            <x v="392"/>
          </reference>
        </references>
      </pivotArea>
    </format>
    <format dxfId="57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2"/>
          </reference>
          <reference field="5" count="1" selected="0">
            <x v="103"/>
          </reference>
          <reference field="6" count="1">
            <x v="337"/>
          </reference>
        </references>
      </pivotArea>
    </format>
    <format dxfId="56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3"/>
          </reference>
          <reference field="5" count="1" selected="0">
            <x v="1"/>
          </reference>
          <reference field="6" count="1">
            <x v="459"/>
          </reference>
        </references>
      </pivotArea>
    </format>
    <format dxfId="55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3"/>
          </reference>
          <reference field="5" count="1" selected="0">
            <x v="3"/>
          </reference>
          <reference field="6" count="1">
            <x v="32"/>
          </reference>
        </references>
      </pivotArea>
    </format>
    <format dxfId="54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3"/>
          </reference>
          <reference field="5" count="1" selected="0">
            <x v="6"/>
          </reference>
          <reference field="6" count="1">
            <x v="53"/>
          </reference>
        </references>
      </pivotArea>
    </format>
    <format dxfId="53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3"/>
          </reference>
          <reference field="5" count="1" selected="0">
            <x v="7"/>
          </reference>
          <reference field="6" count="1">
            <x v="248"/>
          </reference>
        </references>
      </pivotArea>
    </format>
    <format dxfId="52">
      <pivotArea dataOnly="0" labelOnly="1" outline="0" fieldPosition="0">
        <references count="4">
          <reference field="1" count="1" selected="0">
            <x v="5"/>
          </reference>
          <reference field="3" count="1" selected="0">
            <x v="13"/>
          </reference>
          <reference field="5" count="1" selected="0">
            <x v="8"/>
          </reference>
          <reference field="6" count="1">
            <x v="168"/>
          </reference>
        </references>
      </pivotArea>
    </format>
    <format dxfId="51">
      <pivotArea dataOnly="0" labelOnly="1" outline="0" fieldPosition="0">
        <references count="4">
          <reference field="1" count="1" selected="0">
            <x v="7"/>
          </reference>
          <reference field="3" count="1" selected="0">
            <x v="12"/>
          </reference>
          <reference field="5" count="1" selected="0">
            <x v="125"/>
          </reference>
          <reference field="6" count="1">
            <x v="323"/>
          </reference>
        </references>
      </pivotArea>
    </format>
    <format dxfId="50">
      <pivotArea dataOnly="0" labelOnly="1" outline="0" fieldPosition="0">
        <references count="4">
          <reference field="1" count="1" selected="0">
            <x v="7"/>
          </reference>
          <reference field="3" count="1" selected="0">
            <x v="12"/>
          </reference>
          <reference field="5" count="1" selected="0">
            <x v="126"/>
          </reference>
          <reference field="6" count="1">
            <x v="327"/>
          </reference>
        </references>
      </pivotArea>
    </format>
    <format dxfId="49">
      <pivotArea dataOnly="0" labelOnly="1" outline="0" fieldPosition="0">
        <references count="4">
          <reference field="1" count="1" selected="0">
            <x v="7"/>
          </reference>
          <reference field="3" count="1" selected="0">
            <x v="12"/>
          </reference>
          <reference field="5" count="1" selected="0">
            <x v="127"/>
          </reference>
          <reference field="6" count="1">
            <x v="362"/>
          </reference>
        </references>
      </pivotArea>
    </format>
    <format dxfId="48">
      <pivotArea dataOnly="0" labelOnly="1" outline="0" fieldPosition="0">
        <references count="4">
          <reference field="1" count="1" selected="0">
            <x v="7"/>
          </reference>
          <reference field="3" count="1" selected="0">
            <x v="12"/>
          </reference>
          <reference field="5" count="1" selected="0">
            <x v="128"/>
          </reference>
          <reference field="6" count="1">
            <x v="340"/>
          </reference>
        </references>
      </pivotArea>
    </format>
    <format dxfId="47">
      <pivotArea dataOnly="0" labelOnly="1" outline="0" fieldPosition="0">
        <references count="4">
          <reference field="1" count="1" selected="0">
            <x v="7"/>
          </reference>
          <reference field="3" count="1" selected="0">
            <x v="12"/>
          </reference>
          <reference field="5" count="1" selected="0">
            <x v="129"/>
          </reference>
          <reference field="6" count="1">
            <x v="368"/>
          </reference>
        </references>
      </pivotArea>
    </format>
    <format dxfId="46">
      <pivotArea dataOnly="0" labelOnly="1" outline="0" fieldPosition="0">
        <references count="4">
          <reference field="1" count="1" selected="0">
            <x v="8"/>
          </reference>
          <reference field="3" count="1" selected="0">
            <x v="5"/>
          </reference>
          <reference field="5" count="1" selected="0">
            <x v="30"/>
          </reference>
          <reference field="6" count="1">
            <x v="463"/>
          </reference>
        </references>
      </pivotArea>
    </format>
    <format dxfId="45">
      <pivotArea dataOnly="0" labelOnly="1" outline="0" fieldPosition="0">
        <references count="4">
          <reference field="1" count="1" selected="0">
            <x v="8"/>
          </reference>
          <reference field="3" count="1" selected="0">
            <x v="12"/>
          </reference>
          <reference field="5" count="1" selected="0">
            <x v="63"/>
          </reference>
          <reference field="6" count="1">
            <x v="345"/>
          </reference>
        </references>
      </pivotArea>
    </format>
    <format dxfId="44">
      <pivotArea dataOnly="0" labelOnly="1" outline="0" fieldPosition="0">
        <references count="4">
          <reference field="1" count="1" selected="0">
            <x v="9"/>
          </reference>
          <reference field="3" count="1" selected="0">
            <x v="12"/>
          </reference>
          <reference field="5" count="1" selected="0">
            <x v="15"/>
          </reference>
          <reference field="6" count="1">
            <x v="186"/>
          </reference>
        </references>
      </pivotArea>
    </format>
    <format dxfId="43">
      <pivotArea dataOnly="0" labelOnly="1" outline="0" fieldPosition="0">
        <references count="4">
          <reference field="1" count="1" selected="0">
            <x v="9"/>
          </reference>
          <reference field="3" count="1" selected="0">
            <x v="12"/>
          </reference>
          <reference field="5" count="1" selected="0">
            <x v="16"/>
          </reference>
          <reference field="6" count="1">
            <x v="187"/>
          </reference>
        </references>
      </pivotArea>
    </format>
    <format dxfId="42">
      <pivotArea dataOnly="0" labelOnly="1" outline="0" fieldPosition="0">
        <references count="4">
          <reference field="1" count="1" selected="0">
            <x v="9"/>
          </reference>
          <reference field="3" count="1" selected="0">
            <x v="12"/>
          </reference>
          <reference field="5" count="1" selected="0">
            <x v="20"/>
          </reference>
          <reference field="6" count="1">
            <x v="380"/>
          </reference>
        </references>
      </pivotArea>
    </format>
    <format dxfId="41">
      <pivotArea dataOnly="0" labelOnly="1" outline="0" fieldPosition="0">
        <references count="4">
          <reference field="1" count="1" selected="0">
            <x v="10"/>
          </reference>
          <reference field="3" count="1" selected="0">
            <x v="4"/>
          </reference>
          <reference field="5" count="1" selected="0">
            <x v="0"/>
          </reference>
          <reference field="6" count="1">
            <x v="255"/>
          </reference>
        </references>
      </pivotArea>
    </format>
    <format dxfId="40">
      <pivotArea dataOnly="0" labelOnly="1" outline="0" fieldPosition="0">
        <references count="4">
          <reference field="1" count="1" selected="0">
            <x v="10"/>
          </reference>
          <reference field="3" count="1" selected="0">
            <x v="5"/>
          </reference>
          <reference field="5" count="1" selected="0">
            <x v="8"/>
          </reference>
          <reference field="6" count="1">
            <x v="471"/>
          </reference>
        </references>
      </pivotArea>
    </format>
    <format dxfId="39">
      <pivotArea dataOnly="0" labelOnly="1" outline="0" fieldPosition="0">
        <references count="4">
          <reference field="1" count="1" selected="0">
            <x v="10"/>
          </reference>
          <reference field="3" count="1" selected="0">
            <x v="12"/>
          </reference>
          <reference field="5" count="1" selected="0">
            <x v="21"/>
          </reference>
          <reference field="6" count="1">
            <x v="343"/>
          </reference>
        </references>
      </pivotArea>
    </format>
    <format dxfId="38">
      <pivotArea dataOnly="0" labelOnly="1" outline="0" fieldPosition="0">
        <references count="4">
          <reference field="1" count="1" selected="0">
            <x v="10"/>
          </reference>
          <reference field="3" count="1" selected="0">
            <x v="12"/>
          </reference>
          <reference field="5" count="1" selected="0">
            <x v="64"/>
          </reference>
          <reference field="6" count="1">
            <x v="341"/>
          </reference>
        </references>
      </pivotArea>
    </format>
    <format dxfId="37">
      <pivotArea dataOnly="0" labelOnly="1" outline="0" fieldPosition="0">
        <references count="4">
          <reference field="1" count="1" selected="0">
            <x v="10"/>
          </reference>
          <reference field="3" count="1" selected="0">
            <x v="12"/>
          </reference>
          <reference field="5" count="1" selected="0">
            <x v="74"/>
          </reference>
          <reference field="6" count="1">
            <x v="342"/>
          </reference>
        </references>
      </pivotArea>
    </format>
    <format dxfId="36">
      <pivotArea dataOnly="0" labelOnly="1" outline="0" fieldPosition="0">
        <references count="4">
          <reference field="1" count="1" selected="0">
            <x v="11"/>
          </reference>
          <reference field="3" count="1" selected="0">
            <x v="10"/>
          </reference>
          <reference field="5" count="1" selected="0">
            <x v="16"/>
          </reference>
          <reference field="6" count="1">
            <x v="56"/>
          </reference>
        </references>
      </pivotArea>
    </format>
    <format dxfId="35">
      <pivotArea dataOnly="0" labelOnly="1" outline="0" fieldPosition="0">
        <references count="4">
          <reference field="1" count="1" selected="0">
            <x v="11"/>
          </reference>
          <reference field="3" count="1" selected="0">
            <x v="11"/>
          </reference>
          <reference field="5" count="1" selected="0">
            <x v="0"/>
          </reference>
          <reference field="6" count="1">
            <x v="98"/>
          </reference>
        </references>
      </pivotArea>
    </format>
    <format dxfId="34">
      <pivotArea dataOnly="0" labelOnly="1" outline="0" fieldPosition="0">
        <references count="4">
          <reference field="1" count="1" selected="0">
            <x v="11"/>
          </reference>
          <reference field="3" count="1" selected="0">
            <x v="12"/>
          </reference>
          <reference field="5" count="1" selected="0">
            <x v="36"/>
          </reference>
          <reference field="6" count="1">
            <x v="317"/>
          </reference>
        </references>
      </pivotArea>
    </format>
    <format dxfId="33">
      <pivotArea dataOnly="0" labelOnly="1" outline="0" fieldPosition="0">
        <references count="4">
          <reference field="1" count="1" selected="0">
            <x v="11"/>
          </reference>
          <reference field="3" count="1" selected="0">
            <x v="12"/>
          </reference>
          <reference field="5" count="1" selected="0">
            <x v="64"/>
          </reference>
          <reference field="6" count="1">
            <x v="341"/>
          </reference>
        </references>
      </pivotArea>
    </format>
    <format dxfId="32">
      <pivotArea dataOnly="0" labelOnly="1" outline="0" fieldPosition="0">
        <references count="4">
          <reference field="1" count="1" selected="0">
            <x v="11"/>
          </reference>
          <reference field="3" count="1" selected="0">
            <x v="12"/>
          </reference>
          <reference field="5" count="1" selected="0">
            <x v="105"/>
          </reference>
          <reference field="6" count="1">
            <x v="70"/>
          </reference>
        </references>
      </pivotArea>
    </format>
    <format dxfId="31">
      <pivotArea dataOnly="0" labelOnly="1" outline="0" fieldPosition="0">
        <references count="4">
          <reference field="1" count="1" selected="0">
            <x v="11"/>
          </reference>
          <reference field="3" count="1" selected="0">
            <x v="13"/>
          </reference>
          <reference field="5" count="1" selected="0">
            <x v="4"/>
          </reference>
          <reference field="6" count="1">
            <x v="508"/>
          </reference>
        </references>
      </pivotArea>
    </format>
    <format dxfId="30">
      <pivotArea dataOnly="0" labelOnly="1" outline="0" fieldPosition="0">
        <references count="4">
          <reference field="1" count="1" selected="0">
            <x v="14"/>
          </reference>
          <reference field="3" count="1" selected="0">
            <x v="12"/>
          </reference>
          <reference field="5" count="1" selected="0">
            <x v="69"/>
          </reference>
          <reference field="6" count="1">
            <x v="358"/>
          </reference>
        </references>
      </pivotArea>
    </format>
    <format dxfId="29">
      <pivotArea dataOnly="0" labelOnly="1" outline="0" fieldPosition="0">
        <references count="4">
          <reference field="1" count="1" selected="0">
            <x v="14"/>
          </reference>
          <reference field="3" count="1" selected="0">
            <x v="12"/>
          </reference>
          <reference field="5" count="1" selected="0">
            <x v="70"/>
          </reference>
          <reference field="6" count="1">
            <x v="183"/>
          </reference>
        </references>
      </pivotArea>
    </format>
    <format dxfId="28">
      <pivotArea dataOnly="0" labelOnly="1" outline="0" fieldPosition="0">
        <references count="4">
          <reference field="1" count="1" selected="0">
            <x v="14"/>
          </reference>
          <reference field="3" count="1" selected="0">
            <x v="12"/>
          </reference>
          <reference field="5" count="1" selected="0">
            <x v="108"/>
          </reference>
          <reference field="6" count="1">
            <x v="246"/>
          </reference>
        </references>
      </pivotArea>
    </format>
    <format dxfId="27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2"/>
          </reference>
          <reference field="5" count="1" selected="0">
            <x v="4"/>
          </reference>
          <reference field="6" count="1">
            <x v="294"/>
          </reference>
        </references>
      </pivotArea>
    </format>
    <format dxfId="26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5"/>
          </reference>
          <reference field="5" count="1" selected="0">
            <x v="80"/>
          </reference>
          <reference field="6" count="1">
            <x v="234"/>
          </reference>
        </references>
      </pivotArea>
    </format>
    <format dxfId="25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5"/>
          </reference>
          <reference field="5" count="1" selected="0">
            <x v="82"/>
          </reference>
          <reference field="6" count="1">
            <x v="233"/>
          </reference>
        </references>
      </pivotArea>
    </format>
    <format dxfId="24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5"/>
          </reference>
          <reference field="5" count="1" selected="0">
            <x v="85"/>
          </reference>
          <reference field="6" count="1">
            <x v="232"/>
          </reference>
        </references>
      </pivotArea>
    </format>
    <format dxfId="23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0"/>
          </reference>
          <reference field="5" count="1" selected="0">
            <x v="1"/>
          </reference>
          <reference field="6" count="1">
            <x v="280"/>
          </reference>
        </references>
      </pivotArea>
    </format>
    <format dxfId="22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2"/>
          </reference>
          <reference field="5" count="1" selected="0">
            <x v="43"/>
          </reference>
          <reference field="6" count="1">
            <x v="299"/>
          </reference>
        </references>
      </pivotArea>
    </format>
    <format dxfId="21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2"/>
          </reference>
          <reference field="5" count="1" selected="0">
            <x v="45"/>
          </reference>
          <reference field="6" count="1">
            <x v="336"/>
          </reference>
        </references>
      </pivotArea>
    </format>
    <format dxfId="20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2"/>
          </reference>
          <reference field="5" count="1" selected="0">
            <x v="63"/>
          </reference>
          <reference field="6" count="1">
            <x v="345"/>
          </reference>
        </references>
      </pivotArea>
    </format>
    <format dxfId="19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2"/>
          </reference>
          <reference field="5" count="1" selected="0">
            <x v="66"/>
          </reference>
          <reference field="6" count="1">
            <x v="390"/>
          </reference>
        </references>
      </pivotArea>
    </format>
    <format dxfId="18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2"/>
          </reference>
          <reference field="5" count="1" selected="0">
            <x v="73"/>
          </reference>
          <reference field="6" count="1">
            <x v="297"/>
          </reference>
        </references>
      </pivotArea>
    </format>
    <format dxfId="17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2"/>
          </reference>
          <reference field="5" count="1" selected="0">
            <x v="76"/>
          </reference>
          <reference field="6" count="1">
            <x v="295"/>
          </reference>
        </references>
      </pivotArea>
    </format>
    <format dxfId="16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3"/>
          </reference>
          <reference field="5" count="1" selected="0">
            <x v="2"/>
          </reference>
          <reference field="6" count="1">
            <x v="550"/>
          </reference>
        </references>
      </pivotArea>
    </format>
    <format dxfId="15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3"/>
          </reference>
          <reference field="5" count="1" selected="0">
            <x v="4"/>
          </reference>
          <reference field="6" count="1">
            <x v="551"/>
          </reference>
        </references>
      </pivotArea>
    </format>
    <format dxfId="14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3"/>
          </reference>
          <reference field="5" count="1" selected="0">
            <x v="19"/>
          </reference>
          <reference field="6" count="1">
            <x v="557"/>
          </reference>
        </references>
      </pivotArea>
    </format>
    <format dxfId="13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3"/>
          </reference>
          <reference field="5" count="1" selected="0">
            <x v="21"/>
          </reference>
          <reference field="6" count="1">
            <x v="559"/>
          </reference>
        </references>
      </pivotArea>
    </format>
    <format dxfId="12">
      <pivotArea dataOnly="0" labelOnly="1" outline="0" fieldPosition="0">
        <references count="4">
          <reference field="1" count="1" selected="0">
            <x v="15"/>
          </reference>
          <reference field="3" count="1" selected="0">
            <x v="13"/>
          </reference>
          <reference field="5" count="1" selected="0">
            <x v="28"/>
          </reference>
          <reference field="6" count="1">
            <x v="565"/>
          </reference>
        </references>
      </pivotArea>
    </format>
    <format dxfId="11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52"/>
          </reference>
          <reference field="6" count="1">
            <x v="610"/>
          </reference>
        </references>
      </pivotArea>
    </format>
    <format dxfId="10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59"/>
          </reference>
          <reference field="6" count="1">
            <x v="613"/>
          </reference>
        </references>
      </pivotArea>
    </format>
    <format dxfId="9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63"/>
          </reference>
          <reference field="6" count="1">
            <x v="345"/>
          </reference>
        </references>
      </pivotArea>
    </format>
    <format dxfId="8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64"/>
          </reference>
          <reference field="6" count="1">
            <x v="341"/>
          </reference>
        </references>
      </pivotArea>
    </format>
    <format dxfId="7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135"/>
          </reference>
          <reference field="6" count="1">
            <x v="608"/>
          </reference>
        </references>
      </pivotArea>
    </format>
    <format dxfId="6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137"/>
          </reference>
          <reference field="6" count="1">
            <x v="611"/>
          </reference>
        </references>
      </pivotArea>
    </format>
    <format dxfId="5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138"/>
          </reference>
          <reference field="6" count="1">
            <x v="614"/>
          </reference>
        </references>
      </pivotArea>
    </format>
    <format dxfId="4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139"/>
          </reference>
          <reference field="6" count="1">
            <x v="615"/>
          </reference>
        </references>
      </pivotArea>
    </format>
    <format dxfId="3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140"/>
          </reference>
          <reference field="6" count="1">
            <x v="616"/>
          </reference>
        </references>
      </pivotArea>
    </format>
    <format dxfId="2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143"/>
          </reference>
          <reference field="6" count="1">
            <x v="619"/>
          </reference>
        </references>
      </pivotArea>
    </format>
    <format dxfId="1">
      <pivotArea dataOnly="0" labelOnly="1" outline="0" fieldPosition="0">
        <references count="4">
          <reference field="1" count="1" selected="0">
            <x v="21"/>
          </reference>
          <reference field="3" count="1" selected="0">
            <x v="12"/>
          </reference>
          <reference field="5" count="1" selected="0">
            <x v="145"/>
          </reference>
          <reference field="6" count="1">
            <x v="621"/>
          </reference>
        </references>
      </pivotArea>
    </format>
    <format dxfId="0">
      <pivotArea dataOnly="0" labelOnly="1" outline="0" fieldPosition="0">
        <references count="4">
          <reference field="1" count="1" selected="0">
            <x v="29"/>
          </reference>
          <reference field="3" count="1" selected="0">
            <x v="12"/>
          </reference>
          <reference field="5" count="1" selected="0">
            <x v="37"/>
          </reference>
          <reference field="6" count="1">
            <x v="688"/>
          </reference>
        </references>
      </pivotArea>
    </format>
  </formats>
  <pivotTableStyleInfo name="PivotStyleMedium18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F1324"/>
  <sheetViews>
    <sheetView topLeftCell="A196" zoomScale="85" zoomScaleNormal="85" workbookViewId="0">
      <selection activeCell="A76" sqref="A76"/>
    </sheetView>
  </sheetViews>
  <sheetFormatPr baseColWidth="10" defaultRowHeight="15"/>
  <cols>
    <col min="2" max="2" width="15.42578125" bestFit="1" customWidth="1"/>
    <col min="3" max="3" width="64" style="2" bestFit="1" customWidth="1"/>
    <col min="4" max="4" width="6.42578125" style="2" bestFit="1" customWidth="1"/>
    <col min="5" max="5" width="5.85546875" bestFit="1" customWidth="1"/>
    <col min="6" max="6" width="17" bestFit="1" customWidth="1"/>
    <col min="7" max="7" width="18.140625" bestFit="1" customWidth="1"/>
    <col min="8" max="8" width="19.28515625" bestFit="1" customWidth="1"/>
    <col min="9" max="9" width="17" bestFit="1" customWidth="1"/>
    <col min="10" max="10" width="20.28515625" bestFit="1" customWidth="1"/>
  </cols>
  <sheetData>
    <row r="1" spans="1:6">
      <c r="B1" s="3" t="s">
        <v>9</v>
      </c>
      <c r="C1" s="4">
        <v>1</v>
      </c>
    </row>
    <row r="3" spans="1:6">
      <c r="B3" s="3" t="s">
        <v>606</v>
      </c>
      <c r="C3" s="3" t="s">
        <v>607</v>
      </c>
      <c r="D3" s="3" t="s">
        <v>608</v>
      </c>
      <c r="E3" s="3" t="s">
        <v>0</v>
      </c>
      <c r="F3" s="3" t="s">
        <v>1</v>
      </c>
    </row>
    <row r="4" spans="1:6">
      <c r="A4" t="s">
        <v>1037</v>
      </c>
      <c r="B4">
        <v>4</v>
      </c>
      <c r="C4" t="s">
        <v>14</v>
      </c>
      <c r="D4" t="s">
        <v>612</v>
      </c>
      <c r="E4">
        <v>2</v>
      </c>
      <c r="F4" t="s">
        <v>40</v>
      </c>
    </row>
    <row r="5" spans="1:6">
      <c r="A5" t="s">
        <v>1038</v>
      </c>
      <c r="B5">
        <v>5</v>
      </c>
      <c r="C5" t="s">
        <v>41</v>
      </c>
      <c r="D5" t="s">
        <v>613</v>
      </c>
      <c r="E5">
        <v>2</v>
      </c>
      <c r="F5" t="s">
        <v>42</v>
      </c>
    </row>
    <row r="6" spans="1:6">
      <c r="A6" t="s">
        <v>1039</v>
      </c>
      <c r="B6">
        <v>6</v>
      </c>
      <c r="C6" t="s">
        <v>617</v>
      </c>
      <c r="D6" t="s">
        <v>4</v>
      </c>
      <c r="E6">
        <v>1</v>
      </c>
      <c r="F6" t="s">
        <v>52</v>
      </c>
    </row>
    <row r="7" spans="1:6">
      <c r="A7" t="s">
        <v>1040</v>
      </c>
      <c r="B7">
        <v>6</v>
      </c>
      <c r="C7" t="s">
        <v>617</v>
      </c>
      <c r="D7" t="s">
        <v>4</v>
      </c>
      <c r="E7">
        <v>2</v>
      </c>
      <c r="F7" t="s">
        <v>54</v>
      </c>
    </row>
    <row r="8" spans="1:6">
      <c r="A8" t="s">
        <v>1041</v>
      </c>
      <c r="B8">
        <v>6</v>
      </c>
      <c r="C8" t="s">
        <v>617</v>
      </c>
      <c r="D8" t="s">
        <v>4</v>
      </c>
      <c r="E8">
        <v>10</v>
      </c>
      <c r="F8" t="s">
        <v>56</v>
      </c>
    </row>
    <row r="9" spans="1:6">
      <c r="A9" t="s">
        <v>1042</v>
      </c>
      <c r="B9">
        <v>6</v>
      </c>
      <c r="C9" t="s">
        <v>617</v>
      </c>
      <c r="D9" t="s">
        <v>4</v>
      </c>
      <c r="E9">
        <v>17</v>
      </c>
      <c r="F9" t="s">
        <v>58</v>
      </c>
    </row>
    <row r="10" spans="1:6">
      <c r="A10" t="s">
        <v>1043</v>
      </c>
      <c r="B10">
        <v>6</v>
      </c>
      <c r="C10" t="s">
        <v>617</v>
      </c>
      <c r="D10" t="s">
        <v>4</v>
      </c>
      <c r="E10">
        <v>19</v>
      </c>
      <c r="F10" t="s">
        <v>60</v>
      </c>
    </row>
    <row r="11" spans="1:6">
      <c r="A11" t="s">
        <v>1044</v>
      </c>
      <c r="B11">
        <v>6</v>
      </c>
      <c r="C11" t="s">
        <v>617</v>
      </c>
      <c r="D11" t="s">
        <v>4</v>
      </c>
      <c r="E11">
        <v>29</v>
      </c>
      <c r="F11" t="s">
        <v>64</v>
      </c>
    </row>
    <row r="12" spans="1:6">
      <c r="A12" t="s">
        <v>1045</v>
      </c>
      <c r="B12">
        <v>6</v>
      </c>
      <c r="C12" t="s">
        <v>617</v>
      </c>
      <c r="D12" t="s">
        <v>4</v>
      </c>
      <c r="E12">
        <v>30</v>
      </c>
      <c r="F12" t="s">
        <v>65</v>
      </c>
    </row>
    <row r="13" spans="1:6">
      <c r="A13" t="s">
        <v>1046</v>
      </c>
      <c r="B13">
        <v>6</v>
      </c>
      <c r="C13" t="s">
        <v>617</v>
      </c>
      <c r="D13" t="s">
        <v>4</v>
      </c>
      <c r="E13">
        <v>31</v>
      </c>
      <c r="F13" t="s">
        <v>66</v>
      </c>
    </row>
    <row r="14" spans="1:6">
      <c r="A14" t="s">
        <v>1047</v>
      </c>
      <c r="B14">
        <v>6</v>
      </c>
      <c r="C14" t="s">
        <v>617</v>
      </c>
      <c r="D14" t="s">
        <v>4</v>
      </c>
      <c r="E14">
        <v>32</v>
      </c>
      <c r="F14" t="s">
        <v>67</v>
      </c>
    </row>
    <row r="15" spans="1:6">
      <c r="A15" t="s">
        <v>1048</v>
      </c>
      <c r="B15">
        <v>6</v>
      </c>
      <c r="C15" t="s">
        <v>617</v>
      </c>
      <c r="D15" t="s">
        <v>4</v>
      </c>
      <c r="E15">
        <v>33</v>
      </c>
      <c r="F15" t="s">
        <v>68</v>
      </c>
    </row>
    <row r="16" spans="1:6">
      <c r="A16" t="s">
        <v>1049</v>
      </c>
      <c r="B16">
        <v>6</v>
      </c>
      <c r="C16" t="s">
        <v>617</v>
      </c>
      <c r="D16" t="s">
        <v>614</v>
      </c>
      <c r="E16">
        <v>14</v>
      </c>
      <c r="F16" t="s">
        <v>69</v>
      </c>
    </row>
    <row r="17" spans="1:6">
      <c r="A17" t="s">
        <v>1050</v>
      </c>
      <c r="B17">
        <v>6</v>
      </c>
      <c r="C17" t="s">
        <v>617</v>
      </c>
      <c r="D17" t="s">
        <v>614</v>
      </c>
      <c r="E17">
        <v>25</v>
      </c>
      <c r="F17" t="s">
        <v>44</v>
      </c>
    </row>
    <row r="18" spans="1:6">
      <c r="A18" t="s">
        <v>1051</v>
      </c>
      <c r="B18">
        <v>6</v>
      </c>
      <c r="C18" t="s">
        <v>617</v>
      </c>
      <c r="D18" t="s">
        <v>614</v>
      </c>
      <c r="E18">
        <v>27</v>
      </c>
      <c r="F18" t="s">
        <v>70</v>
      </c>
    </row>
    <row r="19" spans="1:6">
      <c r="A19" t="s">
        <v>1052</v>
      </c>
      <c r="B19">
        <v>6</v>
      </c>
      <c r="C19" t="s">
        <v>617</v>
      </c>
      <c r="D19" t="s">
        <v>614</v>
      </c>
      <c r="E19">
        <v>28</v>
      </c>
      <c r="F19" t="s">
        <v>71</v>
      </c>
    </row>
    <row r="20" spans="1:6">
      <c r="A20" t="s">
        <v>1053</v>
      </c>
      <c r="B20">
        <v>6</v>
      </c>
      <c r="C20" t="s">
        <v>617</v>
      </c>
      <c r="D20" t="s">
        <v>609</v>
      </c>
      <c r="E20">
        <v>1</v>
      </c>
      <c r="F20" t="s">
        <v>10</v>
      </c>
    </row>
    <row r="21" spans="1:6">
      <c r="A21" t="s">
        <v>1054</v>
      </c>
      <c r="B21">
        <v>6</v>
      </c>
      <c r="C21" t="s">
        <v>617</v>
      </c>
      <c r="D21" t="s">
        <v>610</v>
      </c>
      <c r="E21">
        <v>1</v>
      </c>
      <c r="F21" t="s">
        <v>11</v>
      </c>
    </row>
    <row r="22" spans="1:6">
      <c r="A22" t="s">
        <v>1055</v>
      </c>
      <c r="B22">
        <v>6</v>
      </c>
      <c r="C22" t="s">
        <v>617</v>
      </c>
      <c r="D22" t="s">
        <v>611</v>
      </c>
      <c r="E22">
        <v>12</v>
      </c>
      <c r="F22" t="s">
        <v>77</v>
      </c>
    </row>
    <row r="23" spans="1:6">
      <c r="A23" t="s">
        <v>1056</v>
      </c>
      <c r="B23">
        <v>6</v>
      </c>
      <c r="C23" t="s">
        <v>617</v>
      </c>
      <c r="D23" t="s">
        <v>611</v>
      </c>
      <c r="E23">
        <v>13</v>
      </c>
      <c r="F23" t="s">
        <v>78</v>
      </c>
    </row>
    <row r="24" spans="1:6">
      <c r="A24" t="s">
        <v>1057</v>
      </c>
      <c r="B24">
        <v>6</v>
      </c>
      <c r="C24" t="s">
        <v>617</v>
      </c>
      <c r="D24" t="s">
        <v>611</v>
      </c>
      <c r="E24">
        <v>14</v>
      </c>
      <c r="F24" t="s">
        <v>79</v>
      </c>
    </row>
    <row r="25" spans="1:6">
      <c r="A25" t="s">
        <v>1058</v>
      </c>
      <c r="B25">
        <v>6</v>
      </c>
      <c r="C25" t="s">
        <v>617</v>
      </c>
      <c r="D25" t="s">
        <v>619</v>
      </c>
      <c r="E25">
        <v>1</v>
      </c>
      <c r="F25" t="s">
        <v>80</v>
      </c>
    </row>
    <row r="26" spans="1:6">
      <c r="A26" t="s">
        <v>1059</v>
      </c>
      <c r="B26">
        <v>6</v>
      </c>
      <c r="C26" t="s">
        <v>617</v>
      </c>
      <c r="D26" t="s">
        <v>619</v>
      </c>
      <c r="E26">
        <v>172</v>
      </c>
      <c r="F26" t="s">
        <v>83</v>
      </c>
    </row>
    <row r="27" spans="1:6">
      <c r="A27" t="s">
        <v>1060</v>
      </c>
      <c r="B27">
        <v>6</v>
      </c>
      <c r="C27" t="s">
        <v>617</v>
      </c>
      <c r="D27" t="s">
        <v>619</v>
      </c>
      <c r="E27">
        <v>178</v>
      </c>
      <c r="F27" t="s">
        <v>85</v>
      </c>
    </row>
    <row r="28" spans="1:6">
      <c r="A28" t="s">
        <v>1061</v>
      </c>
      <c r="B28">
        <v>6</v>
      </c>
      <c r="C28" t="s">
        <v>617</v>
      </c>
      <c r="D28" t="s">
        <v>619</v>
      </c>
      <c r="E28">
        <v>179</v>
      </c>
      <c r="F28" t="s">
        <v>86</v>
      </c>
    </row>
    <row r="29" spans="1:6">
      <c r="A29" t="s">
        <v>1062</v>
      </c>
      <c r="B29">
        <v>6</v>
      </c>
      <c r="C29" t="s">
        <v>617</v>
      </c>
      <c r="D29" t="s">
        <v>619</v>
      </c>
      <c r="E29">
        <v>180</v>
      </c>
      <c r="F29" t="s">
        <v>87</v>
      </c>
    </row>
    <row r="30" spans="1:6">
      <c r="A30" t="s">
        <v>1063</v>
      </c>
      <c r="B30">
        <v>6</v>
      </c>
      <c r="C30" t="s">
        <v>617</v>
      </c>
      <c r="D30" t="s">
        <v>619</v>
      </c>
      <c r="E30">
        <v>181</v>
      </c>
      <c r="F30" t="s">
        <v>88</v>
      </c>
    </row>
    <row r="31" spans="1:6">
      <c r="A31" t="s">
        <v>1064</v>
      </c>
      <c r="B31">
        <v>6</v>
      </c>
      <c r="C31" t="s">
        <v>617</v>
      </c>
      <c r="D31" t="s">
        <v>619</v>
      </c>
      <c r="E31">
        <v>182</v>
      </c>
      <c r="F31" t="s">
        <v>89</v>
      </c>
    </row>
    <row r="32" spans="1:6">
      <c r="A32" t="s">
        <v>1065</v>
      </c>
      <c r="B32">
        <v>6</v>
      </c>
      <c r="C32" t="s">
        <v>617</v>
      </c>
      <c r="D32" t="s">
        <v>619</v>
      </c>
      <c r="E32">
        <v>183</v>
      </c>
      <c r="F32" t="s">
        <v>90</v>
      </c>
    </row>
    <row r="33" spans="1:6">
      <c r="A33" t="s">
        <v>1066</v>
      </c>
      <c r="B33">
        <v>6</v>
      </c>
      <c r="C33" t="s">
        <v>617</v>
      </c>
      <c r="D33" t="s">
        <v>619</v>
      </c>
      <c r="E33">
        <v>184</v>
      </c>
      <c r="F33" t="s">
        <v>91</v>
      </c>
    </row>
    <row r="34" spans="1:6">
      <c r="A34" t="s">
        <v>1067</v>
      </c>
      <c r="B34">
        <v>6</v>
      </c>
      <c r="C34" t="s">
        <v>617</v>
      </c>
      <c r="D34" t="s">
        <v>619</v>
      </c>
      <c r="E34">
        <v>185</v>
      </c>
      <c r="F34" t="s">
        <v>92</v>
      </c>
    </row>
    <row r="35" spans="1:6">
      <c r="A35" t="s">
        <v>1068</v>
      </c>
      <c r="B35">
        <v>6</v>
      </c>
      <c r="C35" t="s">
        <v>617</v>
      </c>
      <c r="D35" t="s">
        <v>619</v>
      </c>
      <c r="E35">
        <v>199</v>
      </c>
      <c r="F35" t="s">
        <v>93</v>
      </c>
    </row>
    <row r="36" spans="1:6">
      <c r="A36" t="s">
        <v>1069</v>
      </c>
      <c r="B36">
        <v>6</v>
      </c>
      <c r="C36" t="s">
        <v>617</v>
      </c>
      <c r="D36" t="s">
        <v>619</v>
      </c>
      <c r="E36">
        <v>210</v>
      </c>
      <c r="F36" t="s">
        <v>94</v>
      </c>
    </row>
    <row r="37" spans="1:6">
      <c r="A37" t="s">
        <v>1070</v>
      </c>
      <c r="B37">
        <v>6</v>
      </c>
      <c r="C37" t="s">
        <v>617</v>
      </c>
      <c r="D37" t="s">
        <v>616</v>
      </c>
      <c r="E37">
        <v>2</v>
      </c>
      <c r="F37" t="s">
        <v>96</v>
      </c>
    </row>
    <row r="38" spans="1:6">
      <c r="A38" t="s">
        <v>1071</v>
      </c>
      <c r="B38">
        <v>6</v>
      </c>
      <c r="C38" t="s">
        <v>617</v>
      </c>
      <c r="D38" t="s">
        <v>616</v>
      </c>
      <c r="E38">
        <v>4</v>
      </c>
      <c r="F38" t="s">
        <v>97</v>
      </c>
    </row>
    <row r="39" spans="1:6">
      <c r="A39" t="s">
        <v>1072</v>
      </c>
      <c r="B39">
        <v>6</v>
      </c>
      <c r="C39" t="s">
        <v>617</v>
      </c>
      <c r="D39" t="s">
        <v>616</v>
      </c>
      <c r="E39">
        <v>7</v>
      </c>
      <c r="F39" t="s">
        <v>98</v>
      </c>
    </row>
    <row r="40" spans="1:6">
      <c r="A40" t="s">
        <v>1073</v>
      </c>
      <c r="B40">
        <v>6</v>
      </c>
      <c r="C40" t="s">
        <v>617</v>
      </c>
      <c r="D40" t="s">
        <v>616</v>
      </c>
      <c r="E40">
        <v>8</v>
      </c>
      <c r="F40" t="s">
        <v>99</v>
      </c>
    </row>
    <row r="41" spans="1:6">
      <c r="A41" t="s">
        <v>1074</v>
      </c>
      <c r="B41">
        <v>6</v>
      </c>
      <c r="C41" t="s">
        <v>617</v>
      </c>
      <c r="D41" t="s">
        <v>616</v>
      </c>
      <c r="E41">
        <v>9</v>
      </c>
      <c r="F41" t="s">
        <v>100</v>
      </c>
    </row>
    <row r="42" spans="1:6">
      <c r="A42" t="s">
        <v>1075</v>
      </c>
      <c r="B42">
        <v>8</v>
      </c>
      <c r="C42" t="s">
        <v>621</v>
      </c>
      <c r="D42" t="s">
        <v>613</v>
      </c>
      <c r="E42">
        <v>1</v>
      </c>
      <c r="F42" t="s">
        <v>105</v>
      </c>
    </row>
    <row r="43" spans="1:6">
      <c r="A43" t="s">
        <v>1076</v>
      </c>
      <c r="B43">
        <v>8</v>
      </c>
      <c r="C43" t="s">
        <v>621</v>
      </c>
      <c r="D43" t="s">
        <v>613</v>
      </c>
      <c r="E43">
        <v>2</v>
      </c>
      <c r="F43" t="s">
        <v>108</v>
      </c>
    </row>
    <row r="44" spans="1:6">
      <c r="A44" t="s">
        <v>1077</v>
      </c>
      <c r="B44">
        <v>8</v>
      </c>
      <c r="C44" t="s">
        <v>621</v>
      </c>
      <c r="D44" t="s">
        <v>613</v>
      </c>
      <c r="E44">
        <v>3</v>
      </c>
      <c r="F44" t="s">
        <v>109</v>
      </c>
    </row>
    <row r="45" spans="1:6">
      <c r="A45" t="s">
        <v>1078</v>
      </c>
      <c r="B45">
        <v>8</v>
      </c>
      <c r="C45" t="s">
        <v>621</v>
      </c>
      <c r="D45" t="s">
        <v>613</v>
      </c>
      <c r="E45">
        <v>4</v>
      </c>
      <c r="F45" t="s">
        <v>110</v>
      </c>
    </row>
    <row r="46" spans="1:6">
      <c r="A46" t="s">
        <v>1079</v>
      </c>
      <c r="B46">
        <v>8</v>
      </c>
      <c r="C46" t="s">
        <v>621</v>
      </c>
      <c r="D46" t="s">
        <v>613</v>
      </c>
      <c r="E46">
        <v>5</v>
      </c>
      <c r="F46" t="s">
        <v>113</v>
      </c>
    </row>
    <row r="47" spans="1:6">
      <c r="A47" t="s">
        <v>1080</v>
      </c>
      <c r="B47">
        <v>8</v>
      </c>
      <c r="C47" t="s">
        <v>621</v>
      </c>
      <c r="D47" t="s">
        <v>613</v>
      </c>
      <c r="E47">
        <v>6</v>
      </c>
      <c r="F47" t="s">
        <v>116</v>
      </c>
    </row>
    <row r="48" spans="1:6">
      <c r="A48" t="s">
        <v>1081</v>
      </c>
      <c r="B48">
        <v>8</v>
      </c>
      <c r="C48" t="s">
        <v>621</v>
      </c>
      <c r="D48" t="s">
        <v>613</v>
      </c>
      <c r="E48">
        <v>8</v>
      </c>
      <c r="F48" t="s">
        <v>118</v>
      </c>
    </row>
    <row r="49" spans="1:6">
      <c r="A49" t="s">
        <v>1082</v>
      </c>
      <c r="B49">
        <v>8</v>
      </c>
      <c r="C49" t="s">
        <v>621</v>
      </c>
      <c r="D49" t="s">
        <v>613</v>
      </c>
      <c r="E49">
        <v>9</v>
      </c>
      <c r="F49" t="s">
        <v>119</v>
      </c>
    </row>
    <row r="50" spans="1:6">
      <c r="A50" t="s">
        <v>1083</v>
      </c>
      <c r="B50">
        <v>8</v>
      </c>
      <c r="C50" t="s">
        <v>621</v>
      </c>
      <c r="D50" t="s">
        <v>613</v>
      </c>
      <c r="E50">
        <v>10</v>
      </c>
      <c r="F50" t="s">
        <v>120</v>
      </c>
    </row>
    <row r="51" spans="1:6">
      <c r="A51" t="s">
        <v>1084</v>
      </c>
      <c r="B51">
        <v>8</v>
      </c>
      <c r="C51" t="s">
        <v>621</v>
      </c>
      <c r="D51" t="s">
        <v>613</v>
      </c>
      <c r="E51">
        <v>11</v>
      </c>
      <c r="F51" t="s">
        <v>121</v>
      </c>
    </row>
    <row r="52" spans="1:6">
      <c r="A52" t="s">
        <v>1085</v>
      </c>
      <c r="B52">
        <v>8</v>
      </c>
      <c r="C52" t="s">
        <v>621</v>
      </c>
      <c r="D52" t="s">
        <v>4</v>
      </c>
      <c r="E52">
        <v>1</v>
      </c>
      <c r="F52" t="s">
        <v>122</v>
      </c>
    </row>
    <row r="53" spans="1:6">
      <c r="A53" t="s">
        <v>1086</v>
      </c>
      <c r="B53">
        <v>8</v>
      </c>
      <c r="C53" t="s">
        <v>621</v>
      </c>
      <c r="D53" t="s">
        <v>618</v>
      </c>
      <c r="E53">
        <v>1</v>
      </c>
      <c r="F53" t="s">
        <v>123</v>
      </c>
    </row>
    <row r="54" spans="1:6">
      <c r="A54" t="s">
        <v>1087</v>
      </c>
      <c r="B54">
        <v>8</v>
      </c>
      <c r="C54" t="s">
        <v>621</v>
      </c>
      <c r="D54" t="s">
        <v>614</v>
      </c>
      <c r="E54">
        <v>9</v>
      </c>
      <c r="F54" t="s">
        <v>124</v>
      </c>
    </row>
    <row r="55" spans="1:6">
      <c r="A55" t="s">
        <v>1088</v>
      </c>
      <c r="B55">
        <v>8</v>
      </c>
      <c r="C55" t="s">
        <v>621</v>
      </c>
      <c r="D55" t="s">
        <v>614</v>
      </c>
      <c r="E55">
        <v>14</v>
      </c>
      <c r="F55" t="s">
        <v>69</v>
      </c>
    </row>
    <row r="56" spans="1:6">
      <c r="A56" t="s">
        <v>1089</v>
      </c>
      <c r="B56">
        <v>8</v>
      </c>
      <c r="C56" t="s">
        <v>621</v>
      </c>
      <c r="D56" t="s">
        <v>614</v>
      </c>
      <c r="E56">
        <v>24</v>
      </c>
      <c r="F56" t="s">
        <v>125</v>
      </c>
    </row>
    <row r="57" spans="1:6">
      <c r="A57" t="s">
        <v>1090</v>
      </c>
      <c r="B57">
        <v>8</v>
      </c>
      <c r="C57" t="s">
        <v>621</v>
      </c>
      <c r="D57" t="s">
        <v>614</v>
      </c>
      <c r="E57">
        <v>26</v>
      </c>
      <c r="F57" t="s">
        <v>126</v>
      </c>
    </row>
    <row r="58" spans="1:6">
      <c r="A58" t="s">
        <v>1091</v>
      </c>
      <c r="B58">
        <v>8</v>
      </c>
      <c r="C58" t="s">
        <v>621</v>
      </c>
      <c r="D58" t="s">
        <v>614</v>
      </c>
      <c r="E58">
        <v>27</v>
      </c>
      <c r="F58" t="s">
        <v>70</v>
      </c>
    </row>
    <row r="59" spans="1:6">
      <c r="A59" t="s">
        <v>1092</v>
      </c>
      <c r="B59">
        <v>8</v>
      </c>
      <c r="C59" t="s">
        <v>621</v>
      </c>
      <c r="D59" t="s">
        <v>614</v>
      </c>
      <c r="E59">
        <v>28</v>
      </c>
      <c r="F59" t="s">
        <v>71</v>
      </c>
    </row>
    <row r="60" spans="1:6">
      <c r="A60" t="s">
        <v>1093</v>
      </c>
      <c r="B60">
        <v>8</v>
      </c>
      <c r="C60" t="s">
        <v>621</v>
      </c>
      <c r="D60" t="s">
        <v>622</v>
      </c>
      <c r="E60">
        <v>1</v>
      </c>
      <c r="F60" t="s">
        <v>127</v>
      </c>
    </row>
    <row r="61" spans="1:6">
      <c r="A61" t="s">
        <v>1094</v>
      </c>
      <c r="B61">
        <v>8</v>
      </c>
      <c r="C61" t="s">
        <v>621</v>
      </c>
      <c r="D61" t="s">
        <v>609</v>
      </c>
      <c r="E61">
        <v>1</v>
      </c>
      <c r="F61" t="s">
        <v>10</v>
      </c>
    </row>
    <row r="62" spans="1:6">
      <c r="A62" t="s">
        <v>1095</v>
      </c>
      <c r="B62">
        <v>8</v>
      </c>
      <c r="C62" t="s">
        <v>621</v>
      </c>
      <c r="D62" t="s">
        <v>610</v>
      </c>
      <c r="E62">
        <v>1</v>
      </c>
      <c r="F62" t="s">
        <v>134</v>
      </c>
    </row>
    <row r="63" spans="1:6">
      <c r="A63" t="s">
        <v>1096</v>
      </c>
      <c r="B63">
        <v>8</v>
      </c>
      <c r="C63" t="s">
        <v>621</v>
      </c>
      <c r="D63" t="s">
        <v>610</v>
      </c>
      <c r="E63">
        <v>99</v>
      </c>
      <c r="F63" t="s">
        <v>74</v>
      </c>
    </row>
    <row r="64" spans="1:6">
      <c r="A64" t="s">
        <v>1097</v>
      </c>
      <c r="B64">
        <v>8</v>
      </c>
      <c r="C64" t="s">
        <v>621</v>
      </c>
      <c r="D64" t="s">
        <v>611</v>
      </c>
      <c r="E64">
        <v>1</v>
      </c>
      <c r="F64" t="s">
        <v>135</v>
      </c>
    </row>
    <row r="65" spans="1:6">
      <c r="A65" t="s">
        <v>1098</v>
      </c>
      <c r="B65">
        <v>8</v>
      </c>
      <c r="C65" t="s">
        <v>621</v>
      </c>
      <c r="D65" t="s">
        <v>612</v>
      </c>
      <c r="E65">
        <v>3</v>
      </c>
      <c r="F65" t="s">
        <v>137</v>
      </c>
    </row>
    <row r="66" spans="1:6">
      <c r="A66" t="s">
        <v>1099</v>
      </c>
      <c r="B66">
        <v>8</v>
      </c>
      <c r="C66" t="s">
        <v>621</v>
      </c>
      <c r="D66" t="s">
        <v>619</v>
      </c>
      <c r="E66">
        <v>230</v>
      </c>
      <c r="F66" t="s">
        <v>138</v>
      </c>
    </row>
    <row r="67" spans="1:6">
      <c r="A67" t="s">
        <v>1100</v>
      </c>
      <c r="B67">
        <v>8</v>
      </c>
      <c r="C67" t="s">
        <v>621</v>
      </c>
      <c r="D67" t="s">
        <v>619</v>
      </c>
      <c r="E67">
        <v>231</v>
      </c>
      <c r="F67" t="s">
        <v>139</v>
      </c>
    </row>
    <row r="68" spans="1:6">
      <c r="A68" t="s">
        <v>1101</v>
      </c>
      <c r="B68">
        <v>8</v>
      </c>
      <c r="C68" t="s">
        <v>621</v>
      </c>
      <c r="D68" t="s">
        <v>619</v>
      </c>
      <c r="E68">
        <v>232</v>
      </c>
      <c r="F68" t="s">
        <v>140</v>
      </c>
    </row>
    <row r="69" spans="1:6">
      <c r="A69" t="s">
        <v>1102</v>
      </c>
      <c r="B69">
        <v>8</v>
      </c>
      <c r="C69" t="s">
        <v>621</v>
      </c>
      <c r="D69" t="s">
        <v>619</v>
      </c>
      <c r="E69">
        <v>233</v>
      </c>
      <c r="F69" t="s">
        <v>141</v>
      </c>
    </row>
    <row r="70" spans="1:6">
      <c r="A70" t="s">
        <v>1103</v>
      </c>
      <c r="B70">
        <v>8</v>
      </c>
      <c r="C70" t="s">
        <v>621</v>
      </c>
      <c r="D70" t="s">
        <v>619</v>
      </c>
      <c r="E70">
        <v>234</v>
      </c>
      <c r="F70" t="s">
        <v>142</v>
      </c>
    </row>
    <row r="71" spans="1:6">
      <c r="A71" t="s">
        <v>1104</v>
      </c>
      <c r="B71">
        <v>8</v>
      </c>
      <c r="C71" t="s">
        <v>621</v>
      </c>
      <c r="D71" t="s">
        <v>616</v>
      </c>
      <c r="E71">
        <v>2</v>
      </c>
      <c r="F71" t="s">
        <v>143</v>
      </c>
    </row>
    <row r="72" spans="1:6">
      <c r="A72" t="s">
        <v>1105</v>
      </c>
      <c r="B72">
        <v>8</v>
      </c>
      <c r="C72" t="s">
        <v>621</v>
      </c>
      <c r="D72" t="s">
        <v>616</v>
      </c>
      <c r="E72">
        <v>3</v>
      </c>
      <c r="F72" t="s">
        <v>144</v>
      </c>
    </row>
    <row r="73" spans="1:6">
      <c r="A73" t="s">
        <v>1106</v>
      </c>
      <c r="B73">
        <v>8</v>
      </c>
      <c r="C73" t="s">
        <v>621</v>
      </c>
      <c r="D73" t="s">
        <v>616</v>
      </c>
      <c r="E73">
        <v>4</v>
      </c>
      <c r="F73" t="s">
        <v>145</v>
      </c>
    </row>
    <row r="74" spans="1:6">
      <c r="A74" t="s">
        <v>1107</v>
      </c>
      <c r="B74">
        <v>8</v>
      </c>
      <c r="C74" t="s">
        <v>621</v>
      </c>
      <c r="D74" t="s">
        <v>616</v>
      </c>
      <c r="E74">
        <v>7</v>
      </c>
      <c r="F74" t="s">
        <v>146</v>
      </c>
    </row>
    <row r="75" spans="1:6">
      <c r="A75" t="s">
        <v>1108</v>
      </c>
      <c r="B75">
        <v>8</v>
      </c>
      <c r="C75" t="s">
        <v>621</v>
      </c>
      <c r="D75" t="s">
        <v>616</v>
      </c>
      <c r="E75">
        <v>9</v>
      </c>
      <c r="F75" t="s">
        <v>147</v>
      </c>
    </row>
    <row r="76" spans="1:6">
      <c r="A76" t="s">
        <v>1109</v>
      </c>
      <c r="B76">
        <v>8</v>
      </c>
      <c r="C76" t="s">
        <v>621</v>
      </c>
      <c r="D76" t="s">
        <v>616</v>
      </c>
      <c r="E76">
        <v>10</v>
      </c>
      <c r="F76" t="s">
        <v>148</v>
      </c>
    </row>
    <row r="77" spans="1:6">
      <c r="A77" t="s">
        <v>1110</v>
      </c>
      <c r="B77">
        <v>8</v>
      </c>
      <c r="C77" t="s">
        <v>621</v>
      </c>
      <c r="D77" t="s">
        <v>616</v>
      </c>
      <c r="E77">
        <v>11</v>
      </c>
      <c r="F77" t="s">
        <v>149</v>
      </c>
    </row>
    <row r="78" spans="1:6">
      <c r="A78" t="s">
        <v>1111</v>
      </c>
      <c r="B78">
        <v>8</v>
      </c>
      <c r="C78" t="s">
        <v>621</v>
      </c>
      <c r="D78" t="s">
        <v>616</v>
      </c>
      <c r="E78">
        <v>13</v>
      </c>
      <c r="F78" t="s">
        <v>150</v>
      </c>
    </row>
    <row r="79" spans="1:6">
      <c r="A79" t="s">
        <v>1112</v>
      </c>
      <c r="B79">
        <v>8</v>
      </c>
      <c r="C79" t="s">
        <v>621</v>
      </c>
      <c r="D79" t="s">
        <v>616</v>
      </c>
      <c r="E79">
        <v>16</v>
      </c>
      <c r="F79" t="s">
        <v>151</v>
      </c>
    </row>
    <row r="80" spans="1:6">
      <c r="A80" t="s">
        <v>1113</v>
      </c>
      <c r="B80">
        <v>8</v>
      </c>
      <c r="C80" t="s">
        <v>621</v>
      </c>
      <c r="D80" t="s">
        <v>616</v>
      </c>
      <c r="E80">
        <v>17</v>
      </c>
      <c r="F80" t="s">
        <v>152</v>
      </c>
    </row>
    <row r="81" spans="1:6">
      <c r="A81" t="s">
        <v>1114</v>
      </c>
      <c r="B81">
        <v>9</v>
      </c>
      <c r="C81" t="s">
        <v>153</v>
      </c>
      <c r="D81" t="s">
        <v>614</v>
      </c>
      <c r="E81">
        <v>31</v>
      </c>
      <c r="F81" t="s">
        <v>159</v>
      </c>
    </row>
    <row r="82" spans="1:6">
      <c r="A82" t="s">
        <v>1115</v>
      </c>
      <c r="B82">
        <v>9</v>
      </c>
      <c r="C82" t="s">
        <v>153</v>
      </c>
      <c r="D82" t="s">
        <v>614</v>
      </c>
      <c r="E82">
        <v>37</v>
      </c>
      <c r="F82" t="s">
        <v>160</v>
      </c>
    </row>
    <row r="83" spans="1:6">
      <c r="A83" t="s">
        <v>1116</v>
      </c>
      <c r="B83">
        <v>9</v>
      </c>
      <c r="C83" t="s">
        <v>153</v>
      </c>
      <c r="D83" t="s">
        <v>614</v>
      </c>
      <c r="E83">
        <v>39</v>
      </c>
      <c r="F83" t="s">
        <v>161</v>
      </c>
    </row>
    <row r="84" spans="1:6">
      <c r="A84" t="s">
        <v>1117</v>
      </c>
      <c r="B84">
        <v>9</v>
      </c>
      <c r="C84" t="s">
        <v>153</v>
      </c>
      <c r="D84" t="s">
        <v>619</v>
      </c>
      <c r="E84">
        <v>71</v>
      </c>
      <c r="F84" t="s">
        <v>166</v>
      </c>
    </row>
    <row r="85" spans="1:6">
      <c r="A85" t="s">
        <v>1118</v>
      </c>
      <c r="B85">
        <v>10</v>
      </c>
      <c r="C85" t="s">
        <v>623</v>
      </c>
      <c r="D85" t="s">
        <v>619</v>
      </c>
      <c r="E85">
        <v>16</v>
      </c>
      <c r="F85" t="s">
        <v>176</v>
      </c>
    </row>
    <row r="86" spans="1:6">
      <c r="A86" t="s">
        <v>1119</v>
      </c>
      <c r="B86">
        <v>10</v>
      </c>
      <c r="C86" t="s">
        <v>623</v>
      </c>
      <c r="D86" t="s">
        <v>619</v>
      </c>
      <c r="E86">
        <v>17</v>
      </c>
      <c r="F86" t="s">
        <v>177</v>
      </c>
    </row>
    <row r="87" spans="1:6">
      <c r="A87" t="s">
        <v>1120</v>
      </c>
      <c r="B87">
        <v>10</v>
      </c>
      <c r="C87" t="s">
        <v>623</v>
      </c>
      <c r="D87" t="s">
        <v>619</v>
      </c>
      <c r="E87">
        <v>21</v>
      </c>
      <c r="F87" t="s">
        <v>179</v>
      </c>
    </row>
    <row r="88" spans="1:6">
      <c r="A88" t="s">
        <v>1121</v>
      </c>
      <c r="B88">
        <v>11</v>
      </c>
      <c r="C88" t="s">
        <v>624</v>
      </c>
      <c r="D88" t="s">
        <v>613</v>
      </c>
      <c r="E88">
        <v>8</v>
      </c>
      <c r="F88" t="s">
        <v>185</v>
      </c>
    </row>
    <row r="89" spans="1:6">
      <c r="A89" t="s">
        <v>1122</v>
      </c>
      <c r="B89">
        <v>11</v>
      </c>
      <c r="C89" t="s">
        <v>624</v>
      </c>
      <c r="D89" t="s">
        <v>613</v>
      </c>
      <c r="E89">
        <v>10</v>
      </c>
      <c r="F89" t="s">
        <v>191</v>
      </c>
    </row>
    <row r="90" spans="1:6">
      <c r="A90" t="s">
        <v>1123</v>
      </c>
      <c r="B90">
        <v>11</v>
      </c>
      <c r="C90" t="s">
        <v>624</v>
      </c>
      <c r="D90" t="s">
        <v>618</v>
      </c>
      <c r="E90">
        <v>1</v>
      </c>
      <c r="F90" t="s">
        <v>207</v>
      </c>
    </row>
    <row r="91" spans="1:6">
      <c r="A91" t="s">
        <v>1124</v>
      </c>
      <c r="B91">
        <v>11</v>
      </c>
      <c r="C91" t="s">
        <v>624</v>
      </c>
      <c r="D91" t="s">
        <v>614</v>
      </c>
      <c r="E91">
        <v>9</v>
      </c>
      <c r="F91" t="s">
        <v>124</v>
      </c>
    </row>
    <row r="92" spans="1:6">
      <c r="A92" t="s">
        <v>1125</v>
      </c>
      <c r="B92">
        <v>11</v>
      </c>
      <c r="C92" t="s">
        <v>624</v>
      </c>
      <c r="D92" t="s">
        <v>619</v>
      </c>
      <c r="E92">
        <v>22</v>
      </c>
      <c r="F92" t="s">
        <v>211</v>
      </c>
    </row>
    <row r="93" spans="1:6">
      <c r="A93" t="s">
        <v>1126</v>
      </c>
      <c r="B93">
        <v>11</v>
      </c>
      <c r="C93" t="s">
        <v>624</v>
      </c>
      <c r="D93" t="s">
        <v>619</v>
      </c>
      <c r="E93">
        <v>72</v>
      </c>
      <c r="F93" t="s">
        <v>212</v>
      </c>
    </row>
    <row r="94" spans="1:6">
      <c r="A94" t="s">
        <v>1127</v>
      </c>
      <c r="B94">
        <v>11</v>
      </c>
      <c r="C94" t="s">
        <v>624</v>
      </c>
      <c r="D94" t="s">
        <v>619</v>
      </c>
      <c r="E94">
        <v>111</v>
      </c>
      <c r="F94" t="s">
        <v>214</v>
      </c>
    </row>
    <row r="95" spans="1:6">
      <c r="A95" t="s">
        <v>1128</v>
      </c>
      <c r="B95">
        <v>11</v>
      </c>
      <c r="C95" t="s">
        <v>624</v>
      </c>
      <c r="D95" t="s">
        <v>619</v>
      </c>
      <c r="E95">
        <v>126</v>
      </c>
      <c r="F95" t="s">
        <v>215</v>
      </c>
    </row>
    <row r="96" spans="1:6">
      <c r="A96" t="s">
        <v>1129</v>
      </c>
      <c r="B96">
        <v>12</v>
      </c>
      <c r="C96" t="s">
        <v>101</v>
      </c>
      <c r="D96" t="s">
        <v>611</v>
      </c>
      <c r="E96">
        <v>17</v>
      </c>
      <c r="F96" t="s">
        <v>257</v>
      </c>
    </row>
    <row r="97" spans="1:6">
      <c r="A97" t="s">
        <v>1130</v>
      </c>
      <c r="B97">
        <v>12</v>
      </c>
      <c r="C97" t="s">
        <v>101</v>
      </c>
      <c r="D97" t="s">
        <v>612</v>
      </c>
      <c r="E97">
        <v>1</v>
      </c>
      <c r="F97" t="s">
        <v>260</v>
      </c>
    </row>
    <row r="98" spans="1:6">
      <c r="A98" t="s">
        <v>1131</v>
      </c>
      <c r="B98">
        <v>12</v>
      </c>
      <c r="C98" t="s">
        <v>101</v>
      </c>
      <c r="D98" t="s">
        <v>619</v>
      </c>
      <c r="E98">
        <v>37</v>
      </c>
      <c r="F98" t="s">
        <v>261</v>
      </c>
    </row>
    <row r="99" spans="1:6">
      <c r="A99" t="s">
        <v>1132</v>
      </c>
      <c r="B99">
        <v>12</v>
      </c>
      <c r="C99" t="s">
        <v>101</v>
      </c>
      <c r="D99" t="s">
        <v>619</v>
      </c>
      <c r="E99">
        <v>72</v>
      </c>
      <c r="F99" t="s">
        <v>212</v>
      </c>
    </row>
    <row r="100" spans="1:6">
      <c r="A100" t="s">
        <v>1133</v>
      </c>
      <c r="B100">
        <v>12</v>
      </c>
      <c r="C100" t="s">
        <v>101</v>
      </c>
      <c r="D100" t="s">
        <v>619</v>
      </c>
      <c r="E100">
        <v>200</v>
      </c>
      <c r="F100" t="s">
        <v>264</v>
      </c>
    </row>
    <row r="101" spans="1:6">
      <c r="A101" t="s">
        <v>1134</v>
      </c>
      <c r="B101">
        <v>12</v>
      </c>
      <c r="C101" t="s">
        <v>101</v>
      </c>
      <c r="D101" t="s">
        <v>616</v>
      </c>
      <c r="E101">
        <v>5</v>
      </c>
      <c r="F101" t="s">
        <v>265</v>
      </c>
    </row>
    <row r="102" spans="1:6">
      <c r="A102" t="s">
        <v>1135</v>
      </c>
      <c r="B102">
        <v>14</v>
      </c>
      <c r="C102" t="s">
        <v>625</v>
      </c>
      <c r="D102" t="s">
        <v>619</v>
      </c>
      <c r="E102">
        <v>43</v>
      </c>
      <c r="F102" t="s">
        <v>273</v>
      </c>
    </row>
    <row r="103" spans="1:6">
      <c r="A103" t="s">
        <v>1136</v>
      </c>
      <c r="B103">
        <v>15</v>
      </c>
      <c r="C103" t="s">
        <v>626</v>
      </c>
      <c r="D103" t="s">
        <v>613</v>
      </c>
      <c r="E103">
        <v>1</v>
      </c>
      <c r="F103" t="s">
        <v>275</v>
      </c>
    </row>
    <row r="104" spans="1:6">
      <c r="A104" t="s">
        <v>1137</v>
      </c>
      <c r="B104">
        <v>15</v>
      </c>
      <c r="C104" t="s">
        <v>626</v>
      </c>
      <c r="D104" t="s">
        <v>613</v>
      </c>
      <c r="E104">
        <v>2</v>
      </c>
      <c r="F104" t="s">
        <v>278</v>
      </c>
    </row>
    <row r="105" spans="1:6">
      <c r="A105" t="s">
        <v>1138</v>
      </c>
      <c r="B105">
        <v>15</v>
      </c>
      <c r="C105" t="s">
        <v>626</v>
      </c>
      <c r="D105" t="s">
        <v>613</v>
      </c>
      <c r="E105">
        <v>3</v>
      </c>
      <c r="F105" t="s">
        <v>279</v>
      </c>
    </row>
    <row r="106" spans="1:6">
      <c r="A106" t="s">
        <v>1139</v>
      </c>
      <c r="B106">
        <v>15</v>
      </c>
      <c r="C106" t="s">
        <v>626</v>
      </c>
      <c r="D106" t="s">
        <v>613</v>
      </c>
      <c r="E106">
        <v>4</v>
      </c>
      <c r="F106" t="s">
        <v>281</v>
      </c>
    </row>
    <row r="107" spans="1:6">
      <c r="A107" t="s">
        <v>1140</v>
      </c>
      <c r="B107">
        <v>15</v>
      </c>
      <c r="C107" t="s">
        <v>626</v>
      </c>
      <c r="D107" t="s">
        <v>613</v>
      </c>
      <c r="E107">
        <v>5</v>
      </c>
      <c r="F107" t="s">
        <v>282</v>
      </c>
    </row>
    <row r="108" spans="1:6">
      <c r="A108" t="s">
        <v>1141</v>
      </c>
      <c r="B108">
        <v>15</v>
      </c>
      <c r="C108" t="s">
        <v>626</v>
      </c>
      <c r="D108" t="s">
        <v>613</v>
      </c>
      <c r="E108">
        <v>7</v>
      </c>
      <c r="F108" t="s">
        <v>283</v>
      </c>
    </row>
    <row r="109" spans="1:6">
      <c r="A109" t="s">
        <v>1142</v>
      </c>
      <c r="B109">
        <v>15</v>
      </c>
      <c r="C109" t="s">
        <v>626</v>
      </c>
      <c r="D109" t="s">
        <v>4</v>
      </c>
      <c r="E109">
        <v>1</v>
      </c>
      <c r="F109" t="s">
        <v>284</v>
      </c>
    </row>
    <row r="110" spans="1:6">
      <c r="A110" t="s">
        <v>1143</v>
      </c>
      <c r="B110">
        <v>15</v>
      </c>
      <c r="C110" t="s">
        <v>626</v>
      </c>
      <c r="D110" t="s">
        <v>4</v>
      </c>
      <c r="E110">
        <v>2</v>
      </c>
      <c r="F110" t="s">
        <v>285</v>
      </c>
    </row>
    <row r="111" spans="1:6">
      <c r="A111" t="s">
        <v>1144</v>
      </c>
      <c r="B111">
        <v>15</v>
      </c>
      <c r="C111" t="s">
        <v>626</v>
      </c>
      <c r="D111" t="s">
        <v>618</v>
      </c>
      <c r="E111">
        <v>1</v>
      </c>
      <c r="F111" t="s">
        <v>286</v>
      </c>
    </row>
    <row r="112" spans="1:6">
      <c r="A112" t="s">
        <v>1145</v>
      </c>
      <c r="B112">
        <v>15</v>
      </c>
      <c r="C112" t="s">
        <v>626</v>
      </c>
      <c r="D112" t="s">
        <v>622</v>
      </c>
      <c r="E112">
        <v>1</v>
      </c>
      <c r="F112" t="s">
        <v>287</v>
      </c>
    </row>
    <row r="113" spans="1:6">
      <c r="A113" t="s">
        <v>1146</v>
      </c>
      <c r="B113">
        <v>15</v>
      </c>
      <c r="C113" t="s">
        <v>626</v>
      </c>
      <c r="D113" t="s">
        <v>609</v>
      </c>
      <c r="E113">
        <v>1</v>
      </c>
      <c r="F113" t="s">
        <v>10</v>
      </c>
    </row>
    <row r="114" spans="1:6">
      <c r="A114" t="s">
        <v>1147</v>
      </c>
      <c r="B114">
        <v>15</v>
      </c>
      <c r="C114" t="s">
        <v>626</v>
      </c>
      <c r="D114" t="s">
        <v>610</v>
      </c>
      <c r="E114">
        <v>1</v>
      </c>
      <c r="F114" t="s">
        <v>11</v>
      </c>
    </row>
    <row r="115" spans="1:6">
      <c r="A115" t="s">
        <v>1148</v>
      </c>
      <c r="B115">
        <v>15</v>
      </c>
      <c r="C115" t="s">
        <v>626</v>
      </c>
      <c r="D115" t="s">
        <v>610</v>
      </c>
      <c r="E115">
        <v>99</v>
      </c>
      <c r="F115" t="s">
        <v>74</v>
      </c>
    </row>
    <row r="116" spans="1:6">
      <c r="A116" t="s">
        <v>1149</v>
      </c>
      <c r="B116">
        <v>15</v>
      </c>
      <c r="C116" t="s">
        <v>626</v>
      </c>
      <c r="D116" t="s">
        <v>611</v>
      </c>
      <c r="E116">
        <v>1</v>
      </c>
      <c r="F116" t="s">
        <v>288</v>
      </c>
    </row>
    <row r="117" spans="1:6">
      <c r="A117" t="s">
        <v>1150</v>
      </c>
      <c r="B117">
        <v>15</v>
      </c>
      <c r="C117" t="s">
        <v>626</v>
      </c>
      <c r="D117" t="s">
        <v>611</v>
      </c>
      <c r="E117">
        <v>2</v>
      </c>
      <c r="F117" t="s">
        <v>291</v>
      </c>
    </row>
    <row r="118" spans="1:6">
      <c r="A118" t="s">
        <v>1151</v>
      </c>
      <c r="B118">
        <v>15</v>
      </c>
      <c r="C118" t="s">
        <v>626</v>
      </c>
      <c r="D118" t="s">
        <v>611</v>
      </c>
      <c r="E118">
        <v>3</v>
      </c>
      <c r="F118" t="s">
        <v>292</v>
      </c>
    </row>
    <row r="119" spans="1:6">
      <c r="A119" t="s">
        <v>1152</v>
      </c>
      <c r="B119">
        <v>15</v>
      </c>
      <c r="C119" t="s">
        <v>626</v>
      </c>
      <c r="D119" t="s">
        <v>619</v>
      </c>
      <c r="E119">
        <v>88</v>
      </c>
      <c r="F119" t="s">
        <v>293</v>
      </c>
    </row>
    <row r="120" spans="1:6">
      <c r="A120" t="s">
        <v>1153</v>
      </c>
      <c r="B120">
        <v>15</v>
      </c>
      <c r="C120" t="s">
        <v>626</v>
      </c>
      <c r="D120" t="s">
        <v>619</v>
      </c>
      <c r="E120">
        <v>89</v>
      </c>
      <c r="F120" t="s">
        <v>294</v>
      </c>
    </row>
    <row r="121" spans="1:6">
      <c r="A121" t="s">
        <v>1154</v>
      </c>
      <c r="B121">
        <v>15</v>
      </c>
      <c r="C121" t="s">
        <v>626</v>
      </c>
      <c r="D121" t="s">
        <v>619</v>
      </c>
      <c r="E121">
        <v>203</v>
      </c>
      <c r="F121" t="s">
        <v>295</v>
      </c>
    </row>
    <row r="122" spans="1:6">
      <c r="A122" t="s">
        <v>1155</v>
      </c>
      <c r="B122">
        <v>16</v>
      </c>
      <c r="C122" t="s">
        <v>627</v>
      </c>
      <c r="D122" t="s">
        <v>613</v>
      </c>
      <c r="E122">
        <v>5</v>
      </c>
      <c r="F122" t="s">
        <v>298</v>
      </c>
    </row>
    <row r="123" spans="1:6">
      <c r="A123" t="s">
        <v>1156</v>
      </c>
      <c r="B123">
        <v>16</v>
      </c>
      <c r="C123" t="s">
        <v>627</v>
      </c>
      <c r="D123" t="s">
        <v>613</v>
      </c>
      <c r="E123">
        <v>9</v>
      </c>
      <c r="F123" t="s">
        <v>305</v>
      </c>
    </row>
    <row r="124" spans="1:6">
      <c r="A124" t="s">
        <v>1157</v>
      </c>
      <c r="B124">
        <v>16</v>
      </c>
      <c r="C124" t="s">
        <v>627</v>
      </c>
      <c r="D124" t="s">
        <v>613</v>
      </c>
      <c r="E124">
        <v>13</v>
      </c>
      <c r="F124" t="s">
        <v>309</v>
      </c>
    </row>
    <row r="125" spans="1:6">
      <c r="A125" t="s">
        <v>1158</v>
      </c>
      <c r="B125">
        <v>16</v>
      </c>
      <c r="C125" t="s">
        <v>627</v>
      </c>
      <c r="D125" t="s">
        <v>618</v>
      </c>
      <c r="E125">
        <v>3</v>
      </c>
      <c r="F125" t="s">
        <v>311</v>
      </c>
    </row>
    <row r="126" spans="1:6">
      <c r="A126" t="s">
        <v>1159</v>
      </c>
      <c r="B126">
        <v>16</v>
      </c>
      <c r="C126" t="s">
        <v>627</v>
      </c>
      <c r="D126" t="s">
        <v>618</v>
      </c>
      <c r="E126">
        <v>5</v>
      </c>
      <c r="F126" t="s">
        <v>313</v>
      </c>
    </row>
    <row r="127" spans="1:6">
      <c r="A127" t="s">
        <v>1160</v>
      </c>
      <c r="B127">
        <v>16</v>
      </c>
      <c r="C127" t="s">
        <v>627</v>
      </c>
      <c r="D127" t="s">
        <v>618</v>
      </c>
      <c r="E127">
        <v>10</v>
      </c>
      <c r="F127" t="s">
        <v>314</v>
      </c>
    </row>
    <row r="128" spans="1:6">
      <c r="A128" t="s">
        <v>1161</v>
      </c>
      <c r="B128">
        <v>16</v>
      </c>
      <c r="C128" t="s">
        <v>627</v>
      </c>
      <c r="D128" t="s">
        <v>618</v>
      </c>
      <c r="E128">
        <v>12</v>
      </c>
      <c r="F128" t="s">
        <v>315</v>
      </c>
    </row>
    <row r="129" spans="1:6">
      <c r="A129" t="s">
        <v>1162</v>
      </c>
      <c r="B129">
        <v>16</v>
      </c>
      <c r="C129" t="s">
        <v>627</v>
      </c>
      <c r="D129" t="s">
        <v>618</v>
      </c>
      <c r="E129">
        <v>13</v>
      </c>
      <c r="F129" t="s">
        <v>316</v>
      </c>
    </row>
    <row r="130" spans="1:6">
      <c r="A130" t="s">
        <v>1163</v>
      </c>
      <c r="B130">
        <v>16</v>
      </c>
      <c r="C130" t="s">
        <v>627</v>
      </c>
      <c r="D130" t="s">
        <v>618</v>
      </c>
      <c r="E130">
        <v>17</v>
      </c>
      <c r="F130" t="s">
        <v>318</v>
      </c>
    </row>
    <row r="131" spans="1:6">
      <c r="A131" t="s">
        <v>1164</v>
      </c>
      <c r="B131">
        <v>16</v>
      </c>
      <c r="C131" t="s">
        <v>627</v>
      </c>
      <c r="D131" t="s">
        <v>614</v>
      </c>
      <c r="E131">
        <v>25</v>
      </c>
      <c r="F131" t="s">
        <v>44</v>
      </c>
    </row>
    <row r="132" spans="1:6">
      <c r="A132" t="s">
        <v>1165</v>
      </c>
      <c r="B132">
        <v>16</v>
      </c>
      <c r="C132" t="s">
        <v>627</v>
      </c>
      <c r="D132" t="s">
        <v>614</v>
      </c>
      <c r="E132">
        <v>28</v>
      </c>
      <c r="F132" t="s">
        <v>71</v>
      </c>
    </row>
    <row r="133" spans="1:6">
      <c r="A133" t="s">
        <v>1166</v>
      </c>
      <c r="B133">
        <v>16</v>
      </c>
      <c r="C133" t="s">
        <v>627</v>
      </c>
      <c r="D133" t="s">
        <v>614</v>
      </c>
      <c r="E133">
        <v>111</v>
      </c>
      <c r="F133" t="s">
        <v>320</v>
      </c>
    </row>
    <row r="134" spans="1:6">
      <c r="A134" t="s">
        <v>1167</v>
      </c>
      <c r="B134">
        <v>16</v>
      </c>
      <c r="C134" t="s">
        <v>627</v>
      </c>
      <c r="D134" t="s">
        <v>614</v>
      </c>
      <c r="E134">
        <v>129</v>
      </c>
      <c r="F134" t="s">
        <v>321</v>
      </c>
    </row>
    <row r="135" spans="1:6">
      <c r="A135" t="s">
        <v>1168</v>
      </c>
      <c r="B135">
        <v>16</v>
      </c>
      <c r="C135" t="s">
        <v>627</v>
      </c>
      <c r="D135" t="s">
        <v>614</v>
      </c>
      <c r="E135">
        <v>132</v>
      </c>
      <c r="F135" t="s">
        <v>322</v>
      </c>
    </row>
    <row r="136" spans="1:6">
      <c r="A136" t="s">
        <v>1169</v>
      </c>
      <c r="B136">
        <v>16</v>
      </c>
      <c r="C136" t="s">
        <v>627</v>
      </c>
      <c r="D136" t="s">
        <v>614</v>
      </c>
      <c r="E136">
        <v>133</v>
      </c>
      <c r="F136" t="s">
        <v>323</v>
      </c>
    </row>
    <row r="137" spans="1:6">
      <c r="A137" t="s">
        <v>1170</v>
      </c>
      <c r="B137">
        <v>16</v>
      </c>
      <c r="C137" t="s">
        <v>627</v>
      </c>
      <c r="D137" t="s">
        <v>614</v>
      </c>
      <c r="E137">
        <v>134</v>
      </c>
      <c r="F137" t="s">
        <v>324</v>
      </c>
    </row>
    <row r="138" spans="1:6">
      <c r="A138" t="s">
        <v>1171</v>
      </c>
      <c r="B138">
        <v>16</v>
      </c>
      <c r="C138" t="s">
        <v>627</v>
      </c>
      <c r="D138" t="s">
        <v>614</v>
      </c>
      <c r="E138">
        <v>135</v>
      </c>
      <c r="F138" t="s">
        <v>325</v>
      </c>
    </row>
    <row r="139" spans="1:6">
      <c r="A139" t="s">
        <v>1172</v>
      </c>
      <c r="B139">
        <v>16</v>
      </c>
      <c r="C139" t="s">
        <v>627</v>
      </c>
      <c r="D139" t="s">
        <v>614</v>
      </c>
      <c r="E139">
        <v>137</v>
      </c>
      <c r="F139" t="s">
        <v>326</v>
      </c>
    </row>
    <row r="140" spans="1:6">
      <c r="A140" t="s">
        <v>1173</v>
      </c>
      <c r="B140">
        <v>16</v>
      </c>
      <c r="C140" t="s">
        <v>627</v>
      </c>
      <c r="D140" t="s">
        <v>614</v>
      </c>
      <c r="E140">
        <v>138</v>
      </c>
      <c r="F140" t="s">
        <v>327</v>
      </c>
    </row>
    <row r="141" spans="1:6">
      <c r="A141" t="s">
        <v>1174</v>
      </c>
      <c r="B141">
        <v>16</v>
      </c>
      <c r="C141" t="s">
        <v>627</v>
      </c>
      <c r="D141" t="s">
        <v>609</v>
      </c>
      <c r="E141">
        <v>1</v>
      </c>
      <c r="F141" t="s">
        <v>10</v>
      </c>
    </row>
    <row r="142" spans="1:6">
      <c r="A142" t="s">
        <v>1175</v>
      </c>
      <c r="B142">
        <v>16</v>
      </c>
      <c r="C142" t="s">
        <v>627</v>
      </c>
      <c r="D142" t="s">
        <v>610</v>
      </c>
      <c r="E142">
        <v>1</v>
      </c>
      <c r="F142" t="s">
        <v>11</v>
      </c>
    </row>
    <row r="143" spans="1:6">
      <c r="A143" t="s">
        <v>1176</v>
      </c>
      <c r="B143">
        <v>16</v>
      </c>
      <c r="C143" t="s">
        <v>627</v>
      </c>
      <c r="D143" t="s">
        <v>611</v>
      </c>
      <c r="E143">
        <v>2</v>
      </c>
      <c r="F143" t="s">
        <v>329</v>
      </c>
    </row>
    <row r="144" spans="1:6">
      <c r="A144" t="s">
        <v>1177</v>
      </c>
      <c r="B144">
        <v>16</v>
      </c>
      <c r="C144" t="s">
        <v>627</v>
      </c>
      <c r="D144" t="s">
        <v>612</v>
      </c>
      <c r="E144">
        <v>14</v>
      </c>
      <c r="F144" t="s">
        <v>137</v>
      </c>
    </row>
    <row r="145" spans="1:6">
      <c r="A145" t="s">
        <v>1178</v>
      </c>
      <c r="B145">
        <v>16</v>
      </c>
      <c r="C145" t="s">
        <v>627</v>
      </c>
      <c r="D145" t="s">
        <v>619</v>
      </c>
      <c r="E145">
        <v>44</v>
      </c>
      <c r="F145" t="s">
        <v>332</v>
      </c>
    </row>
    <row r="146" spans="1:6">
      <c r="A146" t="s">
        <v>1179</v>
      </c>
      <c r="B146">
        <v>16</v>
      </c>
      <c r="C146" t="s">
        <v>627</v>
      </c>
      <c r="D146" t="s">
        <v>619</v>
      </c>
      <c r="E146">
        <v>46</v>
      </c>
      <c r="F146" t="s">
        <v>333</v>
      </c>
    </row>
    <row r="147" spans="1:6">
      <c r="A147" t="s">
        <v>1180</v>
      </c>
      <c r="B147">
        <v>16</v>
      </c>
      <c r="C147" t="s">
        <v>627</v>
      </c>
      <c r="D147" t="s">
        <v>619</v>
      </c>
      <c r="E147">
        <v>71</v>
      </c>
      <c r="F147" t="s">
        <v>166</v>
      </c>
    </row>
    <row r="148" spans="1:6">
      <c r="A148" t="s">
        <v>1181</v>
      </c>
      <c r="B148">
        <v>16</v>
      </c>
      <c r="C148" t="s">
        <v>627</v>
      </c>
      <c r="D148" t="s">
        <v>619</v>
      </c>
      <c r="E148">
        <v>74</v>
      </c>
      <c r="F148" t="s">
        <v>335</v>
      </c>
    </row>
    <row r="149" spans="1:6">
      <c r="A149" t="s">
        <v>1182</v>
      </c>
      <c r="B149">
        <v>16</v>
      </c>
      <c r="C149" t="s">
        <v>627</v>
      </c>
      <c r="D149" t="s">
        <v>619</v>
      </c>
      <c r="E149">
        <v>75</v>
      </c>
      <c r="F149" t="s">
        <v>336</v>
      </c>
    </row>
    <row r="150" spans="1:6">
      <c r="A150" t="s">
        <v>1183</v>
      </c>
      <c r="B150">
        <v>16</v>
      </c>
      <c r="C150" t="s">
        <v>627</v>
      </c>
      <c r="D150" t="s">
        <v>619</v>
      </c>
      <c r="E150">
        <v>79</v>
      </c>
      <c r="F150" t="s">
        <v>337</v>
      </c>
    </row>
    <row r="151" spans="1:6">
      <c r="A151" t="s">
        <v>1184</v>
      </c>
      <c r="B151">
        <v>16</v>
      </c>
      <c r="C151" t="s">
        <v>627</v>
      </c>
      <c r="D151" t="s">
        <v>619</v>
      </c>
      <c r="E151">
        <v>110</v>
      </c>
      <c r="F151" t="s">
        <v>338</v>
      </c>
    </row>
    <row r="152" spans="1:6">
      <c r="A152" t="s">
        <v>1185</v>
      </c>
      <c r="B152">
        <v>16</v>
      </c>
      <c r="C152" t="s">
        <v>627</v>
      </c>
      <c r="D152" t="s">
        <v>619</v>
      </c>
      <c r="E152">
        <v>122</v>
      </c>
      <c r="F152" t="s">
        <v>339</v>
      </c>
    </row>
    <row r="153" spans="1:6">
      <c r="A153" t="s">
        <v>1186</v>
      </c>
      <c r="B153">
        <v>16</v>
      </c>
      <c r="C153" t="s">
        <v>627</v>
      </c>
      <c r="D153" t="s">
        <v>619</v>
      </c>
      <c r="E153">
        <v>217</v>
      </c>
      <c r="F153" t="s">
        <v>340</v>
      </c>
    </row>
    <row r="154" spans="1:6">
      <c r="A154" t="s">
        <v>1187</v>
      </c>
      <c r="B154">
        <v>16</v>
      </c>
      <c r="C154" t="s">
        <v>627</v>
      </c>
      <c r="D154" t="s">
        <v>616</v>
      </c>
      <c r="E154">
        <v>3</v>
      </c>
      <c r="F154" t="s">
        <v>342</v>
      </c>
    </row>
    <row r="155" spans="1:6">
      <c r="A155" t="s">
        <v>1188</v>
      </c>
      <c r="B155">
        <v>16</v>
      </c>
      <c r="C155" t="s">
        <v>627</v>
      </c>
      <c r="D155" t="s">
        <v>616</v>
      </c>
      <c r="E155">
        <v>5</v>
      </c>
      <c r="F155" t="s">
        <v>343</v>
      </c>
    </row>
    <row r="156" spans="1:6">
      <c r="A156" t="s">
        <v>1189</v>
      </c>
      <c r="B156">
        <v>16</v>
      </c>
      <c r="C156" t="s">
        <v>627</v>
      </c>
      <c r="D156" t="s">
        <v>616</v>
      </c>
      <c r="E156">
        <v>9</v>
      </c>
      <c r="F156" t="s">
        <v>344</v>
      </c>
    </row>
    <row r="157" spans="1:6">
      <c r="A157" t="s">
        <v>1190</v>
      </c>
      <c r="B157">
        <v>16</v>
      </c>
      <c r="C157" t="s">
        <v>627</v>
      </c>
      <c r="D157" t="s">
        <v>616</v>
      </c>
      <c r="E157">
        <v>19</v>
      </c>
      <c r="F157" t="s">
        <v>345</v>
      </c>
    </row>
    <row r="158" spans="1:6">
      <c r="A158" t="s">
        <v>1191</v>
      </c>
      <c r="B158">
        <v>16</v>
      </c>
      <c r="C158" t="s">
        <v>627</v>
      </c>
      <c r="D158" t="s">
        <v>616</v>
      </c>
      <c r="E158">
        <v>20</v>
      </c>
      <c r="F158" t="s">
        <v>346</v>
      </c>
    </row>
    <row r="159" spans="1:6">
      <c r="A159" t="s">
        <v>1192</v>
      </c>
      <c r="B159">
        <v>16</v>
      </c>
      <c r="C159" t="s">
        <v>627</v>
      </c>
      <c r="D159" t="s">
        <v>616</v>
      </c>
      <c r="E159">
        <v>21</v>
      </c>
      <c r="F159" t="s">
        <v>347</v>
      </c>
    </row>
    <row r="160" spans="1:6">
      <c r="A160" t="s">
        <v>1193</v>
      </c>
      <c r="B160">
        <v>16</v>
      </c>
      <c r="C160" t="s">
        <v>627</v>
      </c>
      <c r="D160" t="s">
        <v>616</v>
      </c>
      <c r="E160">
        <v>22</v>
      </c>
      <c r="F160" t="s">
        <v>348</v>
      </c>
    </row>
    <row r="161" spans="1:6">
      <c r="A161" t="s">
        <v>1194</v>
      </c>
      <c r="B161">
        <v>16</v>
      </c>
      <c r="C161" t="s">
        <v>627</v>
      </c>
      <c r="D161" t="s">
        <v>616</v>
      </c>
      <c r="E161">
        <v>24</v>
      </c>
      <c r="F161" t="s">
        <v>349</v>
      </c>
    </row>
    <row r="162" spans="1:6">
      <c r="A162" t="s">
        <v>1195</v>
      </c>
      <c r="B162">
        <v>16</v>
      </c>
      <c r="C162" t="s">
        <v>627</v>
      </c>
      <c r="D162" t="s">
        <v>616</v>
      </c>
      <c r="E162">
        <v>25</v>
      </c>
      <c r="F162" t="s">
        <v>350</v>
      </c>
    </row>
    <row r="163" spans="1:6">
      <c r="A163" t="s">
        <v>1196</v>
      </c>
      <c r="B163">
        <v>16</v>
      </c>
      <c r="C163" t="s">
        <v>627</v>
      </c>
      <c r="D163" t="s">
        <v>616</v>
      </c>
      <c r="E163">
        <v>28</v>
      </c>
      <c r="F163" t="s">
        <v>351</v>
      </c>
    </row>
    <row r="164" spans="1:6">
      <c r="A164" t="s">
        <v>1197</v>
      </c>
      <c r="B164">
        <v>16</v>
      </c>
      <c r="C164" t="s">
        <v>627</v>
      </c>
      <c r="D164" t="s">
        <v>616</v>
      </c>
      <c r="E164">
        <v>29</v>
      </c>
      <c r="F164" t="s">
        <v>352</v>
      </c>
    </row>
    <row r="165" spans="1:6">
      <c r="A165" t="s">
        <v>1198</v>
      </c>
      <c r="B165">
        <v>19</v>
      </c>
      <c r="C165" t="s">
        <v>632</v>
      </c>
      <c r="D165" t="s">
        <v>619</v>
      </c>
      <c r="E165">
        <v>38</v>
      </c>
      <c r="F165" t="s">
        <v>506</v>
      </c>
    </row>
    <row r="166" spans="1:6">
      <c r="A166" t="s">
        <v>1199</v>
      </c>
      <c r="B166">
        <v>19</v>
      </c>
      <c r="C166" t="s">
        <v>632</v>
      </c>
      <c r="D166" t="s">
        <v>616</v>
      </c>
      <c r="E166">
        <v>1</v>
      </c>
      <c r="F166" t="s">
        <v>507</v>
      </c>
    </row>
    <row r="167" spans="1:6">
      <c r="A167" t="s">
        <v>1200</v>
      </c>
      <c r="B167">
        <v>20</v>
      </c>
      <c r="C167" t="s">
        <v>63</v>
      </c>
      <c r="D167" t="s">
        <v>619</v>
      </c>
      <c r="E167">
        <v>53</v>
      </c>
      <c r="F167" t="s">
        <v>411</v>
      </c>
    </row>
    <row r="168" spans="1:6">
      <c r="A168" t="s">
        <v>1201</v>
      </c>
      <c r="B168">
        <v>20</v>
      </c>
      <c r="C168" t="s">
        <v>63</v>
      </c>
      <c r="D168" t="s">
        <v>619</v>
      </c>
      <c r="E168">
        <v>57</v>
      </c>
      <c r="F168" t="s">
        <v>413</v>
      </c>
    </row>
    <row r="169" spans="1:6">
      <c r="A169" t="s">
        <v>1202</v>
      </c>
      <c r="B169">
        <v>20</v>
      </c>
      <c r="C169" t="s">
        <v>63</v>
      </c>
      <c r="D169" t="s">
        <v>619</v>
      </c>
      <c r="E169">
        <v>58</v>
      </c>
      <c r="F169" t="s">
        <v>414</v>
      </c>
    </row>
    <row r="170" spans="1:6">
      <c r="A170" t="s">
        <v>1203</v>
      </c>
      <c r="B170">
        <v>20</v>
      </c>
      <c r="C170" t="s">
        <v>63</v>
      </c>
      <c r="D170" t="s">
        <v>619</v>
      </c>
      <c r="E170">
        <v>65</v>
      </c>
      <c r="F170" t="s">
        <v>417</v>
      </c>
    </row>
    <row r="171" spans="1:6">
      <c r="A171" t="s">
        <v>1204</v>
      </c>
      <c r="B171">
        <v>20</v>
      </c>
      <c r="C171" t="s">
        <v>63</v>
      </c>
      <c r="D171" t="s">
        <v>619</v>
      </c>
      <c r="E171">
        <v>70</v>
      </c>
      <c r="F171" t="s">
        <v>418</v>
      </c>
    </row>
    <row r="172" spans="1:6">
      <c r="A172" t="s">
        <v>1205</v>
      </c>
      <c r="B172">
        <v>20</v>
      </c>
      <c r="C172" t="s">
        <v>63</v>
      </c>
      <c r="D172" t="s">
        <v>619</v>
      </c>
      <c r="E172">
        <v>71</v>
      </c>
      <c r="F172" t="s">
        <v>166</v>
      </c>
    </row>
    <row r="173" spans="1:6">
      <c r="A173" t="s">
        <v>1206</v>
      </c>
      <c r="B173">
        <v>20</v>
      </c>
      <c r="C173" t="s">
        <v>63</v>
      </c>
      <c r="D173" t="s">
        <v>619</v>
      </c>
      <c r="E173">
        <v>72</v>
      </c>
      <c r="F173" t="s">
        <v>212</v>
      </c>
    </row>
    <row r="174" spans="1:6">
      <c r="A174" t="s">
        <v>1207</v>
      </c>
      <c r="B174">
        <v>20</v>
      </c>
      <c r="C174" t="s">
        <v>63</v>
      </c>
      <c r="D174" t="s">
        <v>619</v>
      </c>
      <c r="E174">
        <v>117</v>
      </c>
      <c r="F174" t="s">
        <v>419</v>
      </c>
    </row>
    <row r="175" spans="1:6">
      <c r="A175" t="s">
        <v>1208</v>
      </c>
      <c r="B175">
        <v>20</v>
      </c>
      <c r="C175" t="s">
        <v>63</v>
      </c>
      <c r="D175" t="s">
        <v>619</v>
      </c>
      <c r="E175">
        <v>118</v>
      </c>
      <c r="F175" t="s">
        <v>420</v>
      </c>
    </row>
    <row r="176" spans="1:6">
      <c r="A176" t="s">
        <v>1209</v>
      </c>
      <c r="B176">
        <v>20</v>
      </c>
      <c r="C176" t="s">
        <v>63</v>
      </c>
      <c r="D176" t="s">
        <v>619</v>
      </c>
      <c r="E176">
        <v>176</v>
      </c>
      <c r="F176" t="s">
        <v>423</v>
      </c>
    </row>
    <row r="177" spans="1:6">
      <c r="A177" t="s">
        <v>1210</v>
      </c>
      <c r="B177">
        <v>20</v>
      </c>
      <c r="C177" t="s">
        <v>63</v>
      </c>
      <c r="D177" t="s">
        <v>619</v>
      </c>
      <c r="E177">
        <v>216</v>
      </c>
      <c r="F177" t="s">
        <v>424</v>
      </c>
    </row>
    <row r="178" spans="1:6">
      <c r="A178" t="s">
        <v>1211</v>
      </c>
      <c r="B178">
        <v>21</v>
      </c>
      <c r="C178" t="s">
        <v>426</v>
      </c>
      <c r="D178" t="s">
        <v>628</v>
      </c>
      <c r="E178">
        <v>3</v>
      </c>
      <c r="F178" t="s">
        <v>428</v>
      </c>
    </row>
    <row r="179" spans="1:6">
      <c r="A179" t="s">
        <v>1212</v>
      </c>
      <c r="B179">
        <v>23</v>
      </c>
      <c r="C179" t="s">
        <v>633</v>
      </c>
      <c r="D179" t="s">
        <v>616</v>
      </c>
      <c r="E179">
        <v>23</v>
      </c>
      <c r="F179" t="s">
        <v>510</v>
      </c>
    </row>
    <row r="180" spans="1:6">
      <c r="A180" t="s">
        <v>1213</v>
      </c>
      <c r="B180">
        <v>31</v>
      </c>
      <c r="C180" t="s">
        <v>629</v>
      </c>
      <c r="D180" t="s">
        <v>613</v>
      </c>
      <c r="E180">
        <v>1</v>
      </c>
      <c r="F180" t="s">
        <v>437</v>
      </c>
    </row>
    <row r="181" spans="1:6">
      <c r="A181" t="s">
        <v>1214</v>
      </c>
      <c r="B181">
        <v>31</v>
      </c>
      <c r="C181" t="s">
        <v>629</v>
      </c>
      <c r="D181" t="s">
        <v>613</v>
      </c>
      <c r="E181">
        <v>2</v>
      </c>
      <c r="F181" t="s">
        <v>438</v>
      </c>
    </row>
    <row r="182" spans="1:6">
      <c r="A182" t="s">
        <v>1215</v>
      </c>
      <c r="B182">
        <v>31</v>
      </c>
      <c r="C182" t="s">
        <v>629</v>
      </c>
      <c r="D182" t="s">
        <v>609</v>
      </c>
      <c r="E182">
        <v>1</v>
      </c>
      <c r="F182" t="s">
        <v>10</v>
      </c>
    </row>
    <row r="183" spans="1:6">
      <c r="A183" t="s">
        <v>1216</v>
      </c>
      <c r="B183">
        <v>31</v>
      </c>
      <c r="C183" t="s">
        <v>629</v>
      </c>
      <c r="D183" t="s">
        <v>610</v>
      </c>
      <c r="E183">
        <v>1</v>
      </c>
      <c r="F183" t="s">
        <v>11</v>
      </c>
    </row>
    <row r="184" spans="1:6">
      <c r="A184" t="s">
        <v>1217</v>
      </c>
      <c r="B184">
        <v>33</v>
      </c>
      <c r="C184" t="s">
        <v>634</v>
      </c>
      <c r="D184" t="s">
        <v>628</v>
      </c>
      <c r="E184">
        <v>301</v>
      </c>
      <c r="F184" t="s">
        <v>511</v>
      </c>
    </row>
    <row r="185" spans="1:6">
      <c r="A185" t="s">
        <v>1218</v>
      </c>
      <c r="B185">
        <v>33</v>
      </c>
      <c r="C185" t="s">
        <v>634</v>
      </c>
      <c r="D185" t="s">
        <v>628</v>
      </c>
      <c r="E185">
        <v>302</v>
      </c>
      <c r="F185" t="s">
        <v>512</v>
      </c>
    </row>
    <row r="186" spans="1:6">
      <c r="A186" t="s">
        <v>1219</v>
      </c>
      <c r="B186">
        <v>33</v>
      </c>
      <c r="C186" t="s">
        <v>634</v>
      </c>
      <c r="D186" t="s">
        <v>628</v>
      </c>
      <c r="E186">
        <v>303</v>
      </c>
      <c r="F186" t="s">
        <v>513</v>
      </c>
    </row>
    <row r="187" spans="1:6">
      <c r="A187" t="s">
        <v>1220</v>
      </c>
      <c r="B187">
        <v>33</v>
      </c>
      <c r="C187" t="s">
        <v>634</v>
      </c>
      <c r="D187" t="s">
        <v>628</v>
      </c>
      <c r="E187">
        <v>304</v>
      </c>
      <c r="F187" t="s">
        <v>514</v>
      </c>
    </row>
    <row r="188" spans="1:6">
      <c r="A188" t="s">
        <v>1221</v>
      </c>
      <c r="B188">
        <v>33</v>
      </c>
      <c r="C188" t="s">
        <v>634</v>
      </c>
      <c r="D188" t="s">
        <v>628</v>
      </c>
      <c r="E188">
        <v>305</v>
      </c>
      <c r="F188" t="s">
        <v>515</v>
      </c>
    </row>
    <row r="189" spans="1:6">
      <c r="A189" t="s">
        <v>1222</v>
      </c>
      <c r="B189">
        <v>33</v>
      </c>
      <c r="C189" t="s">
        <v>634</v>
      </c>
      <c r="D189" t="s">
        <v>628</v>
      </c>
      <c r="E189">
        <v>306</v>
      </c>
      <c r="F189" t="s">
        <v>516</v>
      </c>
    </row>
    <row r="190" spans="1:6">
      <c r="A190" t="s">
        <v>1223</v>
      </c>
      <c r="B190">
        <v>33</v>
      </c>
      <c r="C190" t="s">
        <v>634</v>
      </c>
      <c r="D190" t="s">
        <v>628</v>
      </c>
      <c r="E190">
        <v>307</v>
      </c>
      <c r="F190" t="s">
        <v>517</v>
      </c>
    </row>
    <row r="191" spans="1:6">
      <c r="A191" t="s">
        <v>1224</v>
      </c>
      <c r="B191">
        <v>33</v>
      </c>
      <c r="C191" t="s">
        <v>634</v>
      </c>
      <c r="D191" t="s">
        <v>628</v>
      </c>
      <c r="E191">
        <v>308</v>
      </c>
      <c r="F191" t="s">
        <v>518</v>
      </c>
    </row>
    <row r="192" spans="1:6">
      <c r="A192" t="s">
        <v>1225</v>
      </c>
      <c r="B192">
        <v>33</v>
      </c>
      <c r="C192" t="s">
        <v>634</v>
      </c>
      <c r="D192" t="s">
        <v>628</v>
      </c>
      <c r="E192">
        <v>310</v>
      </c>
      <c r="F192" t="s">
        <v>519</v>
      </c>
    </row>
    <row r="193" spans="1:6">
      <c r="A193" t="s">
        <v>1226</v>
      </c>
      <c r="B193">
        <v>33</v>
      </c>
      <c r="C193" t="s">
        <v>634</v>
      </c>
      <c r="D193" t="s">
        <v>628</v>
      </c>
      <c r="E193">
        <v>311</v>
      </c>
      <c r="F193" t="s">
        <v>520</v>
      </c>
    </row>
    <row r="194" spans="1:6">
      <c r="A194" t="s">
        <v>1227</v>
      </c>
      <c r="B194">
        <v>33</v>
      </c>
      <c r="C194" t="s">
        <v>634</v>
      </c>
      <c r="D194" t="s">
        <v>628</v>
      </c>
      <c r="E194">
        <v>312</v>
      </c>
      <c r="F194" t="s">
        <v>521</v>
      </c>
    </row>
    <row r="195" spans="1:6">
      <c r="A195" t="s">
        <v>1228</v>
      </c>
      <c r="B195">
        <v>33</v>
      </c>
      <c r="C195" t="s">
        <v>634</v>
      </c>
      <c r="D195" t="s">
        <v>628</v>
      </c>
      <c r="E195">
        <v>313</v>
      </c>
      <c r="F195" t="s">
        <v>522</v>
      </c>
    </row>
    <row r="196" spans="1:6">
      <c r="A196" t="s">
        <v>1229</v>
      </c>
      <c r="B196">
        <v>33</v>
      </c>
      <c r="C196" t="s">
        <v>634</v>
      </c>
      <c r="D196" t="s">
        <v>628</v>
      </c>
      <c r="E196">
        <v>314</v>
      </c>
      <c r="F196" t="s">
        <v>523</v>
      </c>
    </row>
    <row r="197" spans="1:6">
      <c r="A197" t="s">
        <v>1230</v>
      </c>
      <c r="B197">
        <v>33</v>
      </c>
      <c r="C197" t="s">
        <v>634</v>
      </c>
      <c r="D197" t="s">
        <v>628</v>
      </c>
      <c r="E197">
        <v>315</v>
      </c>
      <c r="F197" t="s">
        <v>524</v>
      </c>
    </row>
    <row r="198" spans="1:6">
      <c r="A198" t="s">
        <v>1231</v>
      </c>
      <c r="B198">
        <v>33</v>
      </c>
      <c r="C198" t="s">
        <v>634</v>
      </c>
      <c r="D198" t="s">
        <v>628</v>
      </c>
      <c r="E198">
        <v>316</v>
      </c>
      <c r="F198" t="s">
        <v>525</v>
      </c>
    </row>
    <row r="199" spans="1:6">
      <c r="A199" t="s">
        <v>1232</v>
      </c>
      <c r="B199">
        <v>33</v>
      </c>
      <c r="C199" t="s">
        <v>634</v>
      </c>
      <c r="D199" t="s">
        <v>628</v>
      </c>
      <c r="E199">
        <v>317</v>
      </c>
      <c r="F199" t="s">
        <v>526</v>
      </c>
    </row>
    <row r="200" spans="1:6">
      <c r="A200" t="s">
        <v>1233</v>
      </c>
      <c r="B200">
        <v>33</v>
      </c>
      <c r="C200" t="s">
        <v>634</v>
      </c>
      <c r="D200" t="s">
        <v>628</v>
      </c>
      <c r="E200">
        <v>318</v>
      </c>
      <c r="F200" t="s">
        <v>527</v>
      </c>
    </row>
    <row r="201" spans="1:6">
      <c r="A201" t="s">
        <v>1234</v>
      </c>
      <c r="B201">
        <v>33</v>
      </c>
      <c r="C201" t="s">
        <v>634</v>
      </c>
      <c r="D201" t="s">
        <v>628</v>
      </c>
      <c r="E201">
        <v>319</v>
      </c>
      <c r="F201" t="s">
        <v>528</v>
      </c>
    </row>
    <row r="202" spans="1:6">
      <c r="A202" t="s">
        <v>1235</v>
      </c>
      <c r="B202">
        <v>33</v>
      </c>
      <c r="C202" t="s">
        <v>634</v>
      </c>
      <c r="D202" t="s">
        <v>628</v>
      </c>
      <c r="E202">
        <v>320</v>
      </c>
      <c r="F202" t="s">
        <v>529</v>
      </c>
    </row>
    <row r="203" spans="1:6">
      <c r="A203" t="s">
        <v>1236</v>
      </c>
      <c r="B203">
        <v>33</v>
      </c>
      <c r="C203" t="s">
        <v>634</v>
      </c>
      <c r="D203" t="s">
        <v>628</v>
      </c>
      <c r="E203">
        <v>321</v>
      </c>
      <c r="F203" t="s">
        <v>530</v>
      </c>
    </row>
    <row r="204" spans="1:6">
      <c r="A204" t="s">
        <v>1237</v>
      </c>
      <c r="B204">
        <v>33</v>
      </c>
      <c r="C204" t="s">
        <v>634</v>
      </c>
      <c r="D204" t="s">
        <v>628</v>
      </c>
      <c r="E204">
        <v>322</v>
      </c>
      <c r="F204" t="s">
        <v>531</v>
      </c>
    </row>
    <row r="205" spans="1:6">
      <c r="A205" t="s">
        <v>1238</v>
      </c>
      <c r="B205">
        <v>33</v>
      </c>
      <c r="C205" t="s">
        <v>634</v>
      </c>
      <c r="D205" t="s">
        <v>628</v>
      </c>
      <c r="E205">
        <v>323</v>
      </c>
      <c r="F205" t="s">
        <v>532</v>
      </c>
    </row>
    <row r="206" spans="1:6">
      <c r="A206" t="s">
        <v>1239</v>
      </c>
      <c r="B206">
        <v>33</v>
      </c>
      <c r="C206" t="s">
        <v>634</v>
      </c>
      <c r="D206" t="s">
        <v>628</v>
      </c>
      <c r="E206">
        <v>324</v>
      </c>
      <c r="F206" t="s">
        <v>533</v>
      </c>
    </row>
    <row r="207" spans="1:6">
      <c r="A207" t="s">
        <v>1240</v>
      </c>
      <c r="B207">
        <v>33</v>
      </c>
      <c r="C207" t="s">
        <v>634</v>
      </c>
      <c r="D207" t="s">
        <v>628</v>
      </c>
      <c r="E207">
        <v>325</v>
      </c>
      <c r="F207" t="s">
        <v>534</v>
      </c>
    </row>
    <row r="208" spans="1:6">
      <c r="A208" t="s">
        <v>1241</v>
      </c>
      <c r="B208">
        <v>33</v>
      </c>
      <c r="C208" t="s">
        <v>634</v>
      </c>
      <c r="D208" t="s">
        <v>628</v>
      </c>
      <c r="E208">
        <v>326</v>
      </c>
      <c r="F208" t="s">
        <v>535</v>
      </c>
    </row>
    <row r="209" spans="1:6">
      <c r="A209" t="s">
        <v>1242</v>
      </c>
      <c r="B209">
        <v>33</v>
      </c>
      <c r="C209" t="s">
        <v>634</v>
      </c>
      <c r="D209" t="s">
        <v>628</v>
      </c>
      <c r="E209">
        <v>327</v>
      </c>
      <c r="F209" t="s">
        <v>536</v>
      </c>
    </row>
    <row r="210" spans="1:6">
      <c r="A210" t="s">
        <v>1243</v>
      </c>
      <c r="B210">
        <v>33</v>
      </c>
      <c r="C210" t="s">
        <v>634</v>
      </c>
      <c r="D210" t="s">
        <v>628</v>
      </c>
      <c r="E210">
        <v>328</v>
      </c>
      <c r="F210" t="s">
        <v>537</v>
      </c>
    </row>
    <row r="211" spans="1:6">
      <c r="A211" t="s">
        <v>1244</v>
      </c>
      <c r="B211">
        <v>33</v>
      </c>
      <c r="C211" t="s">
        <v>634</v>
      </c>
      <c r="D211" t="s">
        <v>628</v>
      </c>
      <c r="E211">
        <v>329</v>
      </c>
      <c r="F211" t="s">
        <v>538</v>
      </c>
    </row>
    <row r="212" spans="1:6">
      <c r="A212" t="s">
        <v>1245</v>
      </c>
      <c r="B212">
        <v>33</v>
      </c>
      <c r="C212" t="s">
        <v>634</v>
      </c>
      <c r="D212" t="s">
        <v>628</v>
      </c>
      <c r="E212">
        <v>330</v>
      </c>
      <c r="F212" t="s">
        <v>539</v>
      </c>
    </row>
    <row r="213" spans="1:6">
      <c r="A213" t="s">
        <v>1246</v>
      </c>
      <c r="B213">
        <v>33</v>
      </c>
      <c r="C213" t="s">
        <v>634</v>
      </c>
      <c r="D213" t="s">
        <v>628</v>
      </c>
      <c r="E213">
        <v>331</v>
      </c>
      <c r="F213" t="s">
        <v>540</v>
      </c>
    </row>
    <row r="214" spans="1:6">
      <c r="A214" t="s">
        <v>1247</v>
      </c>
      <c r="B214">
        <v>33</v>
      </c>
      <c r="C214" t="s">
        <v>634</v>
      </c>
      <c r="D214" t="s">
        <v>628</v>
      </c>
      <c r="E214">
        <v>332</v>
      </c>
      <c r="F214" t="s">
        <v>541</v>
      </c>
    </row>
    <row r="215" spans="1:6">
      <c r="A215" t="s">
        <v>1248</v>
      </c>
      <c r="B215">
        <v>33</v>
      </c>
      <c r="C215" t="s">
        <v>634</v>
      </c>
      <c r="D215" t="s">
        <v>628</v>
      </c>
      <c r="E215">
        <v>401</v>
      </c>
      <c r="F215" t="s">
        <v>542</v>
      </c>
    </row>
    <row r="216" spans="1:6">
      <c r="A216" t="s">
        <v>1249</v>
      </c>
      <c r="B216">
        <v>33</v>
      </c>
      <c r="C216" t="s">
        <v>634</v>
      </c>
      <c r="D216" t="s">
        <v>628</v>
      </c>
      <c r="E216">
        <v>402</v>
      </c>
      <c r="F216" t="s">
        <v>543</v>
      </c>
    </row>
    <row r="217" spans="1:6">
      <c r="A217" t="s">
        <v>1250</v>
      </c>
      <c r="B217">
        <v>33</v>
      </c>
      <c r="C217" t="s">
        <v>634</v>
      </c>
      <c r="D217" t="s">
        <v>628</v>
      </c>
      <c r="E217">
        <v>403</v>
      </c>
      <c r="F217" t="s">
        <v>544</v>
      </c>
    </row>
    <row r="218" spans="1:6">
      <c r="A218" t="s">
        <v>1251</v>
      </c>
      <c r="B218">
        <v>33</v>
      </c>
      <c r="C218" t="s">
        <v>634</v>
      </c>
      <c r="D218" t="s">
        <v>628</v>
      </c>
      <c r="E218">
        <v>404</v>
      </c>
      <c r="F218" t="s">
        <v>545</v>
      </c>
    </row>
    <row r="219" spans="1:6">
      <c r="A219" t="s">
        <v>1252</v>
      </c>
      <c r="B219">
        <v>33</v>
      </c>
      <c r="C219" t="s">
        <v>634</v>
      </c>
      <c r="D219" t="s">
        <v>628</v>
      </c>
      <c r="E219">
        <v>405</v>
      </c>
      <c r="F219" t="s">
        <v>546</v>
      </c>
    </row>
    <row r="220" spans="1:6">
      <c r="A220" t="s">
        <v>1253</v>
      </c>
      <c r="B220">
        <v>33</v>
      </c>
      <c r="C220" t="s">
        <v>634</v>
      </c>
      <c r="D220" t="s">
        <v>628</v>
      </c>
      <c r="E220">
        <v>406</v>
      </c>
      <c r="F220" t="s">
        <v>547</v>
      </c>
    </row>
    <row r="221" spans="1:6">
      <c r="A221" t="s">
        <v>1254</v>
      </c>
      <c r="B221">
        <v>33</v>
      </c>
      <c r="C221" t="s">
        <v>634</v>
      </c>
      <c r="D221" t="s">
        <v>628</v>
      </c>
      <c r="E221">
        <v>407</v>
      </c>
      <c r="F221" t="s">
        <v>548</v>
      </c>
    </row>
    <row r="222" spans="1:6">
      <c r="A222" t="s">
        <v>1255</v>
      </c>
      <c r="B222">
        <v>33</v>
      </c>
      <c r="C222" t="s">
        <v>634</v>
      </c>
      <c r="D222" t="s">
        <v>628</v>
      </c>
      <c r="E222">
        <v>408</v>
      </c>
      <c r="F222" t="s">
        <v>549</v>
      </c>
    </row>
    <row r="223" spans="1:6">
      <c r="A223" t="s">
        <v>1256</v>
      </c>
      <c r="B223">
        <v>33</v>
      </c>
      <c r="C223" t="s">
        <v>634</v>
      </c>
      <c r="D223" t="s">
        <v>628</v>
      </c>
      <c r="E223">
        <v>409</v>
      </c>
      <c r="F223" t="s">
        <v>550</v>
      </c>
    </row>
    <row r="224" spans="1:6">
      <c r="A224" t="s">
        <v>1257</v>
      </c>
      <c r="B224">
        <v>33</v>
      </c>
      <c r="C224" t="s">
        <v>634</v>
      </c>
      <c r="D224" t="s">
        <v>628</v>
      </c>
      <c r="E224">
        <v>410</v>
      </c>
      <c r="F224" t="s">
        <v>551</v>
      </c>
    </row>
    <row r="225" spans="1:6">
      <c r="A225" t="s">
        <v>1258</v>
      </c>
      <c r="B225">
        <v>33</v>
      </c>
      <c r="C225" t="s">
        <v>634</v>
      </c>
      <c r="D225" t="s">
        <v>628</v>
      </c>
      <c r="E225">
        <v>411</v>
      </c>
      <c r="F225" t="s">
        <v>552</v>
      </c>
    </row>
    <row r="226" spans="1:6">
      <c r="A226" t="s">
        <v>1259</v>
      </c>
      <c r="B226">
        <v>33</v>
      </c>
      <c r="C226" t="s">
        <v>634</v>
      </c>
      <c r="D226" t="s">
        <v>628</v>
      </c>
      <c r="E226">
        <v>412</v>
      </c>
      <c r="F226" t="s">
        <v>553</v>
      </c>
    </row>
    <row r="227" spans="1:6">
      <c r="A227" t="s">
        <v>1260</v>
      </c>
      <c r="B227">
        <v>33</v>
      </c>
      <c r="C227" t="s">
        <v>634</v>
      </c>
      <c r="D227" t="s">
        <v>628</v>
      </c>
      <c r="E227">
        <v>413</v>
      </c>
      <c r="F227" t="s">
        <v>554</v>
      </c>
    </row>
    <row r="228" spans="1:6">
      <c r="A228" t="s">
        <v>1261</v>
      </c>
      <c r="B228">
        <v>33</v>
      </c>
      <c r="C228" t="s">
        <v>634</v>
      </c>
      <c r="D228" t="s">
        <v>628</v>
      </c>
      <c r="E228">
        <v>414</v>
      </c>
      <c r="F228" t="s">
        <v>555</v>
      </c>
    </row>
    <row r="229" spans="1:6">
      <c r="A229" t="s">
        <v>1262</v>
      </c>
      <c r="B229">
        <v>33</v>
      </c>
      <c r="C229" t="s">
        <v>634</v>
      </c>
      <c r="D229" t="s">
        <v>628</v>
      </c>
      <c r="E229">
        <v>415</v>
      </c>
      <c r="F229" t="s">
        <v>556</v>
      </c>
    </row>
    <row r="230" spans="1:6">
      <c r="A230" t="s">
        <v>1263</v>
      </c>
      <c r="B230">
        <v>33</v>
      </c>
      <c r="C230" t="s">
        <v>634</v>
      </c>
      <c r="D230" t="s">
        <v>628</v>
      </c>
      <c r="E230">
        <v>416</v>
      </c>
      <c r="F230" t="s">
        <v>557</v>
      </c>
    </row>
    <row r="231" spans="1:6">
      <c r="A231" t="s">
        <v>1264</v>
      </c>
      <c r="B231">
        <v>33</v>
      </c>
      <c r="C231" t="s">
        <v>634</v>
      </c>
      <c r="D231" t="s">
        <v>628</v>
      </c>
      <c r="E231">
        <v>417</v>
      </c>
      <c r="F231" t="s">
        <v>558</v>
      </c>
    </row>
    <row r="232" spans="1:6">
      <c r="A232" t="s">
        <v>1265</v>
      </c>
      <c r="B232">
        <v>33</v>
      </c>
      <c r="C232" t="s">
        <v>634</v>
      </c>
      <c r="D232" t="s">
        <v>628</v>
      </c>
      <c r="E232">
        <v>418</v>
      </c>
      <c r="F232" t="s">
        <v>559</v>
      </c>
    </row>
    <row r="233" spans="1:6">
      <c r="A233" t="s">
        <v>1266</v>
      </c>
      <c r="B233">
        <v>33</v>
      </c>
      <c r="C233" t="s">
        <v>634</v>
      </c>
      <c r="D233" t="s">
        <v>628</v>
      </c>
      <c r="E233">
        <v>419</v>
      </c>
      <c r="F233" t="s">
        <v>560</v>
      </c>
    </row>
    <row r="234" spans="1:6">
      <c r="A234" t="s">
        <v>1267</v>
      </c>
      <c r="B234">
        <v>33</v>
      </c>
      <c r="C234" t="s">
        <v>634</v>
      </c>
      <c r="D234" t="s">
        <v>628</v>
      </c>
      <c r="E234">
        <v>420</v>
      </c>
      <c r="F234" t="s">
        <v>561</v>
      </c>
    </row>
    <row r="235" spans="1:6">
      <c r="A235" t="s">
        <v>1268</v>
      </c>
      <c r="B235">
        <v>33</v>
      </c>
      <c r="C235" t="s">
        <v>634</v>
      </c>
      <c r="D235" t="s">
        <v>628</v>
      </c>
      <c r="E235">
        <v>421</v>
      </c>
      <c r="F235" t="s">
        <v>562</v>
      </c>
    </row>
    <row r="236" spans="1:6">
      <c r="A236" t="s">
        <v>1269</v>
      </c>
      <c r="B236">
        <v>33</v>
      </c>
      <c r="C236" t="s">
        <v>634</v>
      </c>
      <c r="D236" t="s">
        <v>628</v>
      </c>
      <c r="E236">
        <v>422</v>
      </c>
      <c r="F236" t="s">
        <v>563</v>
      </c>
    </row>
    <row r="237" spans="1:6">
      <c r="A237" t="s">
        <v>1270</v>
      </c>
      <c r="B237">
        <v>33</v>
      </c>
      <c r="C237" t="s">
        <v>634</v>
      </c>
      <c r="D237" t="s">
        <v>628</v>
      </c>
      <c r="E237">
        <v>423</v>
      </c>
      <c r="F237" t="s">
        <v>564</v>
      </c>
    </row>
    <row r="238" spans="1:6">
      <c r="A238" t="s">
        <v>1271</v>
      </c>
      <c r="B238">
        <v>33</v>
      </c>
      <c r="C238" t="s">
        <v>634</v>
      </c>
      <c r="D238" t="s">
        <v>628</v>
      </c>
      <c r="E238">
        <v>424</v>
      </c>
      <c r="F238" t="s">
        <v>565</v>
      </c>
    </row>
    <row r="239" spans="1:6">
      <c r="A239" t="s">
        <v>1272</v>
      </c>
      <c r="B239">
        <v>33</v>
      </c>
      <c r="C239" t="s">
        <v>634</v>
      </c>
      <c r="D239" t="s">
        <v>628</v>
      </c>
      <c r="E239">
        <v>425</v>
      </c>
      <c r="F239" t="s">
        <v>566</v>
      </c>
    </row>
    <row r="240" spans="1:6">
      <c r="A240" t="s">
        <v>1273</v>
      </c>
      <c r="B240">
        <v>33</v>
      </c>
      <c r="C240" t="s">
        <v>634</v>
      </c>
      <c r="D240" t="s">
        <v>628</v>
      </c>
      <c r="E240">
        <v>426</v>
      </c>
      <c r="F240" t="s">
        <v>567</v>
      </c>
    </row>
    <row r="241" spans="1:6">
      <c r="A241" t="s">
        <v>1274</v>
      </c>
      <c r="B241">
        <v>33</v>
      </c>
      <c r="C241" t="s">
        <v>634</v>
      </c>
      <c r="D241" t="s">
        <v>628</v>
      </c>
      <c r="E241">
        <v>427</v>
      </c>
      <c r="F241" t="s">
        <v>568</v>
      </c>
    </row>
    <row r="242" spans="1:6">
      <c r="A242" t="s">
        <v>1275</v>
      </c>
      <c r="B242">
        <v>33</v>
      </c>
      <c r="C242" t="s">
        <v>634</v>
      </c>
      <c r="D242" t="s">
        <v>628</v>
      </c>
      <c r="E242">
        <v>428</v>
      </c>
      <c r="F242" t="s">
        <v>569</v>
      </c>
    </row>
    <row r="243" spans="1:6">
      <c r="A243" t="s">
        <v>1276</v>
      </c>
      <c r="B243">
        <v>33</v>
      </c>
      <c r="C243" t="s">
        <v>634</v>
      </c>
      <c r="D243" t="s">
        <v>628</v>
      </c>
      <c r="E243">
        <v>429</v>
      </c>
      <c r="F243" t="s">
        <v>570</v>
      </c>
    </row>
    <row r="244" spans="1:6">
      <c r="A244" t="s">
        <v>1277</v>
      </c>
      <c r="B244">
        <v>33</v>
      </c>
      <c r="C244" t="s">
        <v>634</v>
      </c>
      <c r="D244" t="s">
        <v>628</v>
      </c>
      <c r="E244">
        <v>430</v>
      </c>
      <c r="F244" t="s">
        <v>571</v>
      </c>
    </row>
    <row r="245" spans="1:6">
      <c r="A245" t="s">
        <v>1278</v>
      </c>
      <c r="B245">
        <v>33</v>
      </c>
      <c r="C245" t="s">
        <v>634</v>
      </c>
      <c r="D245" t="s">
        <v>628</v>
      </c>
      <c r="E245">
        <v>431</v>
      </c>
      <c r="F245" t="s">
        <v>572</v>
      </c>
    </row>
    <row r="246" spans="1:6">
      <c r="A246" t="s">
        <v>1279</v>
      </c>
      <c r="B246">
        <v>33</v>
      </c>
      <c r="C246" t="s">
        <v>634</v>
      </c>
      <c r="D246" t="s">
        <v>628</v>
      </c>
      <c r="E246">
        <v>432</v>
      </c>
      <c r="F246" t="s">
        <v>573</v>
      </c>
    </row>
    <row r="247" spans="1:6">
      <c r="A247" t="s">
        <v>1280</v>
      </c>
      <c r="B247">
        <v>33</v>
      </c>
      <c r="C247" t="s">
        <v>634</v>
      </c>
      <c r="D247" t="s">
        <v>628</v>
      </c>
      <c r="E247">
        <v>501</v>
      </c>
      <c r="F247" t="s">
        <v>574</v>
      </c>
    </row>
    <row r="248" spans="1:6">
      <c r="A248" t="s">
        <v>1281</v>
      </c>
      <c r="B248">
        <v>33</v>
      </c>
      <c r="C248" t="s">
        <v>634</v>
      </c>
      <c r="D248" t="s">
        <v>628</v>
      </c>
      <c r="E248">
        <v>502</v>
      </c>
      <c r="F248" t="s">
        <v>575</v>
      </c>
    </row>
    <row r="249" spans="1:6">
      <c r="A249" t="s">
        <v>1282</v>
      </c>
      <c r="B249">
        <v>33</v>
      </c>
      <c r="C249" t="s">
        <v>634</v>
      </c>
      <c r="D249" t="s">
        <v>628</v>
      </c>
      <c r="E249">
        <v>503</v>
      </c>
      <c r="F249" t="s">
        <v>576</v>
      </c>
    </row>
    <row r="250" spans="1:6">
      <c r="A250" t="s">
        <v>1283</v>
      </c>
      <c r="B250">
        <v>33</v>
      </c>
      <c r="C250" t="s">
        <v>634</v>
      </c>
      <c r="D250" t="s">
        <v>628</v>
      </c>
      <c r="E250">
        <v>504</v>
      </c>
      <c r="F250" t="s">
        <v>577</v>
      </c>
    </row>
    <row r="251" spans="1:6">
      <c r="A251" t="s">
        <v>1284</v>
      </c>
      <c r="B251">
        <v>33</v>
      </c>
      <c r="C251" t="s">
        <v>634</v>
      </c>
      <c r="D251" t="s">
        <v>628</v>
      </c>
      <c r="E251">
        <v>505</v>
      </c>
      <c r="F251" t="s">
        <v>578</v>
      </c>
    </row>
    <row r="252" spans="1:6">
      <c r="A252" t="s">
        <v>1285</v>
      </c>
      <c r="B252">
        <v>33</v>
      </c>
      <c r="C252" t="s">
        <v>634</v>
      </c>
      <c r="D252" t="s">
        <v>628</v>
      </c>
      <c r="E252">
        <v>506</v>
      </c>
      <c r="F252" t="s">
        <v>579</v>
      </c>
    </row>
    <row r="253" spans="1:6">
      <c r="A253" t="s">
        <v>1286</v>
      </c>
      <c r="B253">
        <v>33</v>
      </c>
      <c r="C253" t="s">
        <v>634</v>
      </c>
      <c r="D253" t="s">
        <v>628</v>
      </c>
      <c r="E253">
        <v>507</v>
      </c>
      <c r="F253" t="s">
        <v>580</v>
      </c>
    </row>
    <row r="254" spans="1:6">
      <c r="A254" t="s">
        <v>1287</v>
      </c>
      <c r="B254">
        <v>33</v>
      </c>
      <c r="C254" t="s">
        <v>634</v>
      </c>
      <c r="D254" t="s">
        <v>628</v>
      </c>
      <c r="E254">
        <v>508</v>
      </c>
      <c r="F254" t="s">
        <v>581</v>
      </c>
    </row>
    <row r="255" spans="1:6">
      <c r="A255" t="s">
        <v>1288</v>
      </c>
      <c r="B255">
        <v>33</v>
      </c>
      <c r="C255" t="s">
        <v>634</v>
      </c>
      <c r="D255" t="s">
        <v>628</v>
      </c>
      <c r="E255">
        <v>509</v>
      </c>
      <c r="F255" t="s">
        <v>582</v>
      </c>
    </row>
    <row r="256" spans="1:6">
      <c r="A256" t="s">
        <v>1289</v>
      </c>
      <c r="B256">
        <v>33</v>
      </c>
      <c r="C256" t="s">
        <v>634</v>
      </c>
      <c r="D256" t="s">
        <v>628</v>
      </c>
      <c r="E256">
        <v>510</v>
      </c>
      <c r="F256" t="s">
        <v>583</v>
      </c>
    </row>
    <row r="257" spans="1:6">
      <c r="A257" t="s">
        <v>1290</v>
      </c>
      <c r="B257">
        <v>33</v>
      </c>
      <c r="C257" t="s">
        <v>634</v>
      </c>
      <c r="D257" t="s">
        <v>628</v>
      </c>
      <c r="E257">
        <v>511</v>
      </c>
      <c r="F257" t="s">
        <v>584</v>
      </c>
    </row>
    <row r="258" spans="1:6">
      <c r="A258" t="s">
        <v>1291</v>
      </c>
      <c r="B258">
        <v>33</v>
      </c>
      <c r="C258" t="s">
        <v>634</v>
      </c>
      <c r="D258" t="s">
        <v>628</v>
      </c>
      <c r="E258">
        <v>512</v>
      </c>
      <c r="F258" t="s">
        <v>585</v>
      </c>
    </row>
    <row r="259" spans="1:6">
      <c r="A259" t="s">
        <v>1292</v>
      </c>
      <c r="B259">
        <v>33</v>
      </c>
      <c r="C259" t="s">
        <v>634</v>
      </c>
      <c r="D259" t="s">
        <v>628</v>
      </c>
      <c r="E259">
        <v>513</v>
      </c>
      <c r="F259" t="s">
        <v>586</v>
      </c>
    </row>
    <row r="260" spans="1:6">
      <c r="A260" t="s">
        <v>1293</v>
      </c>
      <c r="B260">
        <v>33</v>
      </c>
      <c r="C260" t="s">
        <v>634</v>
      </c>
      <c r="D260" t="s">
        <v>628</v>
      </c>
      <c r="E260">
        <v>514</v>
      </c>
      <c r="F260" t="s">
        <v>587</v>
      </c>
    </row>
    <row r="261" spans="1:6">
      <c r="A261" t="s">
        <v>1294</v>
      </c>
      <c r="B261">
        <v>33</v>
      </c>
      <c r="C261" t="s">
        <v>634</v>
      </c>
      <c r="D261" t="s">
        <v>628</v>
      </c>
      <c r="E261">
        <v>515</v>
      </c>
      <c r="F261" t="s">
        <v>588</v>
      </c>
    </row>
    <row r="262" spans="1:6">
      <c r="A262" t="s">
        <v>1295</v>
      </c>
      <c r="B262">
        <v>33</v>
      </c>
      <c r="C262" t="s">
        <v>634</v>
      </c>
      <c r="D262" t="s">
        <v>628</v>
      </c>
      <c r="E262">
        <v>516</v>
      </c>
      <c r="F262" t="s">
        <v>589</v>
      </c>
    </row>
    <row r="263" spans="1:6">
      <c r="A263" t="s">
        <v>1296</v>
      </c>
      <c r="B263">
        <v>33</v>
      </c>
      <c r="C263" t="s">
        <v>634</v>
      </c>
      <c r="D263" t="s">
        <v>628</v>
      </c>
      <c r="E263">
        <v>517</v>
      </c>
      <c r="F263" t="s">
        <v>590</v>
      </c>
    </row>
    <row r="264" spans="1:6">
      <c r="A264" t="s">
        <v>1297</v>
      </c>
      <c r="B264">
        <v>33</v>
      </c>
      <c r="C264" t="s">
        <v>634</v>
      </c>
      <c r="D264" t="s">
        <v>628</v>
      </c>
      <c r="E264">
        <v>518</v>
      </c>
      <c r="F264" t="s">
        <v>591</v>
      </c>
    </row>
    <row r="265" spans="1:6">
      <c r="A265" t="s">
        <v>1298</v>
      </c>
      <c r="B265">
        <v>33</v>
      </c>
      <c r="C265" t="s">
        <v>634</v>
      </c>
      <c r="D265" t="s">
        <v>628</v>
      </c>
      <c r="E265">
        <v>519</v>
      </c>
      <c r="F265" t="s">
        <v>592</v>
      </c>
    </row>
    <row r="266" spans="1:6">
      <c r="A266" t="s">
        <v>1299</v>
      </c>
      <c r="B266">
        <v>33</v>
      </c>
      <c r="C266" t="s">
        <v>634</v>
      </c>
      <c r="D266" t="s">
        <v>628</v>
      </c>
      <c r="E266">
        <v>520</v>
      </c>
      <c r="F266" t="s">
        <v>593</v>
      </c>
    </row>
    <row r="267" spans="1:6">
      <c r="A267" t="s">
        <v>1300</v>
      </c>
      <c r="B267">
        <v>33</v>
      </c>
      <c r="C267" t="s">
        <v>634</v>
      </c>
      <c r="D267" t="s">
        <v>628</v>
      </c>
      <c r="E267">
        <v>521</v>
      </c>
      <c r="F267" t="s">
        <v>594</v>
      </c>
    </row>
    <row r="268" spans="1:6">
      <c r="A268" t="s">
        <v>1301</v>
      </c>
      <c r="B268">
        <v>33</v>
      </c>
      <c r="C268" t="s">
        <v>634</v>
      </c>
      <c r="D268" t="s">
        <v>628</v>
      </c>
      <c r="E268">
        <v>522</v>
      </c>
      <c r="F268" t="s">
        <v>595</v>
      </c>
    </row>
    <row r="269" spans="1:6">
      <c r="A269" t="s">
        <v>1302</v>
      </c>
      <c r="B269">
        <v>33</v>
      </c>
      <c r="C269" t="s">
        <v>634</v>
      </c>
      <c r="D269" t="s">
        <v>628</v>
      </c>
      <c r="E269">
        <v>523</v>
      </c>
      <c r="F269" t="s">
        <v>596</v>
      </c>
    </row>
    <row r="270" spans="1:6">
      <c r="A270" t="s">
        <v>1303</v>
      </c>
      <c r="B270">
        <v>33</v>
      </c>
      <c r="C270" t="s">
        <v>634</v>
      </c>
      <c r="D270" t="s">
        <v>628</v>
      </c>
      <c r="E270">
        <v>524</v>
      </c>
      <c r="F270" t="s">
        <v>597</v>
      </c>
    </row>
    <row r="271" spans="1:6">
      <c r="A271" t="s">
        <v>1304</v>
      </c>
      <c r="B271">
        <v>33</v>
      </c>
      <c r="C271" t="s">
        <v>634</v>
      </c>
      <c r="D271" t="s">
        <v>628</v>
      </c>
      <c r="E271">
        <v>525</v>
      </c>
      <c r="F271" t="s">
        <v>598</v>
      </c>
    </row>
    <row r="272" spans="1:6">
      <c r="A272" t="s">
        <v>1305</v>
      </c>
      <c r="B272">
        <v>33</v>
      </c>
      <c r="C272" t="s">
        <v>634</v>
      </c>
      <c r="D272" t="s">
        <v>628</v>
      </c>
      <c r="E272">
        <v>526</v>
      </c>
      <c r="F272" t="s">
        <v>599</v>
      </c>
    </row>
    <row r="273" spans="1:6">
      <c r="A273" t="s">
        <v>1306</v>
      </c>
      <c r="B273">
        <v>33</v>
      </c>
      <c r="C273" t="s">
        <v>634</v>
      </c>
      <c r="D273" t="s">
        <v>628</v>
      </c>
      <c r="E273">
        <v>527</v>
      </c>
      <c r="F273" t="s">
        <v>600</v>
      </c>
    </row>
    <row r="274" spans="1:6">
      <c r="A274" t="s">
        <v>1307</v>
      </c>
      <c r="B274">
        <v>33</v>
      </c>
      <c r="C274" t="s">
        <v>634</v>
      </c>
      <c r="D274" t="s">
        <v>628</v>
      </c>
      <c r="E274">
        <v>528</v>
      </c>
      <c r="F274" t="s">
        <v>601</v>
      </c>
    </row>
    <row r="275" spans="1:6">
      <c r="A275" t="s">
        <v>1308</v>
      </c>
      <c r="B275">
        <v>33</v>
      </c>
      <c r="C275" t="s">
        <v>634</v>
      </c>
      <c r="D275" t="s">
        <v>628</v>
      </c>
      <c r="E275">
        <v>529</v>
      </c>
      <c r="F275" t="s">
        <v>602</v>
      </c>
    </row>
    <row r="276" spans="1:6">
      <c r="A276" t="s">
        <v>1309</v>
      </c>
      <c r="B276">
        <v>33</v>
      </c>
      <c r="C276" t="s">
        <v>634</v>
      </c>
      <c r="D276" t="s">
        <v>628</v>
      </c>
      <c r="E276">
        <v>530</v>
      </c>
      <c r="F276" t="s">
        <v>603</v>
      </c>
    </row>
    <row r="277" spans="1:6">
      <c r="A277" t="s">
        <v>1310</v>
      </c>
      <c r="B277">
        <v>33</v>
      </c>
      <c r="C277" t="s">
        <v>634</v>
      </c>
      <c r="D277" t="s">
        <v>628</v>
      </c>
      <c r="E277">
        <v>531</v>
      </c>
      <c r="F277" t="s">
        <v>604</v>
      </c>
    </row>
    <row r="278" spans="1:6">
      <c r="A278" t="s">
        <v>1311</v>
      </c>
      <c r="B278">
        <v>33</v>
      </c>
      <c r="C278" t="s">
        <v>634</v>
      </c>
      <c r="D278" t="s">
        <v>628</v>
      </c>
      <c r="E278">
        <v>532</v>
      </c>
      <c r="F278" t="s">
        <v>605</v>
      </c>
    </row>
    <row r="279" spans="1:6">
      <c r="A279" t="s">
        <v>1312</v>
      </c>
      <c r="B279">
        <v>40</v>
      </c>
      <c r="C279" t="s">
        <v>631</v>
      </c>
      <c r="D279" t="s">
        <v>613</v>
      </c>
      <c r="E279">
        <v>1</v>
      </c>
      <c r="F279" t="s">
        <v>500</v>
      </c>
    </row>
    <row r="280" spans="1:6">
      <c r="A280" t="s">
        <v>1313</v>
      </c>
      <c r="B280">
        <v>40</v>
      </c>
      <c r="C280" t="s">
        <v>631</v>
      </c>
      <c r="D280" t="s">
        <v>613</v>
      </c>
      <c r="E280">
        <v>2</v>
      </c>
      <c r="F280" t="s">
        <v>502</v>
      </c>
    </row>
    <row r="281" spans="1:6">
      <c r="A281" t="s">
        <v>1314</v>
      </c>
      <c r="B281">
        <v>40</v>
      </c>
      <c r="C281" t="s">
        <v>631</v>
      </c>
      <c r="D281" t="s">
        <v>613</v>
      </c>
      <c r="E281">
        <v>3</v>
      </c>
      <c r="F281" t="s">
        <v>503</v>
      </c>
    </row>
    <row r="282" spans="1:6">
      <c r="B282" t="s">
        <v>635</v>
      </c>
      <c r="C282"/>
      <c r="D282"/>
    </row>
    <row r="283" spans="1:6">
      <c r="C283"/>
      <c r="D283"/>
    </row>
    <row r="284" spans="1:6">
      <c r="C284"/>
      <c r="D284"/>
    </row>
    <row r="285" spans="1:6">
      <c r="C285"/>
      <c r="D285"/>
    </row>
    <row r="286" spans="1:6">
      <c r="C286"/>
      <c r="D286"/>
    </row>
    <row r="287" spans="1:6">
      <c r="C287"/>
      <c r="D287"/>
    </row>
    <row r="288" spans="1:6">
      <c r="C288"/>
      <c r="D288"/>
    </row>
    <row r="289" spans="3:4">
      <c r="C289"/>
      <c r="D289"/>
    </row>
    <row r="290" spans="3:4">
      <c r="C290"/>
      <c r="D290"/>
    </row>
    <row r="291" spans="3:4">
      <c r="C291"/>
      <c r="D291"/>
    </row>
    <row r="292" spans="3:4">
      <c r="C292"/>
      <c r="D292"/>
    </row>
    <row r="293" spans="3:4">
      <c r="C293"/>
      <c r="D293"/>
    </row>
    <row r="294" spans="3:4">
      <c r="C294"/>
      <c r="D294"/>
    </row>
    <row r="295" spans="3:4">
      <c r="C295"/>
      <c r="D295"/>
    </row>
    <row r="296" spans="3:4">
      <c r="C296"/>
      <c r="D296"/>
    </row>
    <row r="297" spans="3:4">
      <c r="C297"/>
      <c r="D297"/>
    </row>
    <row r="298" spans="3:4">
      <c r="C298"/>
      <c r="D298"/>
    </row>
    <row r="299" spans="3:4">
      <c r="C299"/>
      <c r="D299"/>
    </row>
    <row r="300" spans="3:4">
      <c r="C300"/>
      <c r="D300"/>
    </row>
    <row r="301" spans="3:4">
      <c r="C301"/>
      <c r="D301"/>
    </row>
    <row r="302" spans="3:4">
      <c r="C302"/>
      <c r="D302"/>
    </row>
    <row r="303" spans="3:4">
      <c r="C303"/>
      <c r="D303"/>
    </row>
    <row r="304" spans="3:4">
      <c r="C304"/>
      <c r="D304"/>
    </row>
    <row r="305" spans="3:4">
      <c r="C305"/>
      <c r="D305"/>
    </row>
    <row r="306" spans="3:4">
      <c r="C306"/>
      <c r="D306"/>
    </row>
    <row r="307" spans="3:4">
      <c r="C307"/>
      <c r="D307"/>
    </row>
    <row r="308" spans="3:4">
      <c r="C308"/>
      <c r="D308"/>
    </row>
    <row r="309" spans="3:4">
      <c r="C309"/>
      <c r="D309"/>
    </row>
    <row r="310" spans="3:4">
      <c r="C310"/>
      <c r="D310"/>
    </row>
    <row r="311" spans="3:4">
      <c r="C311"/>
      <c r="D311"/>
    </row>
    <row r="312" spans="3:4">
      <c r="C312"/>
      <c r="D312"/>
    </row>
    <row r="313" spans="3:4">
      <c r="C313"/>
      <c r="D313"/>
    </row>
    <row r="314" spans="3:4">
      <c r="C314"/>
      <c r="D314"/>
    </row>
    <row r="315" spans="3:4">
      <c r="C315"/>
      <c r="D315"/>
    </row>
    <row r="316" spans="3:4">
      <c r="C316"/>
      <c r="D316"/>
    </row>
    <row r="317" spans="3:4">
      <c r="C317"/>
      <c r="D317"/>
    </row>
    <row r="318" spans="3:4">
      <c r="C318"/>
      <c r="D318"/>
    </row>
    <row r="319" spans="3:4">
      <c r="C319"/>
      <c r="D319"/>
    </row>
    <row r="320" spans="3:4">
      <c r="C320"/>
      <c r="D320"/>
    </row>
    <row r="321" spans="3:4">
      <c r="C321"/>
      <c r="D321"/>
    </row>
    <row r="322" spans="3:4">
      <c r="C322"/>
      <c r="D322"/>
    </row>
    <row r="323" spans="3:4">
      <c r="C323"/>
      <c r="D323"/>
    </row>
    <row r="324" spans="3:4">
      <c r="C324"/>
      <c r="D324"/>
    </row>
    <row r="325" spans="3:4">
      <c r="C325"/>
      <c r="D325"/>
    </row>
    <row r="326" spans="3:4">
      <c r="C326"/>
      <c r="D326"/>
    </row>
    <row r="327" spans="3:4">
      <c r="C327"/>
      <c r="D327"/>
    </row>
    <row r="328" spans="3:4">
      <c r="C328"/>
      <c r="D328"/>
    </row>
    <row r="329" spans="3:4">
      <c r="C329"/>
      <c r="D329"/>
    </row>
    <row r="330" spans="3:4">
      <c r="C330"/>
      <c r="D330"/>
    </row>
    <row r="331" spans="3:4">
      <c r="C331"/>
      <c r="D331"/>
    </row>
    <row r="332" spans="3:4">
      <c r="C332"/>
      <c r="D332"/>
    </row>
    <row r="333" spans="3:4">
      <c r="C333"/>
      <c r="D333"/>
    </row>
    <row r="334" spans="3:4">
      <c r="C334"/>
      <c r="D334"/>
    </row>
    <row r="335" spans="3:4">
      <c r="C335"/>
      <c r="D335"/>
    </row>
    <row r="336" spans="3:4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</sheetData>
  <autoFilter ref="B3:F28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47">
    <tabColor rgb="FFFFC000"/>
    <pageSetUpPr fitToPage="1"/>
  </sheetPr>
  <dimension ref="A3:I4465"/>
  <sheetViews>
    <sheetView topLeftCell="A58" zoomScale="70" zoomScaleNormal="70" workbookViewId="0">
      <selection activeCell="D5" sqref="D5"/>
    </sheetView>
  </sheetViews>
  <sheetFormatPr baseColWidth="10" defaultRowHeight="15"/>
  <cols>
    <col min="1" max="2" width="8.28515625" style="42" customWidth="1"/>
    <col min="3" max="3" width="10.7109375" style="42" bestFit="1" customWidth="1"/>
    <col min="4" max="4" width="107.7109375" style="15" customWidth="1"/>
    <col min="5" max="5" width="20" style="1" customWidth="1"/>
    <col min="6" max="6" width="13.5703125" style="1" customWidth="1"/>
    <col min="7" max="7" width="16.28515625" style="1" customWidth="1"/>
    <col min="8" max="8" width="18.5703125" style="1" customWidth="1"/>
    <col min="9" max="9" width="18.5703125" customWidth="1"/>
  </cols>
  <sheetData>
    <row r="3" spans="1:9">
      <c r="E3"/>
      <c r="F3"/>
      <c r="G3"/>
      <c r="H3"/>
    </row>
    <row r="4" spans="1:9" s="42" customFormat="1">
      <c r="A4" s="246" t="s">
        <v>9</v>
      </c>
      <c r="B4" s="42">
        <v>1</v>
      </c>
      <c r="D4" s="15"/>
      <c r="E4"/>
      <c r="F4"/>
      <c r="G4"/>
      <c r="H4"/>
      <c r="I4"/>
    </row>
    <row r="5" spans="1:9" s="42" customFormat="1">
      <c r="A5" s="246" t="s">
        <v>8</v>
      </c>
      <c r="B5" s="42">
        <v>1</v>
      </c>
      <c r="D5" s="15"/>
      <c r="E5"/>
      <c r="F5"/>
      <c r="G5"/>
      <c r="H5"/>
      <c r="I5"/>
    </row>
    <row r="6" spans="1:9">
      <c r="E6"/>
      <c r="F6"/>
      <c r="G6"/>
      <c r="H6"/>
    </row>
    <row r="7" spans="1:9">
      <c r="D7" s="42"/>
      <c r="E7" s="240" t="s">
        <v>636</v>
      </c>
    </row>
    <row r="8" spans="1:9">
      <c r="A8" s="246" t="s">
        <v>606</v>
      </c>
      <c r="B8" s="246" t="s">
        <v>608</v>
      </c>
      <c r="C8" s="246" t="s">
        <v>0</v>
      </c>
      <c r="D8" s="335" t="s">
        <v>1</v>
      </c>
      <c r="E8" t="s">
        <v>1525</v>
      </c>
      <c r="F8" s="97" t="s">
        <v>640</v>
      </c>
      <c r="G8" s="97" t="s">
        <v>641</v>
      </c>
      <c r="H8" t="s">
        <v>1537</v>
      </c>
    </row>
    <row r="9" spans="1:9">
      <c r="A9" s="42">
        <v>6</v>
      </c>
      <c r="B9" s="42" t="s">
        <v>4</v>
      </c>
      <c r="C9" s="42">
        <v>19</v>
      </c>
      <c r="D9" s="15" t="s">
        <v>60</v>
      </c>
      <c r="E9" s="1">
        <v>54334080</v>
      </c>
      <c r="G9" s="1">
        <v>29000000</v>
      </c>
      <c r="H9" s="1">
        <v>83334080</v>
      </c>
    </row>
    <row r="10" spans="1:9">
      <c r="C10" s="42">
        <v>31</v>
      </c>
      <c r="D10" s="15" t="s">
        <v>66</v>
      </c>
      <c r="E10" s="1">
        <v>81669855</v>
      </c>
      <c r="G10" s="1">
        <v>15000000</v>
      </c>
      <c r="H10" s="1">
        <v>96669855</v>
      </c>
    </row>
    <row r="11" spans="1:9">
      <c r="C11" s="42">
        <v>32</v>
      </c>
      <c r="D11" s="15" t="s">
        <v>67</v>
      </c>
      <c r="E11" s="1">
        <v>63220133</v>
      </c>
      <c r="G11" s="1">
        <v>68000000</v>
      </c>
      <c r="H11" s="1">
        <v>131220133</v>
      </c>
    </row>
    <row r="12" spans="1:9">
      <c r="B12" s="42" t="s">
        <v>614</v>
      </c>
      <c r="C12" s="42">
        <v>14</v>
      </c>
      <c r="D12" s="15" t="s">
        <v>69</v>
      </c>
      <c r="E12" s="1">
        <v>4000000</v>
      </c>
      <c r="G12" s="1">
        <v>21000000</v>
      </c>
      <c r="H12" s="1">
        <v>25000000</v>
      </c>
    </row>
    <row r="13" spans="1:9">
      <c r="C13" s="42">
        <v>25</v>
      </c>
      <c r="D13" s="15" t="s">
        <v>44</v>
      </c>
      <c r="H13" s="1">
        <v>0</v>
      </c>
    </row>
    <row r="14" spans="1:9">
      <c r="C14" s="42">
        <v>27</v>
      </c>
      <c r="D14" s="15" t="s">
        <v>70</v>
      </c>
      <c r="E14" s="1">
        <v>10000000</v>
      </c>
      <c r="G14" s="1">
        <v>20500000</v>
      </c>
      <c r="H14" s="1">
        <v>30500000</v>
      </c>
    </row>
    <row r="15" spans="1:9">
      <c r="C15" s="42">
        <v>28</v>
      </c>
      <c r="D15" s="15" t="s">
        <v>71</v>
      </c>
      <c r="E15" s="1">
        <v>1500000</v>
      </c>
      <c r="G15" s="1">
        <v>1500000</v>
      </c>
      <c r="H15" s="1">
        <v>3000000</v>
      </c>
    </row>
    <row r="16" spans="1:9">
      <c r="B16" s="42" t="s">
        <v>609</v>
      </c>
      <c r="C16" s="42">
        <v>1</v>
      </c>
      <c r="D16" s="15" t="s">
        <v>10</v>
      </c>
      <c r="E16" s="1">
        <v>150654132</v>
      </c>
      <c r="H16" s="1">
        <v>150654132</v>
      </c>
    </row>
    <row r="17" spans="2:8">
      <c r="B17" s="42" t="s">
        <v>610</v>
      </c>
      <c r="C17">
        <v>1</v>
      </c>
      <c r="D17" s="15" t="s">
        <v>11</v>
      </c>
      <c r="E17" s="1">
        <v>11800502</v>
      </c>
      <c r="H17" s="1">
        <v>11800502</v>
      </c>
    </row>
    <row r="18" spans="2:8">
      <c r="B18" s="42" t="s">
        <v>611</v>
      </c>
      <c r="C18" s="42">
        <v>12</v>
      </c>
      <c r="D18" s="15" t="s">
        <v>77</v>
      </c>
      <c r="E18" s="1">
        <v>350400000</v>
      </c>
      <c r="G18" s="1">
        <v>300000000</v>
      </c>
      <c r="H18" s="1">
        <v>650400000</v>
      </c>
    </row>
    <row r="19" spans="2:8">
      <c r="C19" s="42">
        <v>13</v>
      </c>
      <c r="D19" s="15" t="s">
        <v>78</v>
      </c>
      <c r="E19" s="1">
        <v>112947016</v>
      </c>
      <c r="G19" s="1">
        <v>34000000</v>
      </c>
      <c r="H19" s="1">
        <v>146947016</v>
      </c>
    </row>
    <row r="20" spans="2:8">
      <c r="C20" s="42">
        <v>14</v>
      </c>
      <c r="D20" s="15" t="s">
        <v>79</v>
      </c>
      <c r="E20" s="1">
        <v>559555147</v>
      </c>
      <c r="H20" s="1">
        <v>559555147</v>
      </c>
    </row>
    <row r="21" spans="2:8">
      <c r="B21" s="42" t="s">
        <v>619</v>
      </c>
      <c r="C21" s="42">
        <v>178</v>
      </c>
      <c r="D21" s="15" t="s">
        <v>85</v>
      </c>
      <c r="E21" s="1">
        <v>846089733</v>
      </c>
      <c r="G21" s="1">
        <v>186000000</v>
      </c>
      <c r="H21" s="1">
        <v>1032089733</v>
      </c>
    </row>
    <row r="22" spans="2:8">
      <c r="C22" s="42">
        <v>179</v>
      </c>
      <c r="D22" s="15" t="s">
        <v>86</v>
      </c>
      <c r="E22" s="1">
        <v>4480267196</v>
      </c>
      <c r="G22" s="1">
        <v>300000000</v>
      </c>
      <c r="H22" s="1">
        <v>4780267196</v>
      </c>
    </row>
    <row r="23" spans="2:8">
      <c r="C23" s="42">
        <v>180</v>
      </c>
      <c r="D23" s="15" t="s">
        <v>87</v>
      </c>
      <c r="E23" s="1">
        <v>264697555</v>
      </c>
      <c r="G23" s="1">
        <v>80000000</v>
      </c>
      <c r="H23" s="1">
        <v>344697555</v>
      </c>
    </row>
    <row r="24" spans="2:8">
      <c r="C24" s="42">
        <v>181</v>
      </c>
      <c r="D24" s="15" t="s">
        <v>88</v>
      </c>
      <c r="E24" s="1">
        <v>283828897</v>
      </c>
      <c r="G24" s="1">
        <v>180000000</v>
      </c>
      <c r="H24" s="1">
        <v>463828897</v>
      </c>
    </row>
    <row r="25" spans="2:8">
      <c r="C25" s="42">
        <v>182</v>
      </c>
      <c r="D25" s="15" t="s">
        <v>89</v>
      </c>
      <c r="E25" s="1">
        <v>37033458</v>
      </c>
      <c r="G25" s="1">
        <v>10000000</v>
      </c>
      <c r="H25" s="1">
        <v>47033458</v>
      </c>
    </row>
    <row r="26" spans="2:8">
      <c r="C26" s="42">
        <v>183</v>
      </c>
      <c r="D26" s="15" t="s">
        <v>90</v>
      </c>
      <c r="E26" s="1">
        <v>30741217</v>
      </c>
      <c r="G26" s="1">
        <v>25000000</v>
      </c>
      <c r="H26" s="1">
        <v>55741217</v>
      </c>
    </row>
    <row r="27" spans="2:8">
      <c r="C27" s="42">
        <v>184</v>
      </c>
      <c r="D27" s="15" t="s">
        <v>91</v>
      </c>
      <c r="E27" s="1">
        <v>177378729</v>
      </c>
      <c r="G27" s="1">
        <v>50000000</v>
      </c>
      <c r="H27" s="1">
        <v>227378729</v>
      </c>
    </row>
    <row r="28" spans="2:8">
      <c r="C28" s="42">
        <v>185</v>
      </c>
      <c r="D28" s="15" t="s">
        <v>92</v>
      </c>
      <c r="E28" s="1">
        <v>150383280</v>
      </c>
      <c r="G28" s="1">
        <v>112000000</v>
      </c>
      <c r="H28" s="1">
        <v>262383280</v>
      </c>
    </row>
    <row r="29" spans="2:8">
      <c r="B29" s="42" t="s">
        <v>616</v>
      </c>
      <c r="C29" s="42">
        <v>2</v>
      </c>
      <c r="D29" s="15" t="s">
        <v>96</v>
      </c>
      <c r="E29" s="1">
        <v>20000000</v>
      </c>
      <c r="G29" s="1">
        <v>15000000</v>
      </c>
      <c r="H29" s="1">
        <v>35000000</v>
      </c>
    </row>
    <row r="30" spans="2:8">
      <c r="C30" s="42">
        <v>4</v>
      </c>
      <c r="D30" s="15" t="s">
        <v>97</v>
      </c>
      <c r="E30" s="1">
        <v>4000000</v>
      </c>
      <c r="G30" s="1">
        <v>8000000</v>
      </c>
      <c r="H30" s="1">
        <v>12000000</v>
      </c>
    </row>
    <row r="31" spans="2:8">
      <c r="C31" s="42">
        <v>7</v>
      </c>
      <c r="D31" s="15" t="s">
        <v>98</v>
      </c>
      <c r="E31" s="1">
        <v>18000000</v>
      </c>
      <c r="G31" s="1">
        <v>100000000</v>
      </c>
      <c r="H31" s="1">
        <v>118000000</v>
      </c>
    </row>
    <row r="32" spans="2:8">
      <c r="C32" s="42">
        <v>8</v>
      </c>
      <c r="D32" s="15" t="s">
        <v>99</v>
      </c>
      <c r="E32" s="1">
        <v>9000000</v>
      </c>
      <c r="G32" s="1">
        <v>50000000</v>
      </c>
      <c r="H32" s="1">
        <v>59000000</v>
      </c>
    </row>
    <row r="33" spans="1:8">
      <c r="C33" s="42">
        <v>9</v>
      </c>
      <c r="D33" s="15" t="s">
        <v>100</v>
      </c>
      <c r="E33" s="1">
        <v>11500000</v>
      </c>
      <c r="G33" s="1">
        <v>15000000</v>
      </c>
      <c r="H33" s="1">
        <v>26500000</v>
      </c>
    </row>
    <row r="34" spans="1:8">
      <c r="A34" s="42">
        <v>8</v>
      </c>
      <c r="B34" s="42" t="s">
        <v>619</v>
      </c>
      <c r="C34" s="42">
        <v>230</v>
      </c>
      <c r="D34" s="15" t="s">
        <v>138</v>
      </c>
      <c r="E34" s="1">
        <v>9844691400</v>
      </c>
      <c r="G34" s="1">
        <v>6758310000</v>
      </c>
      <c r="H34" s="1">
        <v>16603001400</v>
      </c>
    </row>
    <row r="35" spans="1:8">
      <c r="C35" s="42">
        <v>231</v>
      </c>
      <c r="D35" s="15" t="s">
        <v>139</v>
      </c>
      <c r="E35" s="1">
        <v>13930600000</v>
      </c>
      <c r="H35" s="1">
        <v>13930600000</v>
      </c>
    </row>
    <row r="36" spans="1:8">
      <c r="C36" s="42">
        <v>232</v>
      </c>
      <c r="D36" s="15" t="s">
        <v>140</v>
      </c>
      <c r="E36" s="1">
        <v>10369000002</v>
      </c>
      <c r="G36" s="1">
        <v>3044700000</v>
      </c>
      <c r="H36" s="1">
        <v>13413700002</v>
      </c>
    </row>
    <row r="37" spans="1:8">
      <c r="C37" s="42">
        <v>233</v>
      </c>
      <c r="D37" s="15" t="s">
        <v>141</v>
      </c>
      <c r="E37" s="1">
        <v>3209100000</v>
      </c>
      <c r="G37" s="1">
        <v>1705000000</v>
      </c>
      <c r="H37" s="1">
        <v>4914100000</v>
      </c>
    </row>
    <row r="38" spans="1:8">
      <c r="C38" s="42">
        <v>234</v>
      </c>
      <c r="D38" s="15" t="s">
        <v>142</v>
      </c>
      <c r="E38" s="1">
        <v>7697000000</v>
      </c>
      <c r="G38" s="1">
        <v>920000000</v>
      </c>
      <c r="H38" s="1">
        <v>8617000000</v>
      </c>
    </row>
    <row r="39" spans="1:8">
      <c r="A39" s="42">
        <v>9</v>
      </c>
      <c r="B39" s="42" t="s">
        <v>614</v>
      </c>
      <c r="C39" s="42">
        <v>31</v>
      </c>
      <c r="D39" s="15" t="s">
        <v>159</v>
      </c>
      <c r="E39" s="1">
        <v>3502900051</v>
      </c>
      <c r="G39" s="1">
        <v>10823800000</v>
      </c>
      <c r="H39" s="1">
        <v>14326700051</v>
      </c>
    </row>
    <row r="40" spans="1:8">
      <c r="B40" s="42" t="s">
        <v>619</v>
      </c>
      <c r="C40" s="42">
        <v>71</v>
      </c>
      <c r="D40" s="15" t="s">
        <v>166</v>
      </c>
      <c r="E40" s="1">
        <v>1300000000</v>
      </c>
      <c r="G40" s="1">
        <v>296000000</v>
      </c>
      <c r="H40" s="1">
        <v>1596000000</v>
      </c>
    </row>
    <row r="41" spans="1:8">
      <c r="A41" s="42">
        <v>10</v>
      </c>
      <c r="B41" t="s">
        <v>619</v>
      </c>
      <c r="C41" s="42">
        <v>16</v>
      </c>
      <c r="D41" s="15" t="s">
        <v>176</v>
      </c>
      <c r="E41" s="1">
        <v>208700000</v>
      </c>
      <c r="G41" s="1">
        <v>50000000</v>
      </c>
      <c r="H41" s="1">
        <v>258700000</v>
      </c>
    </row>
    <row r="42" spans="1:8">
      <c r="B42"/>
      <c r="C42" s="42">
        <v>17</v>
      </c>
      <c r="D42" s="15" t="s">
        <v>177</v>
      </c>
      <c r="E42" s="1">
        <v>1803836281</v>
      </c>
      <c r="F42" s="1">
        <v>145453585</v>
      </c>
      <c r="H42" s="1">
        <v>1658382696</v>
      </c>
    </row>
    <row r="43" spans="1:8">
      <c r="B43"/>
      <c r="C43" s="42">
        <v>21</v>
      </c>
      <c r="D43" s="15" t="s">
        <v>179</v>
      </c>
      <c r="E43" s="1">
        <v>209217046</v>
      </c>
      <c r="H43" s="1">
        <v>209217046</v>
      </c>
    </row>
    <row r="44" spans="1:8">
      <c r="A44" s="42">
        <v>11</v>
      </c>
      <c r="B44" s="42" t="s">
        <v>618</v>
      </c>
      <c r="C44" s="42">
        <v>1</v>
      </c>
      <c r="D44" s="15" t="s">
        <v>207</v>
      </c>
      <c r="E44" s="1">
        <v>67775656</v>
      </c>
      <c r="H44" s="1">
        <v>67775656</v>
      </c>
    </row>
    <row r="45" spans="1:8">
      <c r="B45" s="42" t="s">
        <v>614</v>
      </c>
      <c r="C45" s="42">
        <v>9</v>
      </c>
      <c r="D45" s="15" t="s">
        <v>124</v>
      </c>
      <c r="E45" s="1">
        <v>198969801</v>
      </c>
      <c r="H45" s="1">
        <v>198969801</v>
      </c>
    </row>
    <row r="46" spans="1:8">
      <c r="B46" s="42" t="s">
        <v>619</v>
      </c>
      <c r="C46" s="42">
        <v>22</v>
      </c>
      <c r="D46" s="15" t="s">
        <v>211</v>
      </c>
      <c r="E46" s="1">
        <v>2783350110</v>
      </c>
      <c r="H46" s="1">
        <v>2783350110</v>
      </c>
    </row>
    <row r="47" spans="1:8">
      <c r="C47" s="42">
        <v>72</v>
      </c>
      <c r="D47" s="15" t="s">
        <v>212</v>
      </c>
      <c r="E47" s="1">
        <v>16287785543</v>
      </c>
      <c r="H47" s="1">
        <v>16287785543</v>
      </c>
    </row>
    <row r="48" spans="1:8">
      <c r="C48" s="42">
        <v>111</v>
      </c>
      <c r="D48" s="15" t="s">
        <v>214</v>
      </c>
      <c r="E48" s="1">
        <v>108086564</v>
      </c>
      <c r="G48" s="1">
        <v>45000000</v>
      </c>
      <c r="H48" s="1">
        <v>153086564</v>
      </c>
    </row>
    <row r="49" spans="1:8">
      <c r="A49" s="42">
        <v>12</v>
      </c>
      <c r="B49" s="42" t="s">
        <v>611</v>
      </c>
      <c r="C49" s="42">
        <v>17</v>
      </c>
      <c r="D49" s="15" t="s">
        <v>257</v>
      </c>
      <c r="E49" s="1">
        <v>466709966</v>
      </c>
      <c r="G49" s="1">
        <v>859000000</v>
      </c>
      <c r="H49" s="1">
        <v>1325709966</v>
      </c>
    </row>
    <row r="50" spans="1:8">
      <c r="B50" s="42" t="s">
        <v>612</v>
      </c>
      <c r="C50" s="42">
        <v>1</v>
      </c>
      <c r="D50" s="15" t="s">
        <v>260</v>
      </c>
      <c r="E50" s="1">
        <v>229116153</v>
      </c>
      <c r="H50" s="1">
        <v>229116153</v>
      </c>
    </row>
    <row r="51" spans="1:8">
      <c r="B51" s="42" t="s">
        <v>619</v>
      </c>
      <c r="C51" s="42">
        <v>37</v>
      </c>
      <c r="D51" s="15" t="s">
        <v>261</v>
      </c>
      <c r="E51" s="1">
        <v>105368939</v>
      </c>
      <c r="H51" s="1">
        <v>105368939</v>
      </c>
    </row>
    <row r="52" spans="1:8">
      <c r="C52" s="42">
        <v>72</v>
      </c>
      <c r="D52" s="15" t="s">
        <v>212</v>
      </c>
      <c r="E52" s="1">
        <v>5123600000</v>
      </c>
      <c r="H52" s="1">
        <v>5123600000</v>
      </c>
    </row>
    <row r="53" spans="1:8">
      <c r="C53" s="42">
        <v>200</v>
      </c>
      <c r="D53" s="15" t="s">
        <v>264</v>
      </c>
      <c r="E53" s="1">
        <v>726939144</v>
      </c>
      <c r="H53" s="1">
        <v>726939144</v>
      </c>
    </row>
    <row r="54" spans="1:8">
      <c r="B54" s="42" t="s">
        <v>616</v>
      </c>
      <c r="C54" s="42">
        <v>5</v>
      </c>
      <c r="D54" s="15" t="s">
        <v>265</v>
      </c>
      <c r="E54" s="1">
        <v>46852739780</v>
      </c>
      <c r="H54" s="1">
        <v>46852739780</v>
      </c>
    </row>
    <row r="55" spans="1:8">
      <c r="A55" s="42">
        <v>15</v>
      </c>
      <c r="B55" s="42" t="s">
        <v>619</v>
      </c>
      <c r="C55" s="42">
        <v>88</v>
      </c>
      <c r="D55" s="15" t="s">
        <v>293</v>
      </c>
      <c r="E55" s="1">
        <v>566475000</v>
      </c>
      <c r="G55" s="1">
        <v>5000000</v>
      </c>
      <c r="H55" s="1">
        <v>571475000</v>
      </c>
    </row>
    <row r="56" spans="1:8">
      <c r="C56" s="42">
        <v>89</v>
      </c>
      <c r="D56" s="15" t="s">
        <v>294</v>
      </c>
      <c r="E56" s="1">
        <v>318500000</v>
      </c>
      <c r="G56" s="1">
        <v>400000000</v>
      </c>
      <c r="H56" s="1">
        <v>718500000</v>
      </c>
    </row>
    <row r="57" spans="1:8">
      <c r="C57" s="42">
        <v>203</v>
      </c>
      <c r="D57" s="15" t="s">
        <v>295</v>
      </c>
      <c r="E57" s="1">
        <v>308000000</v>
      </c>
      <c r="G57" s="1">
        <v>42000000</v>
      </c>
      <c r="H57" s="1">
        <v>350000000</v>
      </c>
    </row>
    <row r="58" spans="1:8">
      <c r="A58" s="42">
        <v>16</v>
      </c>
      <c r="B58" s="42" t="s">
        <v>613</v>
      </c>
      <c r="C58" s="42">
        <v>5</v>
      </c>
      <c r="D58" s="15" t="s">
        <v>298</v>
      </c>
      <c r="E58" s="1">
        <v>123663254</v>
      </c>
      <c r="H58" s="1">
        <v>123663254</v>
      </c>
    </row>
    <row r="59" spans="1:8">
      <c r="B59" s="42" t="s">
        <v>614</v>
      </c>
      <c r="C59" s="42">
        <v>129</v>
      </c>
      <c r="D59" s="15" t="s">
        <v>321</v>
      </c>
      <c r="E59" s="1">
        <v>1511432986</v>
      </c>
      <c r="H59" s="1">
        <v>1511432986</v>
      </c>
    </row>
    <row r="60" spans="1:8">
      <c r="C60" s="42">
        <v>132</v>
      </c>
      <c r="D60" s="15" t="s">
        <v>322</v>
      </c>
      <c r="E60" s="1">
        <v>467582825</v>
      </c>
      <c r="H60" s="1">
        <v>467582825</v>
      </c>
    </row>
    <row r="61" spans="1:8">
      <c r="C61" s="42">
        <v>135</v>
      </c>
      <c r="D61" s="15" t="s">
        <v>325</v>
      </c>
      <c r="E61" s="1">
        <v>2407839332</v>
      </c>
      <c r="H61" s="1">
        <v>2407839332</v>
      </c>
    </row>
    <row r="62" spans="1:8">
      <c r="B62" s="42" t="s">
        <v>611</v>
      </c>
      <c r="C62" s="42">
        <v>2</v>
      </c>
      <c r="D62" s="15" t="s">
        <v>329</v>
      </c>
      <c r="E62" s="1">
        <v>6959599</v>
      </c>
      <c r="H62" s="1">
        <v>6959599</v>
      </c>
    </row>
    <row r="63" spans="1:8">
      <c r="B63" s="42" t="s">
        <v>619</v>
      </c>
      <c r="C63" s="42">
        <v>44</v>
      </c>
      <c r="D63" s="15" t="s">
        <v>332</v>
      </c>
      <c r="E63" s="1">
        <v>573120000</v>
      </c>
      <c r="H63" s="1">
        <v>573120000</v>
      </c>
    </row>
    <row r="64" spans="1:8">
      <c r="C64" s="42">
        <v>46</v>
      </c>
      <c r="D64" s="15" t="s">
        <v>333</v>
      </c>
      <c r="E64" s="1">
        <v>210000000</v>
      </c>
      <c r="H64" s="1">
        <v>210000000</v>
      </c>
    </row>
    <row r="65" spans="1:8">
      <c r="C65" s="42">
        <v>71</v>
      </c>
      <c r="D65" s="15" t="s">
        <v>166</v>
      </c>
      <c r="E65" s="1">
        <v>479600000</v>
      </c>
      <c r="H65" s="1">
        <v>479600000</v>
      </c>
    </row>
    <row r="66" spans="1:8">
      <c r="C66" s="42">
        <v>75</v>
      </c>
      <c r="D66" s="15" t="s">
        <v>336</v>
      </c>
      <c r="E66" s="1">
        <v>1625075259</v>
      </c>
      <c r="H66" s="1">
        <v>1625075259</v>
      </c>
    </row>
    <row r="67" spans="1:8">
      <c r="C67" s="42">
        <v>110</v>
      </c>
      <c r="D67" s="15" t="s">
        <v>338</v>
      </c>
      <c r="E67" s="1">
        <v>836000000</v>
      </c>
      <c r="H67" s="1">
        <v>836000000</v>
      </c>
    </row>
    <row r="68" spans="1:8">
      <c r="C68" s="42">
        <v>122</v>
      </c>
      <c r="D68" s="15" t="s">
        <v>339</v>
      </c>
      <c r="E68" s="1">
        <v>1658678400</v>
      </c>
      <c r="H68" s="1">
        <v>1658678400</v>
      </c>
    </row>
    <row r="69" spans="1:8">
      <c r="B69" s="42" t="s">
        <v>616</v>
      </c>
      <c r="C69" s="42">
        <v>3</v>
      </c>
      <c r="D69" s="15" t="s">
        <v>342</v>
      </c>
      <c r="E69" s="1">
        <v>766568050</v>
      </c>
      <c r="H69" s="1">
        <v>766568050</v>
      </c>
    </row>
    <row r="70" spans="1:8">
      <c r="C70" s="42">
        <v>5</v>
      </c>
      <c r="D70" s="15" t="s">
        <v>343</v>
      </c>
      <c r="E70" s="1">
        <v>590016000</v>
      </c>
      <c r="H70" s="1">
        <v>590016000</v>
      </c>
    </row>
    <row r="71" spans="1:8">
      <c r="C71" s="42">
        <v>20</v>
      </c>
      <c r="D71" s="15" t="s">
        <v>346</v>
      </c>
      <c r="E71" s="1">
        <v>79596250</v>
      </c>
      <c r="G71" s="1">
        <v>1650000000</v>
      </c>
      <c r="H71" s="1">
        <v>1729596250</v>
      </c>
    </row>
    <row r="72" spans="1:8">
      <c r="C72" s="42">
        <v>22</v>
      </c>
      <c r="D72" s="15" t="s">
        <v>348</v>
      </c>
      <c r="E72" s="1">
        <v>1144966</v>
      </c>
      <c r="H72" s="1">
        <v>1144966</v>
      </c>
    </row>
    <row r="73" spans="1:8">
      <c r="C73" s="42">
        <v>29</v>
      </c>
      <c r="D73" s="15" t="s">
        <v>352</v>
      </c>
      <c r="E73" s="1">
        <v>35000000</v>
      </c>
      <c r="H73" s="1">
        <v>35000000</v>
      </c>
    </row>
    <row r="74" spans="1:8">
      <c r="A74" s="42">
        <v>20</v>
      </c>
      <c r="B74" s="42" t="s">
        <v>619</v>
      </c>
      <c r="C74" s="42">
        <v>57</v>
      </c>
      <c r="D74" s="15" t="s">
        <v>413</v>
      </c>
      <c r="E74" s="1">
        <v>87922446</v>
      </c>
      <c r="H74" s="1">
        <v>87922446</v>
      </c>
    </row>
    <row r="75" spans="1:8">
      <c r="C75" s="42">
        <v>65</v>
      </c>
      <c r="D75" s="15" t="s">
        <v>417</v>
      </c>
      <c r="E75" s="1">
        <v>293289915</v>
      </c>
      <c r="H75" s="1">
        <v>293289915</v>
      </c>
    </row>
    <row r="76" spans="1:8">
      <c r="C76" s="42">
        <v>71</v>
      </c>
      <c r="D76" s="15" t="s">
        <v>166</v>
      </c>
      <c r="E76" s="1">
        <v>792752810</v>
      </c>
      <c r="H76" s="1">
        <v>792752810</v>
      </c>
    </row>
    <row r="77" spans="1:8">
      <c r="C77" s="42">
        <v>72</v>
      </c>
      <c r="D77" s="15" t="s">
        <v>212</v>
      </c>
      <c r="E77" s="1">
        <v>35355077096</v>
      </c>
      <c r="H77" s="1">
        <v>35355077096</v>
      </c>
    </row>
    <row r="78" spans="1:8">
      <c r="C78" s="42">
        <v>53</v>
      </c>
      <c r="D78" s="15" t="s">
        <v>411</v>
      </c>
      <c r="E78" s="1">
        <v>1996004700</v>
      </c>
      <c r="H78" s="1">
        <v>1996004700</v>
      </c>
    </row>
    <row r="79" spans="1:8">
      <c r="C79" s="42">
        <v>58</v>
      </c>
      <c r="D79" s="15" t="s">
        <v>414</v>
      </c>
      <c r="E79" s="1">
        <v>1620548872</v>
      </c>
      <c r="G79" s="1">
        <v>42000000</v>
      </c>
      <c r="H79" s="1">
        <v>1662548872</v>
      </c>
    </row>
    <row r="80" spans="1:8">
      <c r="C80" s="42">
        <v>70</v>
      </c>
      <c r="D80" s="15" t="s">
        <v>418</v>
      </c>
      <c r="E80" s="1">
        <v>347798724</v>
      </c>
      <c r="H80" s="1">
        <v>347798724</v>
      </c>
    </row>
    <row r="81" spans="1:8">
      <c r="C81" s="42">
        <v>117</v>
      </c>
      <c r="D81" s="15" t="s">
        <v>419</v>
      </c>
      <c r="E81" s="1">
        <v>377256635</v>
      </c>
      <c r="G81" s="1">
        <v>350000000</v>
      </c>
      <c r="H81" s="1">
        <v>727256635</v>
      </c>
    </row>
    <row r="82" spans="1:8">
      <c r="C82" s="42">
        <v>118</v>
      </c>
      <c r="D82" s="15" t="s">
        <v>420</v>
      </c>
      <c r="E82" s="1">
        <v>4207677026</v>
      </c>
      <c r="H82" s="1">
        <v>4207677026</v>
      </c>
    </row>
    <row r="83" spans="1:8">
      <c r="C83" s="42">
        <v>176</v>
      </c>
      <c r="D83" s="15" t="s">
        <v>423</v>
      </c>
      <c r="E83" s="1">
        <v>13287220934</v>
      </c>
      <c r="H83" s="1">
        <v>13287220934</v>
      </c>
    </row>
    <row r="84" spans="1:8">
      <c r="C84" s="42">
        <v>216</v>
      </c>
      <c r="D84" s="15" t="s">
        <v>424</v>
      </c>
      <c r="E84" s="1">
        <v>6446994027</v>
      </c>
      <c r="F84" s="1">
        <v>256297454</v>
      </c>
      <c r="H84" s="1">
        <v>6190696573</v>
      </c>
    </row>
    <row r="85" spans="1:8">
      <c r="A85" s="42">
        <v>19</v>
      </c>
      <c r="B85" t="s">
        <v>619</v>
      </c>
      <c r="C85" s="42">
        <v>38</v>
      </c>
      <c r="D85" s="15" t="s">
        <v>506</v>
      </c>
      <c r="E85" s="1">
        <v>8000000000</v>
      </c>
      <c r="G85" s="1">
        <v>350000000</v>
      </c>
      <c r="H85" s="1">
        <v>8350000000</v>
      </c>
    </row>
    <row r="86" spans="1:8" ht="30">
      <c r="A86" s="334" t="s">
        <v>635</v>
      </c>
      <c r="B86" s="334"/>
      <c r="C86" s="334"/>
      <c r="D86" s="334"/>
      <c r="E86" s="1">
        <v>218136282472</v>
      </c>
      <c r="F86" s="1">
        <v>401751039</v>
      </c>
      <c r="G86" s="1">
        <v>28960810000</v>
      </c>
      <c r="H86" s="1">
        <v>246695341433</v>
      </c>
    </row>
    <row r="87" spans="1:8">
      <c r="E87"/>
      <c r="F87"/>
      <c r="G87"/>
      <c r="H87"/>
    </row>
    <row r="88" spans="1:8">
      <c r="E88"/>
      <c r="F88"/>
      <c r="G88"/>
      <c r="H88"/>
    </row>
    <row r="89" spans="1:8">
      <c r="E89"/>
      <c r="F89"/>
      <c r="G89"/>
      <c r="H89"/>
    </row>
    <row r="90" spans="1:8">
      <c r="E90"/>
      <c r="F90"/>
      <c r="G90"/>
      <c r="H90"/>
    </row>
    <row r="91" spans="1:8">
      <c r="E91"/>
      <c r="F91"/>
      <c r="G91"/>
      <c r="H91"/>
    </row>
    <row r="92" spans="1:8">
      <c r="E92"/>
      <c r="F92"/>
      <c r="G92"/>
      <c r="H92"/>
    </row>
    <row r="93" spans="1:8">
      <c r="E93"/>
      <c r="F93"/>
      <c r="G93"/>
      <c r="H93"/>
    </row>
    <row r="94" spans="1:8">
      <c r="E94"/>
      <c r="F94"/>
      <c r="G94"/>
      <c r="H94"/>
    </row>
    <row r="95" spans="1:8">
      <c r="E95"/>
      <c r="F95"/>
      <c r="G95"/>
      <c r="H95"/>
    </row>
    <row r="96" spans="1:8">
      <c r="E96"/>
      <c r="F96"/>
      <c r="G96"/>
      <c r="H96"/>
    </row>
    <row r="97" spans="5:8">
      <c r="E97"/>
      <c r="F97"/>
      <c r="G97"/>
      <c r="H97"/>
    </row>
    <row r="98" spans="5:8">
      <c r="E98"/>
      <c r="F98"/>
      <c r="G98"/>
      <c r="H98"/>
    </row>
    <row r="99" spans="5:8">
      <c r="E99"/>
      <c r="F99"/>
      <c r="G99"/>
      <c r="H99"/>
    </row>
    <row r="100" spans="5:8">
      <c r="E100"/>
      <c r="F100"/>
      <c r="G100"/>
      <c r="H100"/>
    </row>
    <row r="101" spans="5:8">
      <c r="E101"/>
      <c r="F101"/>
      <c r="G101"/>
      <c r="H101"/>
    </row>
    <row r="102" spans="5:8">
      <c r="E102"/>
      <c r="F102"/>
      <c r="G102"/>
      <c r="H102"/>
    </row>
    <row r="103" spans="5:8">
      <c r="E103"/>
      <c r="F103"/>
      <c r="G103"/>
      <c r="H103"/>
    </row>
    <row r="104" spans="5:8">
      <c r="E104"/>
      <c r="F104"/>
      <c r="G104"/>
      <c r="H104"/>
    </row>
    <row r="105" spans="5:8">
      <c r="E105"/>
      <c r="F105"/>
      <c r="G105"/>
      <c r="H105"/>
    </row>
    <row r="106" spans="5:8">
      <c r="E106"/>
      <c r="F106"/>
      <c r="G106"/>
      <c r="H106"/>
    </row>
    <row r="107" spans="5:8">
      <c r="E107"/>
      <c r="F107"/>
      <c r="G107"/>
      <c r="H107"/>
    </row>
    <row r="108" spans="5:8">
      <c r="E108"/>
      <c r="F108"/>
      <c r="G108"/>
      <c r="H108"/>
    </row>
    <row r="109" spans="5:8">
      <c r="E109"/>
      <c r="F109"/>
      <c r="G109"/>
      <c r="H109"/>
    </row>
    <row r="110" spans="5:8">
      <c r="E110"/>
      <c r="F110"/>
      <c r="G110"/>
      <c r="H110"/>
    </row>
    <row r="111" spans="5:8">
      <c r="E111"/>
      <c r="F111"/>
      <c r="G111"/>
      <c r="H111"/>
    </row>
    <row r="112" spans="5:8">
      <c r="E112"/>
      <c r="F112"/>
      <c r="G112"/>
      <c r="H112"/>
    </row>
    <row r="113" spans="5:8">
      <c r="E113"/>
      <c r="F113"/>
      <c r="G113"/>
      <c r="H113"/>
    </row>
    <row r="114" spans="5:8">
      <c r="E114"/>
      <c r="F114"/>
      <c r="G114"/>
      <c r="H114"/>
    </row>
    <row r="115" spans="5:8">
      <c r="E115"/>
      <c r="F115"/>
      <c r="G115"/>
      <c r="H115"/>
    </row>
    <row r="116" spans="5:8">
      <c r="E116"/>
      <c r="F116"/>
      <c r="G116"/>
      <c r="H116"/>
    </row>
    <row r="117" spans="5:8">
      <c r="E117"/>
      <c r="F117"/>
      <c r="G117"/>
      <c r="H117"/>
    </row>
    <row r="118" spans="5:8">
      <c r="E118"/>
      <c r="F118"/>
      <c r="G118"/>
      <c r="H118"/>
    </row>
    <row r="119" spans="5:8">
      <c r="E119"/>
      <c r="F119"/>
      <c r="G119"/>
      <c r="H119"/>
    </row>
    <row r="120" spans="5:8">
      <c r="E120"/>
      <c r="F120"/>
      <c r="G120"/>
      <c r="H120"/>
    </row>
    <row r="121" spans="5:8">
      <c r="E121"/>
      <c r="F121"/>
      <c r="G121"/>
      <c r="H121"/>
    </row>
    <row r="122" spans="5:8">
      <c r="E122"/>
      <c r="F122"/>
      <c r="G122"/>
      <c r="H122"/>
    </row>
    <row r="123" spans="5:8">
      <c r="E123"/>
      <c r="F123"/>
      <c r="G123"/>
      <c r="H123"/>
    </row>
    <row r="124" spans="5:8">
      <c r="E124"/>
      <c r="F124"/>
      <c r="G124"/>
      <c r="H124"/>
    </row>
    <row r="125" spans="5:8">
      <c r="E125"/>
      <c r="F125"/>
      <c r="G125"/>
      <c r="H125"/>
    </row>
    <row r="126" spans="5:8">
      <c r="E126"/>
      <c r="F126"/>
      <c r="G126"/>
      <c r="H126"/>
    </row>
    <row r="127" spans="5:8">
      <c r="E127"/>
      <c r="F127"/>
      <c r="G127"/>
      <c r="H127"/>
    </row>
    <row r="128" spans="5:8">
      <c r="E128"/>
      <c r="F128"/>
      <c r="G128"/>
      <c r="H128"/>
    </row>
    <row r="129" spans="5:8">
      <c r="E129"/>
      <c r="F129"/>
      <c r="G129"/>
      <c r="H129"/>
    </row>
    <row r="130" spans="5:8">
      <c r="E130"/>
      <c r="F130"/>
      <c r="G130"/>
      <c r="H130"/>
    </row>
    <row r="131" spans="5:8">
      <c r="E131"/>
      <c r="F131"/>
      <c r="G131"/>
      <c r="H131"/>
    </row>
    <row r="132" spans="5:8">
      <c r="E132"/>
      <c r="F132"/>
      <c r="G132"/>
      <c r="H132"/>
    </row>
    <row r="133" spans="5:8">
      <c r="E133"/>
      <c r="F133"/>
      <c r="G133"/>
      <c r="H133"/>
    </row>
    <row r="134" spans="5:8">
      <c r="E134"/>
      <c r="F134"/>
      <c r="G134"/>
      <c r="H134"/>
    </row>
    <row r="135" spans="5:8">
      <c r="E135"/>
      <c r="F135"/>
      <c r="G135"/>
      <c r="H135"/>
    </row>
    <row r="136" spans="5:8">
      <c r="E136"/>
      <c r="F136"/>
      <c r="G136"/>
      <c r="H136"/>
    </row>
    <row r="137" spans="5:8">
      <c r="E137"/>
      <c r="F137"/>
      <c r="G137"/>
      <c r="H137"/>
    </row>
    <row r="138" spans="5:8">
      <c r="E138"/>
      <c r="F138"/>
      <c r="G138"/>
      <c r="H138"/>
    </row>
    <row r="139" spans="5:8">
      <c r="E139"/>
      <c r="F139"/>
      <c r="G139"/>
      <c r="H139"/>
    </row>
    <row r="140" spans="5:8">
      <c r="E140"/>
      <c r="F140"/>
      <c r="G140"/>
      <c r="H140"/>
    </row>
    <row r="141" spans="5:8">
      <c r="E141"/>
      <c r="F141"/>
      <c r="G141"/>
      <c r="H141"/>
    </row>
    <row r="142" spans="5:8">
      <c r="E142"/>
      <c r="F142"/>
      <c r="G142"/>
      <c r="H142"/>
    </row>
    <row r="143" spans="5:8">
      <c r="E143"/>
      <c r="F143"/>
      <c r="G143"/>
      <c r="H143"/>
    </row>
    <row r="144" spans="5:8">
      <c r="E144"/>
      <c r="F144"/>
      <c r="G144"/>
      <c r="H144"/>
    </row>
    <row r="145" spans="5:8">
      <c r="E145"/>
      <c r="F145"/>
      <c r="G145"/>
      <c r="H145"/>
    </row>
    <row r="146" spans="5:8">
      <c r="E146"/>
      <c r="F146"/>
      <c r="G146"/>
      <c r="H146"/>
    </row>
    <row r="147" spans="5:8">
      <c r="E147"/>
      <c r="F147"/>
      <c r="G147"/>
      <c r="H147"/>
    </row>
    <row r="148" spans="5:8">
      <c r="E148"/>
      <c r="F148"/>
      <c r="G148"/>
      <c r="H148"/>
    </row>
    <row r="149" spans="5:8">
      <c r="E149"/>
      <c r="F149"/>
      <c r="G149"/>
      <c r="H149"/>
    </row>
    <row r="150" spans="5:8">
      <c r="E150"/>
      <c r="F150"/>
      <c r="G150"/>
      <c r="H150"/>
    </row>
    <row r="151" spans="5:8">
      <c r="E151"/>
      <c r="F151"/>
      <c r="G151"/>
      <c r="H151"/>
    </row>
    <row r="152" spans="5:8">
      <c r="E152"/>
      <c r="F152"/>
      <c r="G152"/>
      <c r="H152"/>
    </row>
    <row r="153" spans="5:8">
      <c r="E153"/>
      <c r="F153"/>
      <c r="G153"/>
      <c r="H153"/>
    </row>
    <row r="154" spans="5:8">
      <c r="E154"/>
      <c r="F154"/>
      <c r="G154"/>
      <c r="H154"/>
    </row>
    <row r="155" spans="5:8">
      <c r="E155"/>
      <c r="F155"/>
      <c r="G155"/>
      <c r="H155"/>
    </row>
    <row r="156" spans="5:8">
      <c r="E156"/>
      <c r="F156"/>
      <c r="G156"/>
      <c r="H156"/>
    </row>
    <row r="157" spans="5:8">
      <c r="E157"/>
      <c r="F157"/>
      <c r="G157"/>
      <c r="H157"/>
    </row>
    <row r="158" spans="5:8">
      <c r="E158"/>
      <c r="F158"/>
      <c r="G158"/>
      <c r="H158"/>
    </row>
    <row r="159" spans="5:8">
      <c r="E159"/>
      <c r="F159"/>
      <c r="G159"/>
      <c r="H159"/>
    </row>
    <row r="160" spans="5:8">
      <c r="E160"/>
      <c r="F160"/>
      <c r="G160"/>
      <c r="H160"/>
    </row>
    <row r="161" spans="5:8">
      <c r="E161"/>
      <c r="F161"/>
      <c r="G161"/>
      <c r="H161"/>
    </row>
    <row r="162" spans="5:8">
      <c r="E162"/>
      <c r="F162"/>
      <c r="G162"/>
      <c r="H162"/>
    </row>
    <row r="163" spans="5:8">
      <c r="E163"/>
      <c r="F163"/>
      <c r="G163"/>
      <c r="H163"/>
    </row>
    <row r="164" spans="5:8">
      <c r="E164"/>
      <c r="F164"/>
      <c r="G164"/>
      <c r="H164"/>
    </row>
    <row r="165" spans="5:8">
      <c r="E165"/>
      <c r="F165"/>
      <c r="G165"/>
      <c r="H165"/>
    </row>
    <row r="166" spans="5:8">
      <c r="E166"/>
      <c r="F166"/>
      <c r="G166"/>
      <c r="H166"/>
    </row>
    <row r="167" spans="5:8">
      <c r="E167"/>
      <c r="F167"/>
      <c r="G167"/>
      <c r="H167"/>
    </row>
    <row r="168" spans="5:8">
      <c r="E168"/>
      <c r="F168"/>
      <c r="G168"/>
      <c r="H168"/>
    </row>
    <row r="169" spans="5:8">
      <c r="E169"/>
      <c r="F169"/>
      <c r="G169"/>
      <c r="H169"/>
    </row>
    <row r="170" spans="5:8">
      <c r="E170"/>
      <c r="F170"/>
      <c r="G170"/>
      <c r="H170"/>
    </row>
    <row r="171" spans="5:8">
      <c r="E171"/>
      <c r="F171"/>
      <c r="G171"/>
      <c r="H171"/>
    </row>
    <row r="172" spans="5:8">
      <c r="E172"/>
      <c r="F172"/>
      <c r="G172"/>
      <c r="H172"/>
    </row>
    <row r="173" spans="5:8">
      <c r="E173"/>
      <c r="F173"/>
      <c r="G173"/>
      <c r="H173"/>
    </row>
    <row r="174" spans="5:8">
      <c r="E174"/>
      <c r="F174"/>
      <c r="G174"/>
      <c r="H174"/>
    </row>
    <row r="175" spans="5:8">
      <c r="E175"/>
      <c r="F175"/>
      <c r="G175"/>
      <c r="H175"/>
    </row>
    <row r="176" spans="5:8">
      <c r="E176"/>
      <c r="F176"/>
      <c r="G176"/>
      <c r="H176"/>
    </row>
    <row r="177" spans="5:8">
      <c r="E177"/>
      <c r="F177"/>
      <c r="G177"/>
      <c r="H177"/>
    </row>
    <row r="178" spans="5:8">
      <c r="E178"/>
      <c r="F178"/>
      <c r="G178"/>
      <c r="H178"/>
    </row>
    <row r="179" spans="5:8">
      <c r="E179"/>
      <c r="F179"/>
      <c r="G179"/>
      <c r="H179"/>
    </row>
    <row r="180" spans="5:8">
      <c r="E180"/>
      <c r="F180"/>
      <c r="G180"/>
      <c r="H180"/>
    </row>
    <row r="181" spans="5:8">
      <c r="E181"/>
      <c r="F181"/>
      <c r="G181"/>
      <c r="H181"/>
    </row>
    <row r="182" spans="5:8">
      <c r="E182"/>
      <c r="F182"/>
      <c r="G182"/>
      <c r="H182"/>
    </row>
    <row r="183" spans="5:8">
      <c r="E183"/>
      <c r="F183"/>
      <c r="G183"/>
      <c r="H183"/>
    </row>
    <row r="184" spans="5:8">
      <c r="E184"/>
      <c r="F184"/>
      <c r="G184"/>
      <c r="H184"/>
    </row>
    <row r="185" spans="5:8">
      <c r="E185"/>
      <c r="F185"/>
      <c r="G185"/>
      <c r="H185"/>
    </row>
    <row r="186" spans="5:8">
      <c r="E186"/>
      <c r="F186"/>
      <c r="G186"/>
      <c r="H186"/>
    </row>
    <row r="187" spans="5:8">
      <c r="E187"/>
      <c r="F187"/>
      <c r="G187"/>
      <c r="H187"/>
    </row>
    <row r="188" spans="5:8">
      <c r="E188"/>
      <c r="F188"/>
      <c r="G188"/>
      <c r="H188"/>
    </row>
    <row r="189" spans="5:8">
      <c r="E189"/>
      <c r="F189"/>
      <c r="G189"/>
      <c r="H189"/>
    </row>
    <row r="190" spans="5:8">
      <c r="E190"/>
      <c r="F190"/>
      <c r="G190"/>
      <c r="H190"/>
    </row>
    <row r="191" spans="5:8">
      <c r="E191"/>
      <c r="F191"/>
      <c r="G191"/>
      <c r="H191"/>
    </row>
    <row r="192" spans="5:8">
      <c r="E192"/>
      <c r="F192"/>
      <c r="G192"/>
      <c r="H192"/>
    </row>
    <row r="193" spans="5:8">
      <c r="E193"/>
      <c r="F193"/>
      <c r="G193"/>
      <c r="H193"/>
    </row>
    <row r="194" spans="5:8">
      <c r="E194"/>
      <c r="F194"/>
      <c r="G194"/>
      <c r="H194"/>
    </row>
    <row r="195" spans="5:8">
      <c r="E195"/>
      <c r="F195"/>
      <c r="G195"/>
      <c r="H195"/>
    </row>
    <row r="196" spans="5:8">
      <c r="E196"/>
      <c r="F196"/>
      <c r="G196"/>
      <c r="H196"/>
    </row>
    <row r="197" spans="5:8">
      <c r="E197"/>
      <c r="F197"/>
      <c r="G197"/>
      <c r="H197"/>
    </row>
    <row r="198" spans="5:8">
      <c r="E198"/>
      <c r="F198"/>
      <c r="G198"/>
      <c r="H198"/>
    </row>
    <row r="199" spans="5:8">
      <c r="E199"/>
      <c r="F199"/>
      <c r="G199"/>
      <c r="H199"/>
    </row>
    <row r="200" spans="5:8">
      <c r="E200"/>
      <c r="F200"/>
      <c r="G200"/>
      <c r="H200"/>
    </row>
    <row r="201" spans="5:8">
      <c r="E201"/>
      <c r="F201"/>
      <c r="G201"/>
      <c r="H201"/>
    </row>
    <row r="202" spans="5:8">
      <c r="E202"/>
      <c r="F202"/>
      <c r="G202"/>
      <c r="H202"/>
    </row>
    <row r="203" spans="5:8">
      <c r="E203"/>
      <c r="F203"/>
      <c r="G203"/>
      <c r="H203"/>
    </row>
    <row r="204" spans="5:8">
      <c r="E204"/>
      <c r="F204"/>
      <c r="G204"/>
      <c r="H204"/>
    </row>
    <row r="205" spans="5:8">
      <c r="E205"/>
      <c r="F205"/>
      <c r="G205"/>
      <c r="H205"/>
    </row>
    <row r="206" spans="5:8">
      <c r="E206"/>
      <c r="F206"/>
      <c r="G206"/>
      <c r="H206"/>
    </row>
    <row r="207" spans="5:8">
      <c r="E207"/>
      <c r="F207"/>
      <c r="G207"/>
      <c r="H207"/>
    </row>
    <row r="208" spans="5:8">
      <c r="E208"/>
      <c r="F208"/>
      <c r="G208"/>
      <c r="H208"/>
    </row>
    <row r="209" spans="5:8">
      <c r="E209"/>
      <c r="F209"/>
      <c r="G209"/>
      <c r="H209"/>
    </row>
    <row r="210" spans="5:8">
      <c r="E210"/>
      <c r="F210"/>
      <c r="G210"/>
      <c r="H210"/>
    </row>
    <row r="211" spans="5:8">
      <c r="E211"/>
      <c r="F211"/>
      <c r="G211"/>
      <c r="H211"/>
    </row>
    <row r="212" spans="5:8">
      <c r="E212"/>
      <c r="F212"/>
      <c r="G212"/>
      <c r="H212"/>
    </row>
    <row r="213" spans="5:8">
      <c r="E213"/>
      <c r="F213"/>
      <c r="G213"/>
      <c r="H213"/>
    </row>
    <row r="214" spans="5:8">
      <c r="E214"/>
      <c r="F214"/>
      <c r="G214"/>
      <c r="H214"/>
    </row>
    <row r="215" spans="5:8">
      <c r="E215"/>
      <c r="F215"/>
      <c r="G215"/>
      <c r="H215"/>
    </row>
    <row r="216" spans="5:8">
      <c r="E216"/>
      <c r="F216"/>
      <c r="G216"/>
      <c r="H216"/>
    </row>
    <row r="217" spans="5:8">
      <c r="E217"/>
      <c r="F217"/>
      <c r="G217"/>
      <c r="H217"/>
    </row>
    <row r="218" spans="5:8">
      <c r="E218"/>
      <c r="F218"/>
      <c r="G218"/>
      <c r="H218"/>
    </row>
    <row r="219" spans="5:8">
      <c r="E219"/>
      <c r="F219"/>
      <c r="G219"/>
      <c r="H219"/>
    </row>
    <row r="220" spans="5:8">
      <c r="E220"/>
      <c r="F220"/>
      <c r="G220"/>
      <c r="H220"/>
    </row>
    <row r="221" spans="5:8">
      <c r="E221"/>
      <c r="F221"/>
      <c r="G221"/>
      <c r="H221"/>
    </row>
    <row r="222" spans="5:8">
      <c r="E222"/>
      <c r="F222"/>
      <c r="G222"/>
      <c r="H222"/>
    </row>
    <row r="223" spans="5:8">
      <c r="E223"/>
      <c r="F223"/>
      <c r="G223"/>
      <c r="H223"/>
    </row>
    <row r="224" spans="5:8">
      <c r="E224"/>
      <c r="F224"/>
      <c r="G224"/>
      <c r="H224"/>
    </row>
    <row r="225" spans="5:8">
      <c r="E225"/>
      <c r="F225"/>
      <c r="G225"/>
      <c r="H225"/>
    </row>
    <row r="226" spans="5:8">
      <c r="E226"/>
      <c r="F226"/>
      <c r="G226"/>
      <c r="H226"/>
    </row>
    <row r="227" spans="5:8">
      <c r="E227"/>
      <c r="F227"/>
      <c r="G227"/>
      <c r="H227"/>
    </row>
    <row r="228" spans="5:8">
      <c r="E228"/>
      <c r="F228"/>
      <c r="G228"/>
      <c r="H228"/>
    </row>
    <row r="229" spans="5:8">
      <c r="E229"/>
      <c r="F229"/>
      <c r="G229"/>
      <c r="H229"/>
    </row>
    <row r="230" spans="5:8">
      <c r="E230"/>
      <c r="F230"/>
      <c r="G230"/>
      <c r="H230"/>
    </row>
    <row r="231" spans="5:8">
      <c r="E231"/>
      <c r="F231"/>
      <c r="G231"/>
      <c r="H231"/>
    </row>
    <row r="232" spans="5:8">
      <c r="E232"/>
      <c r="F232"/>
      <c r="G232"/>
      <c r="H232"/>
    </row>
    <row r="233" spans="5:8">
      <c r="E233"/>
      <c r="F233"/>
      <c r="G233"/>
      <c r="H233"/>
    </row>
    <row r="234" spans="5:8">
      <c r="E234"/>
      <c r="F234"/>
      <c r="G234"/>
      <c r="H234"/>
    </row>
    <row r="235" spans="5:8">
      <c r="E235"/>
      <c r="F235"/>
      <c r="G235"/>
      <c r="H235"/>
    </row>
    <row r="236" spans="5:8">
      <c r="E236"/>
      <c r="F236"/>
      <c r="G236"/>
      <c r="H236"/>
    </row>
    <row r="237" spans="5:8">
      <c r="E237"/>
      <c r="F237"/>
      <c r="G237"/>
      <c r="H237"/>
    </row>
    <row r="238" spans="5:8">
      <c r="E238"/>
      <c r="F238"/>
      <c r="G238"/>
      <c r="H238"/>
    </row>
    <row r="239" spans="5:8">
      <c r="E239"/>
      <c r="F239"/>
      <c r="G239"/>
      <c r="H239"/>
    </row>
    <row r="240" spans="5:8">
      <c r="E240"/>
      <c r="F240"/>
      <c r="G240"/>
      <c r="H240"/>
    </row>
    <row r="241" spans="5:8">
      <c r="E241"/>
      <c r="F241"/>
      <c r="G241"/>
      <c r="H241"/>
    </row>
    <row r="242" spans="5:8">
      <c r="E242"/>
      <c r="F242"/>
      <c r="G242"/>
      <c r="H242"/>
    </row>
    <row r="243" spans="5:8">
      <c r="E243"/>
      <c r="F243"/>
      <c r="G243"/>
      <c r="H243"/>
    </row>
    <row r="244" spans="5:8">
      <c r="E244"/>
      <c r="F244"/>
      <c r="G244"/>
      <c r="H244"/>
    </row>
    <row r="245" spans="5:8">
      <c r="E245"/>
      <c r="F245"/>
      <c r="G245"/>
      <c r="H245"/>
    </row>
    <row r="246" spans="5:8">
      <c r="E246"/>
      <c r="F246"/>
      <c r="G246"/>
      <c r="H246"/>
    </row>
    <row r="247" spans="5:8">
      <c r="E247"/>
      <c r="F247"/>
      <c r="G247"/>
      <c r="H247"/>
    </row>
    <row r="248" spans="5:8">
      <c r="E248"/>
      <c r="F248"/>
      <c r="G248"/>
      <c r="H248"/>
    </row>
    <row r="249" spans="5:8">
      <c r="E249"/>
      <c r="F249"/>
      <c r="G249"/>
      <c r="H249"/>
    </row>
    <row r="250" spans="5:8">
      <c r="E250"/>
      <c r="F250"/>
      <c r="G250"/>
      <c r="H250"/>
    </row>
    <row r="251" spans="5:8">
      <c r="E251"/>
      <c r="F251"/>
      <c r="G251"/>
      <c r="H251"/>
    </row>
    <row r="252" spans="5:8">
      <c r="E252"/>
      <c r="F252"/>
      <c r="G252"/>
      <c r="H252"/>
    </row>
    <row r="253" spans="5:8">
      <c r="E253"/>
      <c r="F253"/>
      <c r="G253"/>
      <c r="H253"/>
    </row>
    <row r="254" spans="5:8">
      <c r="E254"/>
      <c r="F254"/>
      <c r="G254"/>
      <c r="H254"/>
    </row>
    <row r="255" spans="5:8">
      <c r="E255"/>
      <c r="F255"/>
      <c r="G255"/>
      <c r="H255"/>
    </row>
    <row r="256" spans="5:8">
      <c r="E256"/>
      <c r="F256"/>
      <c r="G256"/>
      <c r="H256"/>
    </row>
    <row r="257" spans="5:8">
      <c r="E257"/>
      <c r="F257"/>
      <c r="G257"/>
      <c r="H257"/>
    </row>
    <row r="258" spans="5:8">
      <c r="E258"/>
      <c r="F258"/>
      <c r="G258"/>
      <c r="H258"/>
    </row>
    <row r="259" spans="5:8">
      <c r="E259"/>
      <c r="F259"/>
      <c r="G259"/>
      <c r="H259"/>
    </row>
    <row r="260" spans="5:8">
      <c r="E260"/>
      <c r="F260"/>
      <c r="G260"/>
      <c r="H260"/>
    </row>
    <row r="261" spans="5:8">
      <c r="E261"/>
      <c r="F261"/>
      <c r="G261"/>
      <c r="H261"/>
    </row>
    <row r="262" spans="5:8">
      <c r="E262"/>
      <c r="F262"/>
      <c r="G262"/>
      <c r="H262"/>
    </row>
    <row r="263" spans="5:8">
      <c r="E263"/>
      <c r="F263"/>
      <c r="G263"/>
      <c r="H263"/>
    </row>
    <row r="264" spans="5:8">
      <c r="E264"/>
      <c r="F264"/>
      <c r="G264"/>
      <c r="H264"/>
    </row>
    <row r="265" spans="5:8">
      <c r="E265"/>
      <c r="F265"/>
      <c r="G265"/>
      <c r="H265"/>
    </row>
    <row r="266" spans="5:8">
      <c r="E266"/>
      <c r="F266"/>
      <c r="G266"/>
      <c r="H266"/>
    </row>
    <row r="267" spans="5:8">
      <c r="E267"/>
      <c r="F267"/>
      <c r="G267"/>
      <c r="H267"/>
    </row>
    <row r="268" spans="5:8">
      <c r="E268"/>
      <c r="F268"/>
      <c r="G268"/>
      <c r="H268"/>
    </row>
    <row r="269" spans="5:8">
      <c r="E269"/>
      <c r="F269"/>
      <c r="G269"/>
      <c r="H269"/>
    </row>
    <row r="270" spans="5:8">
      <c r="E270"/>
      <c r="F270"/>
      <c r="G270"/>
      <c r="H270"/>
    </row>
    <row r="271" spans="5:8">
      <c r="E271"/>
      <c r="F271"/>
      <c r="G271"/>
      <c r="H271"/>
    </row>
    <row r="272" spans="5:8">
      <c r="E272"/>
      <c r="F272"/>
      <c r="G272"/>
      <c r="H272"/>
    </row>
    <row r="273" spans="5:8">
      <c r="E273"/>
      <c r="F273"/>
      <c r="G273"/>
      <c r="H273"/>
    </row>
    <row r="274" spans="5:8">
      <c r="E274"/>
      <c r="F274"/>
      <c r="G274"/>
      <c r="H274"/>
    </row>
    <row r="275" spans="5:8">
      <c r="E275"/>
      <c r="F275"/>
      <c r="G275"/>
      <c r="H275"/>
    </row>
    <row r="276" spans="5:8">
      <c r="E276"/>
      <c r="F276"/>
      <c r="G276"/>
      <c r="H276"/>
    </row>
    <row r="277" spans="5:8">
      <c r="E277"/>
      <c r="F277"/>
      <c r="G277"/>
      <c r="H277"/>
    </row>
    <row r="278" spans="5:8">
      <c r="E278"/>
      <c r="F278"/>
      <c r="G278"/>
      <c r="H278"/>
    </row>
    <row r="279" spans="5:8">
      <c r="E279"/>
      <c r="F279"/>
      <c r="G279"/>
      <c r="H279"/>
    </row>
    <row r="280" spans="5:8">
      <c r="E280"/>
      <c r="F280"/>
      <c r="G280"/>
      <c r="H280"/>
    </row>
    <row r="281" spans="5:8">
      <c r="E281"/>
      <c r="F281"/>
      <c r="G281"/>
      <c r="H281"/>
    </row>
    <row r="282" spans="5:8">
      <c r="E282"/>
      <c r="F282"/>
      <c r="G282"/>
      <c r="H282"/>
    </row>
    <row r="283" spans="5:8">
      <c r="E283"/>
      <c r="F283"/>
      <c r="G283"/>
      <c r="H283"/>
    </row>
    <row r="284" spans="5:8">
      <c r="E284"/>
      <c r="F284"/>
      <c r="G284"/>
      <c r="H284"/>
    </row>
    <row r="285" spans="5:8">
      <c r="E285"/>
      <c r="F285"/>
      <c r="G285"/>
      <c r="H285"/>
    </row>
    <row r="286" spans="5:8">
      <c r="E286"/>
      <c r="F286"/>
      <c r="G286"/>
      <c r="H286"/>
    </row>
    <row r="287" spans="5:8">
      <c r="E287"/>
      <c r="F287"/>
      <c r="G287"/>
      <c r="H287"/>
    </row>
    <row r="288" spans="5:8">
      <c r="E288"/>
      <c r="F288"/>
      <c r="G288"/>
      <c r="H288"/>
    </row>
    <row r="289" spans="5:8">
      <c r="E289"/>
      <c r="F289"/>
      <c r="G289"/>
      <c r="H289"/>
    </row>
    <row r="290" spans="5:8">
      <c r="E290"/>
      <c r="F290"/>
      <c r="G290"/>
      <c r="H290"/>
    </row>
    <row r="291" spans="5:8">
      <c r="E291"/>
      <c r="F291"/>
      <c r="G291"/>
      <c r="H291"/>
    </row>
    <row r="292" spans="5:8">
      <c r="E292"/>
      <c r="F292"/>
      <c r="G292"/>
      <c r="H292"/>
    </row>
    <row r="293" spans="5:8">
      <c r="E293"/>
      <c r="F293"/>
      <c r="G293"/>
      <c r="H293"/>
    </row>
    <row r="294" spans="5:8">
      <c r="E294"/>
      <c r="F294"/>
      <c r="G294"/>
      <c r="H294"/>
    </row>
    <row r="295" spans="5:8">
      <c r="E295"/>
      <c r="F295"/>
      <c r="G295"/>
      <c r="H295"/>
    </row>
    <row r="296" spans="5:8">
      <c r="E296"/>
      <c r="F296"/>
      <c r="G296"/>
      <c r="H296"/>
    </row>
    <row r="297" spans="5:8">
      <c r="E297"/>
      <c r="F297"/>
      <c r="G297"/>
      <c r="H297"/>
    </row>
    <row r="298" spans="5:8">
      <c r="E298"/>
      <c r="F298"/>
      <c r="G298"/>
      <c r="H298"/>
    </row>
    <row r="299" spans="5:8">
      <c r="E299"/>
      <c r="F299"/>
      <c r="G299"/>
      <c r="H299"/>
    </row>
    <row r="300" spans="5:8">
      <c r="E300"/>
      <c r="F300"/>
      <c r="G300"/>
      <c r="H300"/>
    </row>
    <row r="301" spans="5:8">
      <c r="E301"/>
      <c r="F301"/>
      <c r="G301"/>
      <c r="H301"/>
    </row>
    <row r="302" spans="5:8">
      <c r="E302"/>
      <c r="F302"/>
      <c r="G302"/>
      <c r="H302"/>
    </row>
    <row r="303" spans="5:8">
      <c r="E303"/>
      <c r="F303"/>
      <c r="G303"/>
      <c r="H303"/>
    </row>
    <row r="304" spans="5:8">
      <c r="E304"/>
      <c r="F304"/>
      <c r="G304"/>
      <c r="H304"/>
    </row>
    <row r="305" spans="5:8">
      <c r="E305"/>
      <c r="F305"/>
      <c r="G305"/>
      <c r="H305"/>
    </row>
    <row r="306" spans="5:8">
      <c r="E306"/>
      <c r="F306"/>
      <c r="G306"/>
      <c r="H306"/>
    </row>
    <row r="307" spans="5:8">
      <c r="E307"/>
      <c r="F307"/>
      <c r="G307"/>
      <c r="H307"/>
    </row>
    <row r="308" spans="5:8">
      <c r="E308"/>
      <c r="F308"/>
      <c r="G308"/>
      <c r="H308"/>
    </row>
    <row r="309" spans="5:8">
      <c r="E309"/>
      <c r="F309"/>
      <c r="G309"/>
      <c r="H309"/>
    </row>
    <row r="310" spans="5:8">
      <c r="E310"/>
      <c r="F310"/>
      <c r="G310"/>
      <c r="H310"/>
    </row>
    <row r="311" spans="5:8">
      <c r="E311"/>
      <c r="F311"/>
      <c r="G311"/>
      <c r="H311"/>
    </row>
    <row r="312" spans="5:8">
      <c r="E312"/>
      <c r="F312"/>
      <c r="G312"/>
      <c r="H312"/>
    </row>
    <row r="313" spans="5:8">
      <c r="E313"/>
      <c r="F313"/>
      <c r="G313"/>
      <c r="H313"/>
    </row>
    <row r="314" spans="5:8">
      <c r="E314"/>
      <c r="F314"/>
      <c r="G314"/>
      <c r="H314"/>
    </row>
    <row r="315" spans="5:8">
      <c r="E315"/>
      <c r="F315"/>
      <c r="G315"/>
      <c r="H315"/>
    </row>
    <row r="316" spans="5:8">
      <c r="E316"/>
      <c r="F316"/>
      <c r="G316"/>
      <c r="H316"/>
    </row>
    <row r="317" spans="5:8">
      <c r="E317"/>
      <c r="F317"/>
      <c r="G317"/>
      <c r="H317"/>
    </row>
    <row r="318" spans="5:8">
      <c r="E318"/>
      <c r="F318"/>
      <c r="G318"/>
      <c r="H318"/>
    </row>
    <row r="319" spans="5:8">
      <c r="E319"/>
      <c r="F319"/>
      <c r="G319"/>
      <c r="H319"/>
    </row>
    <row r="320" spans="5:8">
      <c r="E320"/>
      <c r="F320"/>
      <c r="G320"/>
      <c r="H320"/>
    </row>
    <row r="321" spans="5:8">
      <c r="E321"/>
      <c r="F321"/>
      <c r="G321"/>
      <c r="H321"/>
    </row>
    <row r="322" spans="5:8">
      <c r="E322"/>
      <c r="F322"/>
      <c r="G322"/>
      <c r="H322"/>
    </row>
    <row r="323" spans="5:8">
      <c r="E323"/>
      <c r="F323"/>
      <c r="G323"/>
      <c r="H323"/>
    </row>
    <row r="324" spans="5:8">
      <c r="E324"/>
      <c r="F324"/>
      <c r="G324"/>
      <c r="H324"/>
    </row>
    <row r="325" spans="5:8">
      <c r="E325"/>
      <c r="F325"/>
      <c r="G325"/>
      <c r="H325"/>
    </row>
    <row r="326" spans="5:8">
      <c r="E326"/>
      <c r="F326"/>
      <c r="G326"/>
      <c r="H326"/>
    </row>
    <row r="327" spans="5:8">
      <c r="E327"/>
      <c r="F327"/>
      <c r="G327"/>
      <c r="H327"/>
    </row>
    <row r="328" spans="5:8">
      <c r="E328"/>
      <c r="F328"/>
      <c r="G328"/>
      <c r="H328"/>
    </row>
    <row r="329" spans="5:8">
      <c r="E329"/>
      <c r="F329"/>
      <c r="G329"/>
      <c r="H329"/>
    </row>
    <row r="330" spans="5:8">
      <c r="E330"/>
      <c r="F330"/>
      <c r="G330"/>
      <c r="H330"/>
    </row>
    <row r="331" spans="5:8">
      <c r="E331"/>
      <c r="F331"/>
      <c r="G331"/>
      <c r="H331"/>
    </row>
    <row r="332" spans="5:8">
      <c r="E332"/>
      <c r="F332"/>
      <c r="G332"/>
      <c r="H332"/>
    </row>
    <row r="333" spans="5:8">
      <c r="E333"/>
      <c r="F333"/>
      <c r="G333"/>
      <c r="H333"/>
    </row>
    <row r="334" spans="5:8">
      <c r="E334"/>
      <c r="F334"/>
      <c r="G334"/>
      <c r="H334"/>
    </row>
    <row r="335" spans="5:8">
      <c r="E335"/>
      <c r="F335"/>
      <c r="G335"/>
      <c r="H335"/>
    </row>
    <row r="336" spans="5:8">
      <c r="E336"/>
      <c r="F336"/>
      <c r="G336"/>
      <c r="H336"/>
    </row>
    <row r="337" spans="5:8">
      <c r="E337"/>
      <c r="F337"/>
      <c r="G337"/>
      <c r="H337"/>
    </row>
    <row r="338" spans="5:8">
      <c r="E338"/>
      <c r="F338"/>
      <c r="G338"/>
      <c r="H338"/>
    </row>
    <row r="339" spans="5:8">
      <c r="E339"/>
      <c r="F339"/>
      <c r="G339"/>
      <c r="H339"/>
    </row>
    <row r="340" spans="5:8">
      <c r="E340"/>
      <c r="F340"/>
      <c r="G340"/>
      <c r="H340"/>
    </row>
    <row r="341" spans="5:8">
      <c r="E341"/>
      <c r="F341"/>
      <c r="G341"/>
      <c r="H341"/>
    </row>
    <row r="342" spans="5:8">
      <c r="E342"/>
      <c r="F342"/>
      <c r="G342"/>
      <c r="H342"/>
    </row>
    <row r="343" spans="5:8">
      <c r="E343"/>
      <c r="F343"/>
      <c r="G343"/>
      <c r="H343"/>
    </row>
    <row r="344" spans="5:8">
      <c r="E344"/>
      <c r="F344"/>
      <c r="G344"/>
      <c r="H344"/>
    </row>
    <row r="345" spans="5:8">
      <c r="E345"/>
      <c r="F345"/>
      <c r="G345"/>
      <c r="H345"/>
    </row>
    <row r="346" spans="5:8">
      <c r="E346"/>
      <c r="F346"/>
      <c r="G346"/>
      <c r="H346"/>
    </row>
    <row r="347" spans="5:8">
      <c r="E347"/>
      <c r="F347"/>
      <c r="G347"/>
      <c r="H347"/>
    </row>
    <row r="348" spans="5:8">
      <c r="E348"/>
      <c r="F348"/>
      <c r="G348"/>
      <c r="H348"/>
    </row>
    <row r="349" spans="5:8">
      <c r="E349"/>
      <c r="F349"/>
      <c r="G349"/>
      <c r="H349"/>
    </row>
    <row r="350" spans="5:8">
      <c r="E350"/>
      <c r="F350"/>
      <c r="G350"/>
      <c r="H350"/>
    </row>
    <row r="351" spans="5:8">
      <c r="E351"/>
      <c r="F351"/>
      <c r="G351"/>
      <c r="H351"/>
    </row>
    <row r="352" spans="5:8">
      <c r="E352"/>
      <c r="F352"/>
      <c r="G352"/>
      <c r="H352"/>
    </row>
    <row r="353" spans="5:8">
      <c r="E353"/>
      <c r="F353"/>
      <c r="G353"/>
      <c r="H353"/>
    </row>
    <row r="354" spans="5:8">
      <c r="E354"/>
      <c r="F354"/>
      <c r="G354"/>
      <c r="H354"/>
    </row>
    <row r="355" spans="5:8">
      <c r="E355"/>
      <c r="F355"/>
      <c r="G355"/>
      <c r="H355"/>
    </row>
    <row r="356" spans="5:8">
      <c r="E356"/>
      <c r="F356"/>
      <c r="G356"/>
      <c r="H356"/>
    </row>
    <row r="357" spans="5:8">
      <c r="E357"/>
      <c r="F357"/>
      <c r="G357"/>
      <c r="H357"/>
    </row>
    <row r="358" spans="5:8">
      <c r="E358"/>
      <c r="F358"/>
      <c r="G358"/>
      <c r="H358"/>
    </row>
    <row r="359" spans="5:8">
      <c r="E359"/>
      <c r="F359"/>
      <c r="G359"/>
      <c r="H359"/>
    </row>
    <row r="360" spans="5:8">
      <c r="E360"/>
      <c r="F360"/>
      <c r="G360"/>
      <c r="H360"/>
    </row>
    <row r="361" spans="5:8">
      <c r="E361"/>
      <c r="F361"/>
      <c r="G361"/>
      <c r="H361"/>
    </row>
    <row r="362" spans="5:8">
      <c r="E362"/>
      <c r="F362"/>
      <c r="G362"/>
      <c r="H362"/>
    </row>
    <row r="363" spans="5:8">
      <c r="E363"/>
      <c r="F363"/>
      <c r="G363"/>
      <c r="H363"/>
    </row>
    <row r="364" spans="5:8">
      <c r="E364"/>
      <c r="F364"/>
      <c r="G364"/>
      <c r="H364"/>
    </row>
    <row r="365" spans="5:8">
      <c r="E365"/>
      <c r="F365"/>
      <c r="G365"/>
      <c r="H365"/>
    </row>
    <row r="366" spans="5:8">
      <c r="E366"/>
      <c r="F366"/>
      <c r="G366"/>
      <c r="H366"/>
    </row>
    <row r="367" spans="5:8">
      <c r="E367"/>
      <c r="F367"/>
      <c r="G367"/>
      <c r="H367"/>
    </row>
    <row r="368" spans="5:8">
      <c r="E368"/>
      <c r="F368"/>
      <c r="G368"/>
      <c r="H368"/>
    </row>
    <row r="369" spans="5:8">
      <c r="E369"/>
      <c r="F369"/>
      <c r="G369"/>
      <c r="H369"/>
    </row>
    <row r="370" spans="5:8">
      <c r="E370"/>
      <c r="F370"/>
      <c r="G370"/>
      <c r="H370"/>
    </row>
    <row r="371" spans="5:8">
      <c r="E371"/>
      <c r="F371"/>
      <c r="G371"/>
      <c r="H371"/>
    </row>
    <row r="372" spans="5:8">
      <c r="E372"/>
      <c r="F372"/>
      <c r="G372"/>
      <c r="H372"/>
    </row>
    <row r="373" spans="5:8">
      <c r="E373"/>
      <c r="F373"/>
      <c r="G373"/>
      <c r="H373"/>
    </row>
    <row r="374" spans="5:8">
      <c r="E374"/>
      <c r="F374"/>
      <c r="G374"/>
      <c r="H374"/>
    </row>
    <row r="375" spans="5:8">
      <c r="E375"/>
      <c r="F375"/>
      <c r="G375"/>
      <c r="H375"/>
    </row>
    <row r="376" spans="5:8">
      <c r="E376"/>
      <c r="F376"/>
      <c r="G376"/>
      <c r="H376"/>
    </row>
    <row r="377" spans="5:8">
      <c r="E377"/>
      <c r="F377"/>
      <c r="G377"/>
      <c r="H377"/>
    </row>
    <row r="378" spans="5:8">
      <c r="E378"/>
      <c r="F378"/>
      <c r="G378"/>
      <c r="H378"/>
    </row>
    <row r="379" spans="5:8">
      <c r="E379"/>
      <c r="F379"/>
      <c r="G379"/>
      <c r="H379"/>
    </row>
    <row r="380" spans="5:8">
      <c r="E380"/>
      <c r="F380"/>
      <c r="G380"/>
      <c r="H380"/>
    </row>
    <row r="381" spans="5:8">
      <c r="E381"/>
      <c r="F381"/>
      <c r="G381"/>
      <c r="H381"/>
    </row>
    <row r="382" spans="5:8">
      <c r="E382"/>
      <c r="F382"/>
      <c r="G382"/>
      <c r="H382"/>
    </row>
    <row r="383" spans="5:8">
      <c r="E383"/>
      <c r="F383"/>
      <c r="G383"/>
      <c r="H383"/>
    </row>
    <row r="384" spans="5:8">
      <c r="E384"/>
      <c r="F384"/>
      <c r="G384"/>
      <c r="H384"/>
    </row>
    <row r="385" spans="5:8">
      <c r="E385"/>
      <c r="F385"/>
      <c r="G385"/>
      <c r="H385"/>
    </row>
    <row r="386" spans="5:8">
      <c r="E386"/>
      <c r="F386"/>
      <c r="G386"/>
      <c r="H386"/>
    </row>
    <row r="387" spans="5:8">
      <c r="E387"/>
      <c r="F387"/>
      <c r="G387"/>
      <c r="H387"/>
    </row>
    <row r="388" spans="5:8">
      <c r="E388"/>
      <c r="F388"/>
      <c r="G388"/>
      <c r="H388"/>
    </row>
    <row r="389" spans="5:8">
      <c r="E389"/>
      <c r="F389"/>
      <c r="G389"/>
      <c r="H389"/>
    </row>
    <row r="390" spans="5:8">
      <c r="E390"/>
      <c r="F390"/>
      <c r="G390"/>
      <c r="H390"/>
    </row>
    <row r="391" spans="5:8">
      <c r="E391"/>
      <c r="F391"/>
      <c r="G391"/>
      <c r="H391"/>
    </row>
    <row r="392" spans="5:8">
      <c r="E392"/>
      <c r="F392"/>
      <c r="G392"/>
      <c r="H392"/>
    </row>
    <row r="393" spans="5:8">
      <c r="E393"/>
      <c r="F393"/>
      <c r="G393"/>
      <c r="H393"/>
    </row>
    <row r="394" spans="5:8">
      <c r="E394"/>
      <c r="F394"/>
      <c r="G394"/>
      <c r="H394"/>
    </row>
    <row r="395" spans="5:8">
      <c r="E395"/>
      <c r="F395"/>
      <c r="G395"/>
      <c r="H395"/>
    </row>
    <row r="396" spans="5:8">
      <c r="E396"/>
      <c r="F396"/>
      <c r="G396"/>
      <c r="H396"/>
    </row>
    <row r="397" spans="5:8">
      <c r="E397"/>
      <c r="F397"/>
      <c r="G397"/>
      <c r="H397"/>
    </row>
    <row r="398" spans="5:8">
      <c r="E398"/>
      <c r="F398"/>
      <c r="G398"/>
      <c r="H398"/>
    </row>
    <row r="399" spans="5:8">
      <c r="E399"/>
      <c r="F399"/>
      <c r="G399"/>
      <c r="H399"/>
    </row>
    <row r="400" spans="5:8">
      <c r="E400"/>
      <c r="F400"/>
      <c r="G400"/>
      <c r="H400"/>
    </row>
    <row r="401" spans="5:8">
      <c r="E401"/>
      <c r="F401"/>
      <c r="G401"/>
      <c r="H401"/>
    </row>
    <row r="402" spans="5:8">
      <c r="E402"/>
      <c r="F402"/>
      <c r="G402"/>
      <c r="H402"/>
    </row>
    <row r="403" spans="5:8">
      <c r="E403"/>
      <c r="F403"/>
      <c r="G403"/>
      <c r="H403"/>
    </row>
    <row r="404" spans="5:8">
      <c r="E404"/>
      <c r="F404"/>
      <c r="G404"/>
      <c r="H404"/>
    </row>
    <row r="405" spans="5:8">
      <c r="E405"/>
      <c r="F405"/>
      <c r="G405"/>
      <c r="H405"/>
    </row>
    <row r="406" spans="5:8">
      <c r="E406"/>
      <c r="F406"/>
      <c r="G406"/>
      <c r="H406"/>
    </row>
    <row r="407" spans="5:8">
      <c r="E407"/>
      <c r="F407"/>
      <c r="G407"/>
      <c r="H407"/>
    </row>
    <row r="408" spans="5:8">
      <c r="E408"/>
      <c r="F408"/>
      <c r="G408"/>
      <c r="H408"/>
    </row>
    <row r="409" spans="5:8">
      <c r="E409"/>
      <c r="F409"/>
      <c r="G409"/>
      <c r="H409"/>
    </row>
    <row r="410" spans="5:8">
      <c r="E410"/>
      <c r="F410"/>
      <c r="G410"/>
      <c r="H410"/>
    </row>
    <row r="411" spans="5:8">
      <c r="E411"/>
      <c r="F411"/>
      <c r="G411"/>
      <c r="H411"/>
    </row>
    <row r="412" spans="5:8">
      <c r="E412"/>
      <c r="F412"/>
      <c r="G412"/>
      <c r="H412"/>
    </row>
    <row r="413" spans="5:8">
      <c r="E413"/>
      <c r="F413"/>
      <c r="G413"/>
      <c r="H413"/>
    </row>
    <row r="414" spans="5:8">
      <c r="E414"/>
      <c r="F414"/>
      <c r="G414"/>
      <c r="H414"/>
    </row>
    <row r="415" spans="5:8">
      <c r="E415"/>
      <c r="F415"/>
      <c r="G415"/>
      <c r="H415"/>
    </row>
    <row r="416" spans="5:8">
      <c r="E416"/>
      <c r="F416"/>
      <c r="G416"/>
      <c r="H416"/>
    </row>
    <row r="417" spans="5:8">
      <c r="E417"/>
      <c r="F417"/>
      <c r="G417"/>
      <c r="H417"/>
    </row>
    <row r="418" spans="5:8">
      <c r="E418"/>
      <c r="F418"/>
      <c r="G418"/>
      <c r="H418"/>
    </row>
    <row r="419" spans="5:8">
      <c r="E419"/>
      <c r="F419"/>
      <c r="G419"/>
      <c r="H419"/>
    </row>
    <row r="420" spans="5:8">
      <c r="E420"/>
      <c r="F420"/>
      <c r="G420"/>
      <c r="H420"/>
    </row>
    <row r="421" spans="5:8">
      <c r="E421"/>
      <c r="F421"/>
      <c r="G421"/>
      <c r="H421"/>
    </row>
    <row r="422" spans="5:8">
      <c r="E422"/>
      <c r="F422"/>
      <c r="G422"/>
      <c r="H422"/>
    </row>
    <row r="423" spans="5:8">
      <c r="E423"/>
      <c r="F423"/>
      <c r="G423"/>
      <c r="H423"/>
    </row>
    <row r="424" spans="5:8">
      <c r="E424"/>
      <c r="F424"/>
      <c r="G424"/>
      <c r="H424"/>
    </row>
    <row r="425" spans="5:8">
      <c r="E425"/>
      <c r="F425"/>
      <c r="G425"/>
      <c r="H425"/>
    </row>
    <row r="426" spans="5:8">
      <c r="E426"/>
      <c r="F426"/>
      <c r="G426"/>
      <c r="H426"/>
    </row>
    <row r="427" spans="5:8">
      <c r="E427"/>
      <c r="F427"/>
      <c r="G427"/>
      <c r="H427"/>
    </row>
    <row r="428" spans="5:8">
      <c r="E428"/>
      <c r="F428"/>
      <c r="G428"/>
      <c r="H428"/>
    </row>
    <row r="429" spans="5:8">
      <c r="E429"/>
      <c r="F429"/>
      <c r="G429"/>
      <c r="H429"/>
    </row>
    <row r="430" spans="5:8">
      <c r="E430"/>
      <c r="F430"/>
      <c r="G430"/>
      <c r="H430"/>
    </row>
    <row r="431" spans="5:8">
      <c r="E431"/>
      <c r="F431"/>
      <c r="G431"/>
      <c r="H431"/>
    </row>
    <row r="432" spans="5:8">
      <c r="E432"/>
      <c r="F432"/>
      <c r="G432"/>
      <c r="H432"/>
    </row>
    <row r="433" spans="5:8">
      <c r="E433"/>
      <c r="F433"/>
      <c r="G433"/>
      <c r="H433"/>
    </row>
    <row r="434" spans="5:8">
      <c r="E434"/>
      <c r="F434"/>
      <c r="G434"/>
      <c r="H434"/>
    </row>
    <row r="435" spans="5:8">
      <c r="E435"/>
      <c r="F435"/>
      <c r="G435"/>
      <c r="H435"/>
    </row>
    <row r="436" spans="5:8">
      <c r="E436"/>
      <c r="F436"/>
      <c r="G436"/>
      <c r="H436"/>
    </row>
    <row r="437" spans="5:8">
      <c r="E437"/>
      <c r="F437"/>
      <c r="G437"/>
      <c r="H437"/>
    </row>
    <row r="438" spans="5:8">
      <c r="E438"/>
      <c r="F438"/>
      <c r="G438"/>
      <c r="H438"/>
    </row>
    <row r="439" spans="5:8">
      <c r="E439"/>
      <c r="F439"/>
      <c r="G439"/>
      <c r="H439"/>
    </row>
    <row r="440" spans="5:8">
      <c r="E440"/>
      <c r="F440"/>
      <c r="G440"/>
      <c r="H440"/>
    </row>
    <row r="441" spans="5:8">
      <c r="E441"/>
      <c r="F441"/>
      <c r="G441"/>
      <c r="H441"/>
    </row>
    <row r="442" spans="5:8">
      <c r="E442"/>
      <c r="F442"/>
      <c r="G442"/>
      <c r="H442"/>
    </row>
    <row r="443" spans="5:8">
      <c r="E443"/>
      <c r="F443"/>
      <c r="G443"/>
      <c r="H443"/>
    </row>
    <row r="444" spans="5:8">
      <c r="E444"/>
      <c r="F444"/>
      <c r="G444"/>
      <c r="H444"/>
    </row>
    <row r="445" spans="5:8">
      <c r="E445"/>
      <c r="F445"/>
      <c r="G445"/>
      <c r="H445"/>
    </row>
    <row r="446" spans="5:8">
      <c r="E446"/>
      <c r="F446"/>
      <c r="G446"/>
      <c r="H446"/>
    </row>
    <row r="447" spans="5:8">
      <c r="E447"/>
      <c r="F447"/>
      <c r="G447"/>
      <c r="H447"/>
    </row>
    <row r="448" spans="5:8">
      <c r="E448"/>
      <c r="F448"/>
      <c r="G448"/>
      <c r="H448"/>
    </row>
    <row r="449" spans="5:8">
      <c r="E449"/>
      <c r="F449"/>
      <c r="G449"/>
      <c r="H449"/>
    </row>
    <row r="450" spans="5:8">
      <c r="E450"/>
      <c r="F450"/>
      <c r="G450"/>
      <c r="H450"/>
    </row>
    <row r="451" spans="5:8">
      <c r="E451"/>
      <c r="F451"/>
      <c r="G451"/>
      <c r="H451"/>
    </row>
    <row r="452" spans="5:8">
      <c r="E452"/>
      <c r="F452"/>
      <c r="G452"/>
      <c r="H452"/>
    </row>
    <row r="453" spans="5:8">
      <c r="E453"/>
      <c r="F453"/>
      <c r="G453"/>
      <c r="H453"/>
    </row>
    <row r="454" spans="5:8">
      <c r="E454"/>
      <c r="F454"/>
      <c r="G454"/>
      <c r="H454"/>
    </row>
    <row r="455" spans="5:8">
      <c r="E455"/>
      <c r="F455"/>
      <c r="G455"/>
      <c r="H455"/>
    </row>
    <row r="456" spans="5:8">
      <c r="E456"/>
      <c r="F456"/>
      <c r="G456"/>
      <c r="H456"/>
    </row>
    <row r="457" spans="5:8">
      <c r="E457"/>
      <c r="F457"/>
      <c r="G457"/>
      <c r="H457"/>
    </row>
    <row r="458" spans="5:8">
      <c r="E458"/>
      <c r="F458"/>
      <c r="G458"/>
      <c r="H458"/>
    </row>
    <row r="459" spans="5:8">
      <c r="E459"/>
      <c r="F459"/>
      <c r="G459"/>
      <c r="H459"/>
    </row>
    <row r="460" spans="5:8">
      <c r="E460"/>
      <c r="F460"/>
      <c r="G460"/>
      <c r="H460"/>
    </row>
    <row r="461" spans="5:8">
      <c r="E461"/>
      <c r="F461"/>
      <c r="G461"/>
      <c r="H461"/>
    </row>
    <row r="462" spans="5:8">
      <c r="E462"/>
      <c r="F462"/>
      <c r="G462"/>
      <c r="H462"/>
    </row>
    <row r="463" spans="5:8">
      <c r="E463"/>
      <c r="F463"/>
      <c r="G463"/>
      <c r="H463"/>
    </row>
    <row r="464" spans="5:8">
      <c r="E464"/>
      <c r="F464"/>
      <c r="G464"/>
      <c r="H464"/>
    </row>
    <row r="465" spans="5:8">
      <c r="E465"/>
      <c r="F465"/>
      <c r="G465"/>
      <c r="H465"/>
    </row>
    <row r="466" spans="5:8">
      <c r="E466"/>
      <c r="F466"/>
      <c r="G466"/>
      <c r="H466"/>
    </row>
    <row r="467" spans="5:8">
      <c r="E467"/>
      <c r="F467"/>
      <c r="G467"/>
      <c r="H467"/>
    </row>
    <row r="468" spans="5:8">
      <c r="E468"/>
      <c r="F468"/>
      <c r="G468"/>
      <c r="H468"/>
    </row>
    <row r="469" spans="5:8">
      <c r="E469"/>
      <c r="F469"/>
      <c r="G469"/>
      <c r="H469"/>
    </row>
    <row r="470" spans="5:8">
      <c r="E470"/>
      <c r="F470"/>
      <c r="G470"/>
      <c r="H470"/>
    </row>
    <row r="471" spans="5:8">
      <c r="E471"/>
      <c r="F471"/>
      <c r="G471"/>
      <c r="H471"/>
    </row>
    <row r="472" spans="5:8">
      <c r="E472"/>
      <c r="F472"/>
      <c r="G472"/>
      <c r="H472"/>
    </row>
    <row r="473" spans="5:8">
      <c r="E473"/>
      <c r="F473"/>
      <c r="G473"/>
      <c r="H473"/>
    </row>
    <row r="474" spans="5:8">
      <c r="E474"/>
      <c r="F474"/>
      <c r="G474"/>
      <c r="H474"/>
    </row>
    <row r="475" spans="5:8">
      <c r="E475"/>
      <c r="F475"/>
      <c r="G475"/>
      <c r="H475"/>
    </row>
    <row r="476" spans="5:8">
      <c r="E476"/>
      <c r="F476"/>
      <c r="G476"/>
      <c r="H476"/>
    </row>
    <row r="477" spans="5:8">
      <c r="E477"/>
      <c r="F477"/>
      <c r="G477"/>
      <c r="H477"/>
    </row>
    <row r="478" spans="5:8">
      <c r="E478"/>
      <c r="F478"/>
      <c r="G478"/>
      <c r="H478"/>
    </row>
    <row r="479" spans="5:8">
      <c r="E479"/>
      <c r="F479"/>
      <c r="G479"/>
      <c r="H479"/>
    </row>
    <row r="480" spans="5:8">
      <c r="E480"/>
      <c r="F480"/>
      <c r="G480"/>
      <c r="H480"/>
    </row>
    <row r="481" spans="5:8">
      <c r="E481"/>
      <c r="F481"/>
      <c r="G481"/>
      <c r="H481"/>
    </row>
    <row r="482" spans="5:8">
      <c r="E482"/>
      <c r="F482"/>
      <c r="G482"/>
      <c r="H482"/>
    </row>
    <row r="483" spans="5:8">
      <c r="E483"/>
      <c r="F483"/>
      <c r="G483"/>
      <c r="H483"/>
    </row>
    <row r="484" spans="5:8">
      <c r="E484"/>
      <c r="F484"/>
      <c r="G484"/>
      <c r="H484"/>
    </row>
    <row r="485" spans="5:8">
      <c r="E485"/>
      <c r="F485"/>
      <c r="G485"/>
      <c r="H485"/>
    </row>
    <row r="486" spans="5:8">
      <c r="E486"/>
      <c r="F486"/>
      <c r="G486"/>
      <c r="H486"/>
    </row>
    <row r="487" spans="5:8">
      <c r="E487"/>
      <c r="F487"/>
      <c r="G487"/>
      <c r="H487"/>
    </row>
    <row r="488" spans="5:8">
      <c r="E488"/>
      <c r="F488"/>
      <c r="G488"/>
      <c r="H488"/>
    </row>
    <row r="489" spans="5:8">
      <c r="E489"/>
      <c r="F489"/>
      <c r="G489"/>
      <c r="H489"/>
    </row>
    <row r="490" spans="5:8">
      <c r="E490"/>
      <c r="F490"/>
      <c r="G490"/>
      <c r="H490"/>
    </row>
    <row r="491" spans="5:8">
      <c r="E491"/>
      <c r="F491"/>
      <c r="G491"/>
      <c r="H491"/>
    </row>
    <row r="492" spans="5:8">
      <c r="E492"/>
      <c r="F492"/>
      <c r="G492"/>
      <c r="H492"/>
    </row>
    <row r="493" spans="5:8">
      <c r="E493"/>
      <c r="F493"/>
      <c r="G493"/>
      <c r="H493"/>
    </row>
    <row r="494" spans="5:8">
      <c r="E494"/>
      <c r="F494"/>
      <c r="G494"/>
      <c r="H494"/>
    </row>
    <row r="495" spans="5:8">
      <c r="E495"/>
      <c r="F495"/>
      <c r="G495"/>
      <c r="H495"/>
    </row>
    <row r="496" spans="5:8">
      <c r="E496"/>
      <c r="F496"/>
      <c r="G496"/>
      <c r="H496"/>
    </row>
    <row r="497" spans="5:8">
      <c r="E497"/>
      <c r="F497"/>
      <c r="G497"/>
      <c r="H497"/>
    </row>
    <row r="498" spans="5:8">
      <c r="E498"/>
      <c r="F498"/>
      <c r="G498"/>
      <c r="H498"/>
    </row>
    <row r="499" spans="5:8">
      <c r="E499"/>
      <c r="F499"/>
      <c r="G499"/>
      <c r="H499"/>
    </row>
    <row r="500" spans="5:8">
      <c r="E500"/>
      <c r="F500"/>
      <c r="G500"/>
      <c r="H500"/>
    </row>
    <row r="501" spans="5:8">
      <c r="E501"/>
      <c r="F501"/>
      <c r="G501"/>
      <c r="H501"/>
    </row>
    <row r="502" spans="5:8">
      <c r="E502"/>
      <c r="F502"/>
      <c r="G502"/>
      <c r="H502"/>
    </row>
    <row r="503" spans="5:8">
      <c r="E503"/>
      <c r="F503"/>
      <c r="G503"/>
      <c r="H503"/>
    </row>
    <row r="504" spans="5:8">
      <c r="E504"/>
      <c r="F504"/>
      <c r="G504"/>
      <c r="H504"/>
    </row>
    <row r="505" spans="5:8">
      <c r="E505"/>
      <c r="F505"/>
      <c r="G505"/>
      <c r="H505"/>
    </row>
    <row r="506" spans="5:8">
      <c r="E506"/>
      <c r="F506"/>
      <c r="G506"/>
      <c r="H506"/>
    </row>
    <row r="507" spans="5:8">
      <c r="E507"/>
      <c r="F507"/>
      <c r="G507"/>
      <c r="H507"/>
    </row>
    <row r="508" spans="5:8">
      <c r="E508"/>
      <c r="F508"/>
      <c r="G508"/>
      <c r="H508"/>
    </row>
    <row r="509" spans="5:8">
      <c r="E509"/>
      <c r="F509"/>
      <c r="G509"/>
      <c r="H509"/>
    </row>
    <row r="510" spans="5:8">
      <c r="E510"/>
      <c r="F510"/>
      <c r="G510"/>
      <c r="H510"/>
    </row>
    <row r="511" spans="5:8">
      <c r="E511"/>
      <c r="F511"/>
      <c r="G511"/>
      <c r="H511"/>
    </row>
    <row r="512" spans="5:8">
      <c r="E512"/>
      <c r="F512"/>
      <c r="G512"/>
      <c r="H512"/>
    </row>
    <row r="513" spans="5:8">
      <c r="E513"/>
      <c r="F513"/>
      <c r="G513"/>
      <c r="H513"/>
    </row>
    <row r="514" spans="5:8">
      <c r="E514"/>
      <c r="F514"/>
      <c r="G514"/>
      <c r="H514"/>
    </row>
    <row r="515" spans="5:8">
      <c r="E515"/>
      <c r="F515"/>
      <c r="G515"/>
      <c r="H515"/>
    </row>
    <row r="516" spans="5:8">
      <c r="E516"/>
      <c r="F516"/>
      <c r="G516"/>
      <c r="H516"/>
    </row>
    <row r="517" spans="5:8">
      <c r="E517"/>
      <c r="F517"/>
      <c r="G517"/>
      <c r="H517"/>
    </row>
    <row r="518" spans="5:8">
      <c r="E518"/>
      <c r="F518"/>
      <c r="G518"/>
      <c r="H518"/>
    </row>
    <row r="519" spans="5:8">
      <c r="E519"/>
      <c r="F519"/>
      <c r="G519"/>
      <c r="H519"/>
    </row>
    <row r="520" spans="5:8">
      <c r="E520"/>
      <c r="F520"/>
      <c r="G520"/>
      <c r="H520"/>
    </row>
    <row r="521" spans="5:8">
      <c r="E521"/>
      <c r="F521"/>
      <c r="G521"/>
      <c r="H521"/>
    </row>
    <row r="522" spans="5:8">
      <c r="E522"/>
      <c r="F522"/>
      <c r="G522"/>
      <c r="H522"/>
    </row>
    <row r="523" spans="5:8">
      <c r="E523"/>
      <c r="F523"/>
      <c r="G523"/>
      <c r="H523"/>
    </row>
    <row r="524" spans="5:8">
      <c r="E524"/>
      <c r="F524"/>
      <c r="G524"/>
      <c r="H524"/>
    </row>
    <row r="525" spans="5:8">
      <c r="E525"/>
      <c r="F525"/>
      <c r="G525"/>
      <c r="H525"/>
    </row>
    <row r="526" spans="5:8">
      <c r="E526"/>
      <c r="F526"/>
      <c r="G526"/>
      <c r="H526"/>
    </row>
    <row r="527" spans="5:8">
      <c r="E527"/>
      <c r="F527"/>
      <c r="G527"/>
      <c r="H527"/>
    </row>
    <row r="528" spans="5:8">
      <c r="E528"/>
      <c r="F528"/>
      <c r="G528"/>
      <c r="H528"/>
    </row>
    <row r="529" spans="5:8">
      <c r="E529"/>
      <c r="F529"/>
      <c r="G529"/>
      <c r="H529"/>
    </row>
    <row r="530" spans="5:8">
      <c r="E530"/>
      <c r="F530"/>
      <c r="G530"/>
      <c r="H530"/>
    </row>
    <row r="531" spans="5:8">
      <c r="E531"/>
      <c r="F531"/>
      <c r="G531"/>
      <c r="H531"/>
    </row>
    <row r="532" spans="5:8">
      <c r="E532"/>
      <c r="F532"/>
      <c r="G532"/>
      <c r="H532"/>
    </row>
    <row r="533" spans="5:8">
      <c r="E533"/>
      <c r="F533"/>
      <c r="G533"/>
      <c r="H533"/>
    </row>
    <row r="534" spans="5:8">
      <c r="E534"/>
      <c r="F534"/>
      <c r="G534"/>
      <c r="H534"/>
    </row>
    <row r="535" spans="5:8">
      <c r="E535"/>
      <c r="F535"/>
      <c r="G535"/>
      <c r="H535"/>
    </row>
    <row r="536" spans="5:8">
      <c r="E536"/>
      <c r="F536"/>
      <c r="G536"/>
      <c r="H536"/>
    </row>
    <row r="537" spans="5:8">
      <c r="E537"/>
      <c r="F537"/>
      <c r="G537"/>
      <c r="H537"/>
    </row>
    <row r="538" spans="5:8">
      <c r="E538"/>
      <c r="F538"/>
      <c r="G538"/>
      <c r="H538"/>
    </row>
    <row r="539" spans="5:8">
      <c r="E539"/>
      <c r="F539"/>
      <c r="G539"/>
      <c r="H539"/>
    </row>
    <row r="540" spans="5:8">
      <c r="E540"/>
      <c r="F540"/>
      <c r="G540"/>
      <c r="H540"/>
    </row>
    <row r="541" spans="5:8">
      <c r="E541"/>
      <c r="F541"/>
      <c r="G541"/>
      <c r="H541"/>
    </row>
    <row r="542" spans="5:8">
      <c r="E542"/>
      <c r="F542"/>
      <c r="G542"/>
      <c r="H542"/>
    </row>
    <row r="543" spans="5:8">
      <c r="E543"/>
      <c r="F543"/>
      <c r="G543"/>
      <c r="H543"/>
    </row>
    <row r="544" spans="5:8">
      <c r="E544"/>
      <c r="F544"/>
      <c r="G544"/>
      <c r="H544"/>
    </row>
    <row r="545" spans="5:8">
      <c r="E545"/>
      <c r="F545"/>
      <c r="G545"/>
      <c r="H545"/>
    </row>
    <row r="546" spans="5:8">
      <c r="E546"/>
      <c r="F546"/>
      <c r="G546"/>
      <c r="H546"/>
    </row>
    <row r="547" spans="5:8">
      <c r="E547"/>
      <c r="F547"/>
      <c r="G547"/>
      <c r="H547"/>
    </row>
    <row r="548" spans="5:8">
      <c r="E548"/>
      <c r="F548"/>
      <c r="G548"/>
      <c r="H548"/>
    </row>
    <row r="549" spans="5:8">
      <c r="E549"/>
      <c r="F549"/>
      <c r="G549"/>
      <c r="H549"/>
    </row>
    <row r="550" spans="5:8">
      <c r="E550"/>
      <c r="F550"/>
      <c r="G550"/>
      <c r="H550"/>
    </row>
    <row r="551" spans="5:8">
      <c r="E551"/>
      <c r="F551"/>
      <c r="G551"/>
      <c r="H551"/>
    </row>
    <row r="552" spans="5:8">
      <c r="E552"/>
      <c r="F552"/>
      <c r="G552"/>
      <c r="H552"/>
    </row>
    <row r="553" spans="5:8">
      <c r="E553"/>
      <c r="F553"/>
      <c r="G553"/>
      <c r="H553"/>
    </row>
    <row r="554" spans="5:8">
      <c r="E554"/>
      <c r="F554"/>
      <c r="G554"/>
      <c r="H554"/>
    </row>
    <row r="555" spans="5:8">
      <c r="E555"/>
      <c r="F555"/>
      <c r="G555"/>
      <c r="H555"/>
    </row>
    <row r="556" spans="5:8">
      <c r="E556"/>
      <c r="F556"/>
      <c r="G556"/>
      <c r="H556"/>
    </row>
    <row r="557" spans="5:8">
      <c r="E557"/>
      <c r="F557"/>
      <c r="G557"/>
      <c r="H557"/>
    </row>
    <row r="558" spans="5:8">
      <c r="E558"/>
      <c r="F558"/>
      <c r="G558"/>
      <c r="H558"/>
    </row>
    <row r="559" spans="5:8">
      <c r="E559"/>
      <c r="F559"/>
      <c r="G559"/>
      <c r="H559"/>
    </row>
    <row r="560" spans="5:8">
      <c r="E560"/>
      <c r="F560"/>
      <c r="G560"/>
      <c r="H560"/>
    </row>
    <row r="561" spans="5:8">
      <c r="E561"/>
      <c r="F561"/>
      <c r="G561"/>
      <c r="H561"/>
    </row>
    <row r="562" spans="5:8">
      <c r="E562"/>
      <c r="F562"/>
      <c r="G562"/>
      <c r="H562"/>
    </row>
    <row r="563" spans="5:8">
      <c r="E563"/>
      <c r="F563"/>
      <c r="G563"/>
      <c r="H563"/>
    </row>
    <row r="564" spans="5:8">
      <c r="E564"/>
      <c r="F564"/>
      <c r="G564"/>
      <c r="H564"/>
    </row>
    <row r="565" spans="5:8">
      <c r="E565"/>
      <c r="F565"/>
      <c r="G565"/>
      <c r="H565"/>
    </row>
    <row r="566" spans="5:8">
      <c r="E566"/>
      <c r="F566"/>
      <c r="G566"/>
      <c r="H566"/>
    </row>
    <row r="567" spans="5:8">
      <c r="E567"/>
      <c r="F567"/>
      <c r="G567"/>
      <c r="H567"/>
    </row>
    <row r="568" spans="5:8">
      <c r="E568"/>
      <c r="F568"/>
      <c r="G568"/>
      <c r="H568"/>
    </row>
    <row r="569" spans="5:8">
      <c r="E569"/>
      <c r="F569"/>
      <c r="G569"/>
      <c r="H569"/>
    </row>
    <row r="570" spans="5:8">
      <c r="E570"/>
      <c r="F570"/>
      <c r="G570"/>
      <c r="H570"/>
    </row>
    <row r="571" spans="5:8">
      <c r="E571"/>
      <c r="F571"/>
      <c r="G571"/>
      <c r="H571"/>
    </row>
    <row r="572" spans="5:8">
      <c r="E572"/>
      <c r="F572"/>
      <c r="G572"/>
      <c r="H572"/>
    </row>
    <row r="573" spans="5:8">
      <c r="E573"/>
      <c r="F573"/>
      <c r="G573"/>
      <c r="H573"/>
    </row>
    <row r="574" spans="5:8">
      <c r="E574"/>
      <c r="F574"/>
      <c r="G574"/>
      <c r="H574"/>
    </row>
    <row r="575" spans="5:8">
      <c r="E575"/>
      <c r="F575"/>
      <c r="G575"/>
      <c r="H575"/>
    </row>
    <row r="576" spans="5:8">
      <c r="E576"/>
      <c r="F576"/>
      <c r="G576"/>
      <c r="H576"/>
    </row>
    <row r="577" spans="5:8">
      <c r="E577"/>
      <c r="F577"/>
      <c r="G577"/>
      <c r="H577"/>
    </row>
    <row r="578" spans="5:8">
      <c r="E578"/>
      <c r="F578"/>
      <c r="G578"/>
      <c r="H578"/>
    </row>
    <row r="579" spans="5:8">
      <c r="E579"/>
      <c r="F579"/>
      <c r="G579"/>
      <c r="H579"/>
    </row>
    <row r="580" spans="5:8">
      <c r="E580"/>
      <c r="F580"/>
      <c r="G580"/>
      <c r="H580"/>
    </row>
    <row r="581" spans="5:8">
      <c r="E581"/>
      <c r="F581"/>
      <c r="G581"/>
      <c r="H581"/>
    </row>
    <row r="582" spans="5:8">
      <c r="E582"/>
      <c r="F582"/>
      <c r="G582"/>
      <c r="H582"/>
    </row>
    <row r="583" spans="5:8">
      <c r="E583"/>
      <c r="F583"/>
      <c r="G583"/>
      <c r="H583"/>
    </row>
    <row r="584" spans="5:8">
      <c r="E584"/>
      <c r="F584"/>
      <c r="G584"/>
      <c r="H584"/>
    </row>
    <row r="585" spans="5:8">
      <c r="E585"/>
      <c r="F585"/>
      <c r="G585"/>
      <c r="H585"/>
    </row>
    <row r="586" spans="5:8">
      <c r="E586"/>
      <c r="F586"/>
      <c r="G586"/>
      <c r="H586"/>
    </row>
    <row r="587" spans="5:8">
      <c r="E587"/>
      <c r="F587"/>
      <c r="G587"/>
      <c r="H587"/>
    </row>
    <row r="588" spans="5:8">
      <c r="E588"/>
      <c r="F588"/>
      <c r="G588"/>
      <c r="H588"/>
    </row>
    <row r="589" spans="5:8">
      <c r="E589"/>
      <c r="F589"/>
      <c r="G589"/>
      <c r="H589"/>
    </row>
    <row r="590" spans="5:8">
      <c r="E590"/>
      <c r="F590"/>
      <c r="G590"/>
      <c r="H590"/>
    </row>
    <row r="591" spans="5:8">
      <c r="E591"/>
      <c r="F591"/>
      <c r="G591"/>
      <c r="H591"/>
    </row>
    <row r="592" spans="5:8">
      <c r="E592"/>
      <c r="F592"/>
      <c r="G592"/>
      <c r="H592"/>
    </row>
    <row r="593" spans="5:8">
      <c r="E593"/>
      <c r="F593"/>
      <c r="G593"/>
      <c r="H593"/>
    </row>
    <row r="594" spans="5:8">
      <c r="E594"/>
      <c r="F594"/>
      <c r="G594"/>
      <c r="H594"/>
    </row>
    <row r="595" spans="5:8">
      <c r="E595"/>
      <c r="F595"/>
      <c r="G595"/>
      <c r="H595"/>
    </row>
    <row r="596" spans="5:8">
      <c r="E596"/>
      <c r="F596"/>
      <c r="G596"/>
      <c r="H596"/>
    </row>
    <row r="597" spans="5:8">
      <c r="E597"/>
      <c r="F597"/>
      <c r="G597"/>
      <c r="H597"/>
    </row>
    <row r="598" spans="5:8">
      <c r="E598"/>
      <c r="F598"/>
      <c r="G598"/>
      <c r="H598"/>
    </row>
    <row r="599" spans="5:8">
      <c r="E599"/>
      <c r="F599"/>
      <c r="G599"/>
      <c r="H599"/>
    </row>
    <row r="600" spans="5:8">
      <c r="E600"/>
      <c r="F600"/>
      <c r="G600"/>
      <c r="H600"/>
    </row>
    <row r="601" spans="5:8">
      <c r="E601"/>
      <c r="F601"/>
      <c r="G601"/>
      <c r="H601"/>
    </row>
    <row r="602" spans="5:8">
      <c r="E602"/>
      <c r="F602"/>
      <c r="G602"/>
      <c r="H602"/>
    </row>
    <row r="603" spans="5:8">
      <c r="E603"/>
      <c r="F603"/>
      <c r="G603"/>
      <c r="H603"/>
    </row>
    <row r="604" spans="5:8">
      <c r="E604"/>
      <c r="F604"/>
      <c r="G604"/>
      <c r="H604"/>
    </row>
    <row r="605" spans="5:8">
      <c r="E605"/>
      <c r="F605"/>
      <c r="G605"/>
      <c r="H605"/>
    </row>
    <row r="606" spans="5:8">
      <c r="E606"/>
      <c r="F606"/>
      <c r="G606"/>
      <c r="H606"/>
    </row>
    <row r="607" spans="5:8">
      <c r="E607"/>
      <c r="F607"/>
      <c r="G607"/>
      <c r="H607"/>
    </row>
    <row r="608" spans="5:8">
      <c r="E608"/>
      <c r="F608"/>
      <c r="G608"/>
      <c r="H608"/>
    </row>
    <row r="609" spans="5:8">
      <c r="E609"/>
      <c r="F609"/>
      <c r="G609"/>
      <c r="H609"/>
    </row>
    <row r="610" spans="5:8">
      <c r="E610"/>
      <c r="F610"/>
      <c r="G610"/>
      <c r="H610"/>
    </row>
    <row r="611" spans="5:8">
      <c r="E611"/>
      <c r="F611"/>
      <c r="G611"/>
      <c r="H611"/>
    </row>
    <row r="612" spans="5:8">
      <c r="E612"/>
      <c r="F612"/>
      <c r="G612"/>
      <c r="H612"/>
    </row>
    <row r="613" spans="5:8">
      <c r="E613"/>
      <c r="F613"/>
      <c r="G613"/>
      <c r="H613"/>
    </row>
    <row r="614" spans="5:8">
      <c r="E614"/>
      <c r="F614"/>
      <c r="G614"/>
      <c r="H614"/>
    </row>
    <row r="615" spans="5:8">
      <c r="E615"/>
      <c r="F615"/>
      <c r="G615"/>
      <c r="H615"/>
    </row>
    <row r="616" spans="5:8">
      <c r="E616"/>
      <c r="F616"/>
      <c r="G616"/>
      <c r="H616"/>
    </row>
    <row r="617" spans="5:8">
      <c r="E617"/>
      <c r="F617"/>
      <c r="G617"/>
      <c r="H617"/>
    </row>
    <row r="618" spans="5:8">
      <c r="E618"/>
      <c r="F618"/>
      <c r="G618"/>
      <c r="H618"/>
    </row>
    <row r="619" spans="5:8">
      <c r="E619"/>
      <c r="F619"/>
      <c r="G619"/>
      <c r="H619"/>
    </row>
    <row r="620" spans="5:8">
      <c r="E620"/>
      <c r="F620"/>
      <c r="G620"/>
      <c r="H620"/>
    </row>
    <row r="621" spans="5:8">
      <c r="E621"/>
      <c r="F621"/>
      <c r="G621"/>
      <c r="H621"/>
    </row>
    <row r="622" spans="5:8">
      <c r="E622"/>
      <c r="F622"/>
      <c r="G622"/>
      <c r="H622"/>
    </row>
    <row r="623" spans="5:8">
      <c r="E623"/>
      <c r="F623"/>
      <c r="G623"/>
      <c r="H623"/>
    </row>
    <row r="624" spans="5:8">
      <c r="E624"/>
      <c r="F624"/>
      <c r="G624"/>
      <c r="H624"/>
    </row>
    <row r="625" spans="5:8">
      <c r="E625"/>
      <c r="F625"/>
      <c r="G625"/>
      <c r="H625"/>
    </row>
    <row r="626" spans="5:8">
      <c r="E626"/>
      <c r="F626"/>
      <c r="G626"/>
      <c r="H626"/>
    </row>
    <row r="627" spans="5:8">
      <c r="E627"/>
      <c r="F627"/>
      <c r="G627"/>
      <c r="H627"/>
    </row>
    <row r="628" spans="5:8">
      <c r="E628"/>
      <c r="F628"/>
      <c r="G628"/>
      <c r="H628"/>
    </row>
    <row r="629" spans="5:8">
      <c r="E629"/>
      <c r="F629"/>
      <c r="G629"/>
      <c r="H629"/>
    </row>
    <row r="630" spans="5:8">
      <c r="E630"/>
      <c r="F630"/>
      <c r="G630"/>
      <c r="H630"/>
    </row>
    <row r="631" spans="5:8">
      <c r="E631"/>
      <c r="F631"/>
      <c r="G631"/>
      <c r="H631"/>
    </row>
    <row r="632" spans="5:8">
      <c r="E632"/>
      <c r="F632"/>
      <c r="G632"/>
      <c r="H632"/>
    </row>
    <row r="633" spans="5:8">
      <c r="E633"/>
      <c r="F633"/>
      <c r="G633"/>
      <c r="H633"/>
    </row>
    <row r="634" spans="5:8">
      <c r="E634"/>
      <c r="F634"/>
      <c r="G634"/>
      <c r="H634"/>
    </row>
    <row r="635" spans="5:8">
      <c r="E635"/>
      <c r="F635"/>
      <c r="G635"/>
      <c r="H635"/>
    </row>
    <row r="636" spans="5:8">
      <c r="E636"/>
      <c r="F636"/>
      <c r="G636"/>
      <c r="H636"/>
    </row>
    <row r="637" spans="5:8">
      <c r="E637"/>
      <c r="F637"/>
      <c r="G637"/>
      <c r="H637"/>
    </row>
    <row r="638" spans="5:8">
      <c r="E638"/>
      <c r="F638"/>
      <c r="G638"/>
      <c r="H638"/>
    </row>
    <row r="639" spans="5:8">
      <c r="E639"/>
      <c r="F639"/>
      <c r="G639"/>
      <c r="H639"/>
    </row>
    <row r="640" spans="5:8">
      <c r="E640"/>
      <c r="F640"/>
      <c r="G640"/>
      <c r="H640"/>
    </row>
    <row r="641" spans="5:8">
      <c r="E641"/>
      <c r="F641"/>
      <c r="G641"/>
      <c r="H641"/>
    </row>
    <row r="642" spans="5:8">
      <c r="E642"/>
      <c r="F642"/>
      <c r="G642"/>
      <c r="H642"/>
    </row>
    <row r="643" spans="5:8">
      <c r="E643"/>
      <c r="F643"/>
      <c r="G643"/>
      <c r="H643"/>
    </row>
    <row r="644" spans="5:8">
      <c r="E644"/>
      <c r="F644"/>
      <c r="G644"/>
      <c r="H644"/>
    </row>
    <row r="645" spans="5:8">
      <c r="E645"/>
      <c r="F645"/>
      <c r="G645"/>
      <c r="H645"/>
    </row>
    <row r="646" spans="5:8">
      <c r="E646"/>
      <c r="F646"/>
      <c r="G646"/>
      <c r="H646"/>
    </row>
    <row r="647" spans="5:8">
      <c r="E647"/>
      <c r="F647"/>
      <c r="G647"/>
      <c r="H647"/>
    </row>
    <row r="648" spans="5:8">
      <c r="E648"/>
      <c r="F648"/>
      <c r="G648"/>
      <c r="H648"/>
    </row>
    <row r="649" spans="5:8">
      <c r="E649"/>
      <c r="F649"/>
      <c r="G649"/>
      <c r="H649"/>
    </row>
    <row r="650" spans="5:8">
      <c r="E650"/>
      <c r="F650"/>
      <c r="G650"/>
      <c r="H650"/>
    </row>
    <row r="651" spans="5:8">
      <c r="E651"/>
      <c r="F651"/>
      <c r="G651"/>
      <c r="H651"/>
    </row>
    <row r="652" spans="5:8">
      <c r="E652"/>
      <c r="F652"/>
      <c r="G652"/>
      <c r="H652"/>
    </row>
    <row r="653" spans="5:8">
      <c r="E653"/>
      <c r="F653"/>
      <c r="G653"/>
      <c r="H653"/>
    </row>
    <row r="654" spans="5:8">
      <c r="E654"/>
      <c r="F654"/>
      <c r="G654"/>
      <c r="H654"/>
    </row>
    <row r="655" spans="5:8">
      <c r="E655"/>
      <c r="F655"/>
      <c r="G655"/>
      <c r="H655"/>
    </row>
    <row r="656" spans="5:8">
      <c r="E656"/>
      <c r="F656"/>
      <c r="G656"/>
      <c r="H656"/>
    </row>
    <row r="657" spans="5:8">
      <c r="E657"/>
      <c r="F657"/>
      <c r="G657"/>
      <c r="H657"/>
    </row>
    <row r="658" spans="5:8">
      <c r="E658"/>
      <c r="F658"/>
      <c r="G658"/>
      <c r="H658"/>
    </row>
    <row r="659" spans="5:8">
      <c r="E659"/>
      <c r="F659"/>
      <c r="G659"/>
      <c r="H659"/>
    </row>
    <row r="660" spans="5:8">
      <c r="E660"/>
      <c r="F660"/>
      <c r="G660"/>
      <c r="H660"/>
    </row>
    <row r="661" spans="5:8">
      <c r="E661"/>
      <c r="F661"/>
      <c r="G661"/>
      <c r="H661"/>
    </row>
    <row r="662" spans="5:8">
      <c r="E662"/>
      <c r="F662"/>
      <c r="G662"/>
      <c r="H662"/>
    </row>
    <row r="663" spans="5:8">
      <c r="E663"/>
      <c r="F663"/>
      <c r="G663"/>
      <c r="H663"/>
    </row>
    <row r="664" spans="5:8">
      <c r="E664"/>
      <c r="F664"/>
      <c r="G664"/>
      <c r="H664"/>
    </row>
    <row r="665" spans="5:8">
      <c r="E665"/>
      <c r="F665"/>
      <c r="G665"/>
      <c r="H665"/>
    </row>
    <row r="666" spans="5:8">
      <c r="E666"/>
      <c r="F666"/>
      <c r="G666"/>
      <c r="H666"/>
    </row>
    <row r="667" spans="5:8">
      <c r="E667"/>
      <c r="F667"/>
      <c r="G667"/>
      <c r="H667"/>
    </row>
    <row r="668" spans="5:8">
      <c r="E668"/>
      <c r="F668"/>
      <c r="G668"/>
      <c r="H668"/>
    </row>
    <row r="669" spans="5:8">
      <c r="E669"/>
      <c r="F669"/>
      <c r="G669"/>
      <c r="H669"/>
    </row>
    <row r="670" spans="5:8">
      <c r="E670"/>
      <c r="F670"/>
      <c r="G670"/>
      <c r="H670"/>
    </row>
    <row r="671" spans="5:8">
      <c r="E671"/>
      <c r="F671"/>
      <c r="G671"/>
      <c r="H671"/>
    </row>
    <row r="672" spans="5:8">
      <c r="E672"/>
      <c r="F672"/>
      <c r="G672"/>
      <c r="H672"/>
    </row>
    <row r="673" spans="5:8">
      <c r="E673"/>
      <c r="F673"/>
      <c r="G673"/>
      <c r="H673"/>
    </row>
    <row r="674" spans="5:8">
      <c r="E674"/>
      <c r="F674"/>
      <c r="G674"/>
      <c r="H674"/>
    </row>
    <row r="675" spans="5:8">
      <c r="E675"/>
      <c r="F675"/>
      <c r="G675"/>
      <c r="H675"/>
    </row>
    <row r="676" spans="5:8">
      <c r="E676"/>
      <c r="F676"/>
      <c r="G676"/>
      <c r="H676"/>
    </row>
    <row r="677" spans="5:8">
      <c r="E677"/>
      <c r="F677"/>
      <c r="G677"/>
      <c r="H677"/>
    </row>
    <row r="678" spans="5:8">
      <c r="E678"/>
      <c r="F678"/>
      <c r="G678"/>
      <c r="H678"/>
    </row>
    <row r="679" spans="5:8">
      <c r="E679"/>
      <c r="F679"/>
      <c r="G679"/>
      <c r="H679"/>
    </row>
    <row r="680" spans="5:8">
      <c r="E680"/>
      <c r="F680"/>
      <c r="G680"/>
      <c r="H680"/>
    </row>
    <row r="681" spans="5:8">
      <c r="E681"/>
      <c r="F681"/>
      <c r="G681"/>
      <c r="H681"/>
    </row>
    <row r="682" spans="5:8">
      <c r="E682"/>
      <c r="F682"/>
      <c r="G682"/>
      <c r="H682"/>
    </row>
    <row r="683" spans="5:8">
      <c r="E683"/>
      <c r="F683"/>
      <c r="G683"/>
      <c r="H683"/>
    </row>
    <row r="684" spans="5:8">
      <c r="E684"/>
      <c r="F684"/>
      <c r="G684"/>
      <c r="H684"/>
    </row>
    <row r="685" spans="5:8">
      <c r="E685"/>
      <c r="F685"/>
      <c r="G685"/>
      <c r="H685"/>
    </row>
    <row r="686" spans="5:8">
      <c r="E686"/>
      <c r="F686"/>
      <c r="G686"/>
      <c r="H686"/>
    </row>
    <row r="687" spans="5:8">
      <c r="E687"/>
      <c r="F687"/>
      <c r="G687"/>
      <c r="H687"/>
    </row>
    <row r="688" spans="5:8">
      <c r="E688"/>
      <c r="F688"/>
      <c r="G688"/>
      <c r="H688"/>
    </row>
    <row r="689" spans="5:8">
      <c r="E689"/>
      <c r="F689"/>
      <c r="G689"/>
      <c r="H689"/>
    </row>
    <row r="690" spans="5:8">
      <c r="E690"/>
      <c r="F690"/>
      <c r="G690"/>
      <c r="H690"/>
    </row>
    <row r="691" spans="5:8">
      <c r="E691"/>
      <c r="F691"/>
      <c r="G691"/>
      <c r="H691"/>
    </row>
    <row r="692" spans="5:8">
      <c r="E692"/>
      <c r="F692"/>
      <c r="G692"/>
      <c r="H692"/>
    </row>
    <row r="693" spans="5:8">
      <c r="E693"/>
      <c r="F693"/>
      <c r="G693"/>
      <c r="H693"/>
    </row>
    <row r="694" spans="5:8">
      <c r="E694"/>
      <c r="F694"/>
      <c r="G694"/>
      <c r="H694"/>
    </row>
    <row r="695" spans="5:8">
      <c r="E695"/>
      <c r="F695"/>
      <c r="G695"/>
      <c r="H695"/>
    </row>
    <row r="696" spans="5:8">
      <c r="E696"/>
      <c r="F696"/>
      <c r="G696"/>
      <c r="H696"/>
    </row>
    <row r="697" spans="5:8">
      <c r="E697"/>
      <c r="F697"/>
      <c r="G697"/>
      <c r="H697"/>
    </row>
    <row r="698" spans="5:8">
      <c r="E698"/>
      <c r="F698"/>
      <c r="G698"/>
      <c r="H698"/>
    </row>
    <row r="699" spans="5:8">
      <c r="E699"/>
      <c r="F699"/>
      <c r="G699"/>
      <c r="H699"/>
    </row>
    <row r="700" spans="5:8">
      <c r="E700"/>
      <c r="F700"/>
      <c r="G700"/>
      <c r="H700"/>
    </row>
    <row r="701" spans="5:8">
      <c r="E701"/>
      <c r="F701"/>
      <c r="G701"/>
      <c r="H701"/>
    </row>
    <row r="702" spans="5:8">
      <c r="E702"/>
      <c r="F702"/>
      <c r="G702"/>
      <c r="H702"/>
    </row>
    <row r="703" spans="5:8">
      <c r="E703"/>
      <c r="F703"/>
      <c r="G703"/>
      <c r="H703"/>
    </row>
    <row r="704" spans="5:8">
      <c r="E704"/>
      <c r="F704"/>
      <c r="G704"/>
      <c r="H704"/>
    </row>
    <row r="705" spans="5:8">
      <c r="E705"/>
      <c r="F705"/>
      <c r="G705"/>
      <c r="H705"/>
    </row>
    <row r="706" spans="5:8">
      <c r="E706"/>
      <c r="F706"/>
      <c r="G706"/>
      <c r="H706"/>
    </row>
    <row r="707" spans="5:8">
      <c r="E707"/>
      <c r="F707"/>
      <c r="G707"/>
      <c r="H707"/>
    </row>
    <row r="708" spans="5:8">
      <c r="E708"/>
      <c r="F708"/>
      <c r="G708"/>
      <c r="H708"/>
    </row>
    <row r="709" spans="5:8">
      <c r="E709"/>
      <c r="F709"/>
      <c r="G709"/>
      <c r="H709"/>
    </row>
    <row r="710" spans="5:8">
      <c r="E710"/>
      <c r="F710"/>
      <c r="G710"/>
      <c r="H710"/>
    </row>
    <row r="711" spans="5:8">
      <c r="E711"/>
      <c r="F711"/>
      <c r="G711"/>
      <c r="H711"/>
    </row>
    <row r="712" spans="5:8">
      <c r="E712"/>
      <c r="F712"/>
      <c r="G712"/>
      <c r="H712"/>
    </row>
    <row r="713" spans="5:8">
      <c r="E713"/>
      <c r="F713"/>
      <c r="G713"/>
      <c r="H713"/>
    </row>
    <row r="714" spans="5:8">
      <c r="E714"/>
      <c r="F714"/>
      <c r="G714"/>
      <c r="H714"/>
    </row>
    <row r="715" spans="5:8">
      <c r="E715"/>
      <c r="F715"/>
      <c r="G715"/>
      <c r="H715"/>
    </row>
    <row r="716" spans="5:8">
      <c r="E716"/>
      <c r="F716"/>
      <c r="G716"/>
      <c r="H716"/>
    </row>
    <row r="717" spans="5:8">
      <c r="E717"/>
      <c r="F717"/>
      <c r="G717"/>
      <c r="H717"/>
    </row>
    <row r="718" spans="5:8">
      <c r="E718"/>
      <c r="F718"/>
      <c r="G718"/>
      <c r="H718"/>
    </row>
    <row r="719" spans="5:8">
      <c r="E719"/>
      <c r="F719"/>
      <c r="G719"/>
      <c r="H719"/>
    </row>
    <row r="720" spans="5:8">
      <c r="E720"/>
      <c r="F720"/>
      <c r="G720"/>
      <c r="H720"/>
    </row>
    <row r="721" spans="5:8">
      <c r="E721"/>
      <c r="F721"/>
      <c r="G721"/>
      <c r="H721"/>
    </row>
    <row r="722" spans="5:8">
      <c r="E722"/>
      <c r="F722"/>
      <c r="G722"/>
      <c r="H722"/>
    </row>
    <row r="723" spans="5:8">
      <c r="E723"/>
      <c r="F723"/>
      <c r="G723"/>
      <c r="H723"/>
    </row>
    <row r="724" spans="5:8">
      <c r="E724"/>
      <c r="F724"/>
      <c r="G724"/>
      <c r="H724"/>
    </row>
    <row r="725" spans="5:8">
      <c r="E725"/>
      <c r="F725"/>
      <c r="G725"/>
      <c r="H725"/>
    </row>
    <row r="726" spans="5:8">
      <c r="E726"/>
      <c r="F726"/>
      <c r="G726"/>
      <c r="H726"/>
    </row>
    <row r="727" spans="5:8">
      <c r="E727"/>
      <c r="F727"/>
      <c r="G727"/>
      <c r="H727"/>
    </row>
    <row r="728" spans="5:8">
      <c r="E728"/>
      <c r="F728"/>
      <c r="G728"/>
      <c r="H728"/>
    </row>
    <row r="729" spans="5:8">
      <c r="E729"/>
      <c r="F729"/>
      <c r="G729"/>
      <c r="H729"/>
    </row>
    <row r="730" spans="5:8">
      <c r="E730"/>
      <c r="F730"/>
      <c r="G730"/>
      <c r="H730"/>
    </row>
    <row r="731" spans="5:8">
      <c r="E731"/>
      <c r="F731"/>
      <c r="G731"/>
      <c r="H731"/>
    </row>
    <row r="732" spans="5:8">
      <c r="E732"/>
      <c r="F732"/>
      <c r="G732"/>
      <c r="H732"/>
    </row>
    <row r="733" spans="5:8">
      <c r="E733"/>
      <c r="F733"/>
      <c r="G733"/>
      <c r="H733"/>
    </row>
    <row r="734" spans="5:8">
      <c r="E734"/>
      <c r="F734"/>
      <c r="G734"/>
      <c r="H734"/>
    </row>
    <row r="735" spans="5:8">
      <c r="E735"/>
      <c r="F735"/>
      <c r="G735"/>
      <c r="H735"/>
    </row>
    <row r="736" spans="5:8">
      <c r="E736"/>
      <c r="F736"/>
      <c r="G736"/>
      <c r="H736"/>
    </row>
    <row r="737" spans="5:8">
      <c r="E737"/>
      <c r="F737"/>
      <c r="G737"/>
      <c r="H737"/>
    </row>
    <row r="738" spans="5:8">
      <c r="E738"/>
      <c r="F738"/>
      <c r="G738"/>
      <c r="H738"/>
    </row>
    <row r="739" spans="5:8">
      <c r="E739"/>
      <c r="F739"/>
      <c r="G739"/>
      <c r="H739"/>
    </row>
    <row r="740" spans="5:8">
      <c r="E740"/>
      <c r="F740"/>
      <c r="G740"/>
      <c r="H740"/>
    </row>
    <row r="741" spans="5:8">
      <c r="E741"/>
      <c r="F741"/>
      <c r="G741"/>
      <c r="H741"/>
    </row>
    <row r="742" spans="5:8">
      <c r="E742"/>
      <c r="F742"/>
      <c r="G742"/>
      <c r="H742"/>
    </row>
    <row r="743" spans="5:8">
      <c r="E743"/>
      <c r="F743"/>
      <c r="G743"/>
      <c r="H743"/>
    </row>
    <row r="744" spans="5:8">
      <c r="E744"/>
      <c r="F744"/>
      <c r="G744"/>
      <c r="H744"/>
    </row>
    <row r="745" spans="5:8">
      <c r="E745"/>
      <c r="F745"/>
      <c r="G745"/>
      <c r="H745"/>
    </row>
    <row r="746" spans="5:8">
      <c r="E746"/>
      <c r="F746"/>
      <c r="G746"/>
      <c r="H746"/>
    </row>
    <row r="747" spans="5:8">
      <c r="E747"/>
      <c r="F747"/>
      <c r="G747"/>
      <c r="H747"/>
    </row>
    <row r="748" spans="5:8">
      <c r="E748"/>
      <c r="F748"/>
      <c r="G748"/>
      <c r="H748"/>
    </row>
    <row r="749" spans="5:8">
      <c r="E749"/>
      <c r="F749"/>
      <c r="G749"/>
      <c r="H749"/>
    </row>
    <row r="750" spans="5:8">
      <c r="E750"/>
      <c r="F750"/>
      <c r="G750"/>
      <c r="H750"/>
    </row>
    <row r="751" spans="5:8">
      <c r="E751"/>
      <c r="F751"/>
      <c r="G751"/>
      <c r="H751"/>
    </row>
    <row r="752" spans="5:8">
      <c r="E752"/>
      <c r="F752"/>
      <c r="G752"/>
      <c r="H752"/>
    </row>
    <row r="753" spans="5:8">
      <c r="E753"/>
      <c r="F753"/>
      <c r="G753"/>
      <c r="H753"/>
    </row>
    <row r="754" spans="5:8">
      <c r="E754"/>
      <c r="F754"/>
      <c r="G754"/>
      <c r="H754"/>
    </row>
    <row r="755" spans="5:8">
      <c r="E755"/>
      <c r="F755"/>
      <c r="G755"/>
      <c r="H755"/>
    </row>
    <row r="756" spans="5:8">
      <c r="E756"/>
      <c r="F756"/>
      <c r="G756"/>
      <c r="H756"/>
    </row>
    <row r="757" spans="5:8">
      <c r="E757"/>
      <c r="F757"/>
      <c r="G757"/>
      <c r="H757"/>
    </row>
    <row r="758" spans="5:8">
      <c r="E758"/>
      <c r="F758"/>
      <c r="G758"/>
      <c r="H758"/>
    </row>
    <row r="759" spans="5:8">
      <c r="E759"/>
      <c r="F759"/>
      <c r="G759"/>
      <c r="H759"/>
    </row>
    <row r="760" spans="5:8">
      <c r="E760"/>
      <c r="F760"/>
      <c r="G760"/>
      <c r="H760"/>
    </row>
    <row r="761" spans="5:8">
      <c r="E761"/>
      <c r="F761"/>
      <c r="G761"/>
      <c r="H761"/>
    </row>
    <row r="762" spans="5:8">
      <c r="E762"/>
      <c r="F762"/>
      <c r="G762"/>
      <c r="H762"/>
    </row>
    <row r="763" spans="5:8">
      <c r="E763"/>
      <c r="F763"/>
      <c r="G763"/>
      <c r="H763"/>
    </row>
    <row r="764" spans="5:8">
      <c r="E764"/>
      <c r="F764"/>
      <c r="G764"/>
      <c r="H764"/>
    </row>
    <row r="765" spans="5:8">
      <c r="E765"/>
      <c r="F765"/>
      <c r="G765"/>
      <c r="H765"/>
    </row>
    <row r="766" spans="5:8">
      <c r="E766"/>
      <c r="F766"/>
      <c r="G766"/>
      <c r="H766"/>
    </row>
    <row r="767" spans="5:8">
      <c r="E767"/>
      <c r="F767"/>
      <c r="G767"/>
      <c r="H767"/>
    </row>
    <row r="768" spans="5:8">
      <c r="E768"/>
      <c r="F768"/>
      <c r="G768"/>
      <c r="H768"/>
    </row>
    <row r="769" spans="5:8">
      <c r="E769"/>
      <c r="F769"/>
      <c r="G769"/>
      <c r="H769"/>
    </row>
    <row r="770" spans="5:8">
      <c r="E770"/>
      <c r="F770"/>
      <c r="G770"/>
      <c r="H770"/>
    </row>
    <row r="771" spans="5:8">
      <c r="E771"/>
      <c r="F771"/>
      <c r="G771"/>
      <c r="H771"/>
    </row>
    <row r="772" spans="5:8">
      <c r="E772"/>
      <c r="F772"/>
      <c r="G772"/>
      <c r="H772"/>
    </row>
    <row r="773" spans="5:8">
      <c r="E773"/>
      <c r="F773"/>
      <c r="G773"/>
      <c r="H773"/>
    </row>
    <row r="774" spans="5:8">
      <c r="E774"/>
      <c r="F774"/>
      <c r="G774"/>
      <c r="H774"/>
    </row>
    <row r="775" spans="5:8">
      <c r="E775"/>
      <c r="F775"/>
      <c r="G775"/>
      <c r="H775"/>
    </row>
    <row r="776" spans="5:8">
      <c r="E776"/>
      <c r="F776"/>
      <c r="G776"/>
      <c r="H776"/>
    </row>
    <row r="777" spans="5:8">
      <c r="E777"/>
      <c r="F777"/>
      <c r="G777"/>
      <c r="H777"/>
    </row>
    <row r="778" spans="5:8">
      <c r="E778"/>
      <c r="F778"/>
      <c r="G778"/>
      <c r="H778"/>
    </row>
    <row r="779" spans="5:8">
      <c r="E779"/>
      <c r="F779"/>
      <c r="G779"/>
      <c r="H779"/>
    </row>
    <row r="780" spans="5:8">
      <c r="E780"/>
      <c r="F780"/>
      <c r="G780"/>
      <c r="H780"/>
    </row>
    <row r="781" spans="5:8">
      <c r="E781"/>
      <c r="F781"/>
      <c r="G781"/>
      <c r="H781"/>
    </row>
    <row r="782" spans="5:8">
      <c r="E782"/>
      <c r="F782"/>
      <c r="G782"/>
      <c r="H782"/>
    </row>
    <row r="783" spans="5:8">
      <c r="E783"/>
      <c r="F783"/>
      <c r="G783"/>
      <c r="H783"/>
    </row>
    <row r="784" spans="5:8">
      <c r="E784"/>
      <c r="F784"/>
      <c r="G784"/>
      <c r="H784"/>
    </row>
    <row r="785" spans="5:8">
      <c r="E785"/>
      <c r="F785"/>
      <c r="G785"/>
      <c r="H785"/>
    </row>
    <row r="786" spans="5:8">
      <c r="E786"/>
      <c r="F786"/>
      <c r="G786"/>
      <c r="H786"/>
    </row>
    <row r="787" spans="5:8">
      <c r="E787"/>
      <c r="F787"/>
      <c r="G787"/>
      <c r="H787"/>
    </row>
    <row r="788" spans="5:8">
      <c r="E788"/>
      <c r="F788"/>
      <c r="G788"/>
      <c r="H788"/>
    </row>
    <row r="789" spans="5:8">
      <c r="E789"/>
      <c r="F789"/>
      <c r="G789"/>
      <c r="H789"/>
    </row>
    <row r="790" spans="5:8">
      <c r="E790"/>
      <c r="F790"/>
      <c r="G790"/>
      <c r="H790"/>
    </row>
    <row r="791" spans="5:8">
      <c r="E791"/>
      <c r="F791"/>
      <c r="G791"/>
      <c r="H791"/>
    </row>
    <row r="792" spans="5:8">
      <c r="E792"/>
      <c r="F792"/>
      <c r="G792"/>
      <c r="H792"/>
    </row>
    <row r="793" spans="5:8">
      <c r="E793"/>
      <c r="F793"/>
      <c r="G793"/>
      <c r="H793"/>
    </row>
    <row r="794" spans="5:8">
      <c r="E794"/>
      <c r="F794"/>
      <c r="G794"/>
      <c r="H794"/>
    </row>
    <row r="795" spans="5:8">
      <c r="E795"/>
      <c r="F795"/>
      <c r="G795"/>
      <c r="H795"/>
    </row>
    <row r="796" spans="5:8">
      <c r="E796"/>
      <c r="F796"/>
      <c r="G796"/>
      <c r="H796"/>
    </row>
    <row r="797" spans="5:8">
      <c r="E797"/>
      <c r="F797"/>
      <c r="G797"/>
      <c r="H797"/>
    </row>
    <row r="798" spans="5:8">
      <c r="E798"/>
      <c r="F798"/>
      <c r="G798"/>
      <c r="H798"/>
    </row>
    <row r="799" spans="5:8">
      <c r="E799"/>
      <c r="F799"/>
      <c r="G799"/>
      <c r="H799"/>
    </row>
    <row r="800" spans="5:8">
      <c r="E800"/>
      <c r="F800"/>
      <c r="G800"/>
      <c r="H800"/>
    </row>
    <row r="801" spans="5:8">
      <c r="E801"/>
      <c r="F801"/>
      <c r="G801"/>
      <c r="H801"/>
    </row>
    <row r="802" spans="5:8">
      <c r="E802"/>
      <c r="F802"/>
      <c r="G802"/>
      <c r="H802"/>
    </row>
    <row r="803" spans="5:8">
      <c r="E803"/>
      <c r="F803"/>
      <c r="G803"/>
      <c r="H803"/>
    </row>
    <row r="804" spans="5:8">
      <c r="E804"/>
      <c r="F804"/>
      <c r="G804"/>
      <c r="H804"/>
    </row>
    <row r="805" spans="5:8">
      <c r="E805"/>
      <c r="F805"/>
      <c r="G805"/>
      <c r="H805"/>
    </row>
    <row r="806" spans="5:8">
      <c r="E806"/>
      <c r="F806"/>
      <c r="G806"/>
      <c r="H806"/>
    </row>
    <row r="807" spans="5:8">
      <c r="E807"/>
      <c r="F807"/>
      <c r="G807"/>
      <c r="H807"/>
    </row>
    <row r="808" spans="5:8">
      <c r="E808"/>
      <c r="F808"/>
      <c r="G808"/>
      <c r="H808"/>
    </row>
    <row r="809" spans="5:8">
      <c r="E809"/>
      <c r="F809"/>
      <c r="G809"/>
      <c r="H809"/>
    </row>
    <row r="810" spans="5:8">
      <c r="E810"/>
      <c r="F810"/>
      <c r="G810"/>
      <c r="H810"/>
    </row>
    <row r="811" spans="5:8">
      <c r="E811"/>
      <c r="F811"/>
      <c r="G811"/>
      <c r="H811"/>
    </row>
    <row r="812" spans="5:8">
      <c r="E812"/>
      <c r="F812"/>
      <c r="G812"/>
      <c r="H812"/>
    </row>
    <row r="813" spans="5:8">
      <c r="E813"/>
      <c r="F813"/>
      <c r="G813"/>
      <c r="H813"/>
    </row>
    <row r="814" spans="5:8">
      <c r="E814"/>
      <c r="F814"/>
      <c r="G814"/>
      <c r="H814"/>
    </row>
    <row r="815" spans="5:8">
      <c r="E815"/>
      <c r="F815"/>
      <c r="G815"/>
      <c r="H815"/>
    </row>
    <row r="816" spans="5:8">
      <c r="E816"/>
      <c r="F816"/>
      <c r="G816"/>
      <c r="H816"/>
    </row>
    <row r="817" spans="5:8">
      <c r="E817"/>
      <c r="F817"/>
      <c r="G817"/>
      <c r="H817"/>
    </row>
    <row r="818" spans="5:8">
      <c r="E818"/>
      <c r="F818"/>
      <c r="G818"/>
      <c r="H818"/>
    </row>
    <row r="819" spans="5:8">
      <c r="E819"/>
      <c r="F819"/>
      <c r="G819"/>
      <c r="H819"/>
    </row>
    <row r="820" spans="5:8">
      <c r="E820"/>
      <c r="F820"/>
      <c r="G820"/>
      <c r="H820"/>
    </row>
    <row r="821" spans="5:8">
      <c r="E821"/>
      <c r="F821"/>
      <c r="G821"/>
      <c r="H821"/>
    </row>
    <row r="822" spans="5:8">
      <c r="E822"/>
      <c r="F822"/>
      <c r="G822"/>
      <c r="H822"/>
    </row>
    <row r="823" spans="5:8">
      <c r="E823"/>
      <c r="F823"/>
      <c r="G823"/>
      <c r="H823"/>
    </row>
    <row r="824" spans="5:8">
      <c r="E824"/>
      <c r="F824"/>
      <c r="G824"/>
      <c r="H824"/>
    </row>
    <row r="825" spans="5:8">
      <c r="E825"/>
      <c r="F825"/>
      <c r="G825"/>
      <c r="H825"/>
    </row>
    <row r="826" spans="5:8">
      <c r="E826"/>
      <c r="F826"/>
      <c r="G826"/>
      <c r="H826"/>
    </row>
    <row r="827" spans="5:8">
      <c r="E827"/>
      <c r="F827"/>
      <c r="G827"/>
      <c r="H827"/>
    </row>
    <row r="828" spans="5:8">
      <c r="E828"/>
      <c r="F828"/>
      <c r="G828"/>
      <c r="H828"/>
    </row>
    <row r="829" spans="5:8">
      <c r="E829"/>
      <c r="F829"/>
      <c r="G829"/>
      <c r="H829"/>
    </row>
    <row r="830" spans="5:8">
      <c r="E830"/>
      <c r="F830"/>
      <c r="G830"/>
      <c r="H830"/>
    </row>
    <row r="831" spans="5:8">
      <c r="E831"/>
      <c r="F831"/>
      <c r="G831"/>
      <c r="H831"/>
    </row>
    <row r="832" spans="5:8">
      <c r="E832"/>
      <c r="F832"/>
      <c r="G832"/>
      <c r="H832"/>
    </row>
    <row r="833" spans="5:8">
      <c r="E833"/>
      <c r="F833"/>
      <c r="G833"/>
      <c r="H833"/>
    </row>
    <row r="834" spans="5:8">
      <c r="E834"/>
      <c r="F834"/>
      <c r="G834"/>
      <c r="H834"/>
    </row>
    <row r="835" spans="5:8">
      <c r="E835"/>
      <c r="F835"/>
      <c r="G835"/>
      <c r="H835"/>
    </row>
    <row r="836" spans="5:8">
      <c r="E836"/>
      <c r="F836"/>
      <c r="G836"/>
      <c r="H836"/>
    </row>
    <row r="837" spans="5:8">
      <c r="E837"/>
      <c r="F837"/>
      <c r="G837"/>
      <c r="H837"/>
    </row>
    <row r="838" spans="5:8">
      <c r="E838"/>
      <c r="F838"/>
      <c r="G838"/>
      <c r="H838"/>
    </row>
    <row r="839" spans="5:8">
      <c r="E839"/>
      <c r="F839"/>
      <c r="G839"/>
      <c r="H839"/>
    </row>
    <row r="840" spans="5:8">
      <c r="E840"/>
      <c r="F840"/>
      <c r="G840"/>
      <c r="H840"/>
    </row>
    <row r="841" spans="5:8">
      <c r="E841"/>
      <c r="F841"/>
      <c r="G841"/>
      <c r="H841"/>
    </row>
    <row r="842" spans="5:8">
      <c r="E842"/>
      <c r="F842"/>
      <c r="G842"/>
      <c r="H842"/>
    </row>
    <row r="843" spans="5:8">
      <c r="E843"/>
      <c r="F843"/>
      <c r="G843"/>
      <c r="H843"/>
    </row>
    <row r="844" spans="5:8">
      <c r="E844"/>
      <c r="F844"/>
      <c r="G844"/>
      <c r="H844"/>
    </row>
    <row r="845" spans="5:8">
      <c r="E845"/>
      <c r="F845"/>
      <c r="G845"/>
      <c r="H845"/>
    </row>
    <row r="846" spans="5:8">
      <c r="E846"/>
      <c r="F846"/>
      <c r="G846"/>
      <c r="H846"/>
    </row>
    <row r="847" spans="5:8">
      <c r="E847"/>
      <c r="F847"/>
      <c r="G847"/>
      <c r="H847"/>
    </row>
    <row r="848" spans="5:8">
      <c r="E848"/>
      <c r="F848"/>
      <c r="G848"/>
      <c r="H848"/>
    </row>
    <row r="849" spans="5:8">
      <c r="E849"/>
      <c r="F849"/>
      <c r="G849"/>
      <c r="H849"/>
    </row>
    <row r="850" spans="5:8">
      <c r="E850"/>
      <c r="F850"/>
      <c r="G850"/>
      <c r="H850"/>
    </row>
    <row r="851" spans="5:8">
      <c r="E851"/>
      <c r="F851"/>
      <c r="G851"/>
      <c r="H851"/>
    </row>
    <row r="852" spans="5:8">
      <c r="E852"/>
      <c r="F852"/>
      <c r="G852"/>
      <c r="H852"/>
    </row>
    <row r="853" spans="5:8">
      <c r="E853"/>
      <c r="F853"/>
      <c r="G853"/>
      <c r="H853"/>
    </row>
    <row r="854" spans="5:8">
      <c r="E854"/>
      <c r="F854"/>
      <c r="G854"/>
      <c r="H854"/>
    </row>
    <row r="855" spans="5:8">
      <c r="E855"/>
      <c r="F855"/>
      <c r="G855"/>
      <c r="H855"/>
    </row>
    <row r="856" spans="5:8">
      <c r="E856"/>
      <c r="F856"/>
      <c r="G856"/>
      <c r="H856"/>
    </row>
    <row r="857" spans="5:8">
      <c r="E857"/>
      <c r="F857"/>
      <c r="G857"/>
      <c r="H857"/>
    </row>
    <row r="858" spans="5:8">
      <c r="E858"/>
      <c r="F858"/>
      <c r="G858"/>
      <c r="H858"/>
    </row>
    <row r="859" spans="5:8">
      <c r="E859"/>
      <c r="F859"/>
      <c r="G859"/>
      <c r="H859"/>
    </row>
    <row r="860" spans="5:8">
      <c r="E860"/>
      <c r="F860"/>
      <c r="G860"/>
      <c r="H860"/>
    </row>
    <row r="861" spans="5:8">
      <c r="E861"/>
      <c r="F861"/>
      <c r="G861"/>
      <c r="H861"/>
    </row>
    <row r="862" spans="5:8">
      <c r="E862"/>
      <c r="F862"/>
      <c r="G862"/>
      <c r="H862"/>
    </row>
    <row r="863" spans="5:8">
      <c r="E863"/>
      <c r="F863"/>
      <c r="G863"/>
      <c r="H863"/>
    </row>
    <row r="864" spans="5:8">
      <c r="E864"/>
      <c r="F864"/>
      <c r="G864"/>
      <c r="H864"/>
    </row>
    <row r="865" spans="5:8">
      <c r="E865"/>
      <c r="F865"/>
      <c r="G865"/>
      <c r="H865"/>
    </row>
    <row r="866" spans="5:8">
      <c r="E866"/>
      <c r="F866"/>
      <c r="G866"/>
      <c r="H866"/>
    </row>
    <row r="867" spans="5:8">
      <c r="E867"/>
      <c r="F867"/>
      <c r="G867"/>
      <c r="H867"/>
    </row>
    <row r="868" spans="5:8">
      <c r="E868"/>
      <c r="F868"/>
      <c r="G868"/>
      <c r="H868"/>
    </row>
    <row r="869" spans="5:8">
      <c r="E869"/>
      <c r="F869"/>
      <c r="G869"/>
      <c r="H869"/>
    </row>
    <row r="870" spans="5:8">
      <c r="E870"/>
      <c r="F870"/>
      <c r="G870"/>
      <c r="H870"/>
    </row>
    <row r="871" spans="5:8">
      <c r="E871"/>
      <c r="F871"/>
      <c r="G871"/>
      <c r="H871"/>
    </row>
    <row r="872" spans="5:8">
      <c r="E872"/>
      <c r="F872"/>
      <c r="G872"/>
      <c r="H872"/>
    </row>
    <row r="873" spans="5:8">
      <c r="E873"/>
      <c r="F873"/>
      <c r="G873"/>
      <c r="H873"/>
    </row>
    <row r="874" spans="5:8">
      <c r="E874"/>
      <c r="F874"/>
      <c r="G874"/>
      <c r="H874"/>
    </row>
    <row r="875" spans="5:8">
      <c r="E875"/>
      <c r="F875"/>
      <c r="G875"/>
      <c r="H875"/>
    </row>
    <row r="876" spans="5:8">
      <c r="E876"/>
      <c r="F876"/>
      <c r="G876"/>
      <c r="H876"/>
    </row>
    <row r="877" spans="5:8">
      <c r="E877"/>
      <c r="F877"/>
      <c r="G877"/>
      <c r="H877"/>
    </row>
    <row r="878" spans="5:8">
      <c r="E878"/>
      <c r="F878"/>
      <c r="G878"/>
      <c r="H878"/>
    </row>
    <row r="879" spans="5:8">
      <c r="E879"/>
      <c r="F879"/>
      <c r="G879"/>
      <c r="H879"/>
    </row>
    <row r="880" spans="5:8">
      <c r="E880"/>
      <c r="F880"/>
      <c r="G880"/>
      <c r="H880"/>
    </row>
    <row r="881" spans="5:8">
      <c r="E881"/>
      <c r="F881"/>
      <c r="G881"/>
      <c r="H881"/>
    </row>
    <row r="882" spans="5:8">
      <c r="E882"/>
      <c r="F882"/>
      <c r="G882"/>
      <c r="H882"/>
    </row>
    <row r="883" spans="5:8">
      <c r="E883"/>
      <c r="F883"/>
      <c r="G883"/>
      <c r="H883"/>
    </row>
    <row r="884" spans="5:8">
      <c r="E884"/>
      <c r="F884"/>
      <c r="G884"/>
      <c r="H884"/>
    </row>
    <row r="885" spans="5:8">
      <c r="E885"/>
      <c r="F885"/>
      <c r="G885"/>
      <c r="H885"/>
    </row>
    <row r="886" spans="5:8">
      <c r="E886"/>
      <c r="F886"/>
      <c r="G886"/>
      <c r="H886"/>
    </row>
    <row r="887" spans="5:8">
      <c r="E887"/>
      <c r="F887"/>
      <c r="G887"/>
      <c r="H887"/>
    </row>
    <row r="888" spans="5:8">
      <c r="E888"/>
      <c r="F888"/>
      <c r="G888"/>
      <c r="H888"/>
    </row>
    <row r="889" spans="5:8">
      <c r="E889"/>
      <c r="F889"/>
      <c r="G889"/>
      <c r="H889"/>
    </row>
    <row r="890" spans="5:8">
      <c r="E890"/>
      <c r="F890"/>
      <c r="G890"/>
      <c r="H890"/>
    </row>
    <row r="891" spans="5:8">
      <c r="E891"/>
      <c r="F891"/>
      <c r="G891"/>
      <c r="H891"/>
    </row>
    <row r="892" spans="5:8">
      <c r="E892"/>
      <c r="F892"/>
      <c r="G892"/>
      <c r="H892"/>
    </row>
    <row r="893" spans="5:8">
      <c r="E893"/>
      <c r="F893"/>
      <c r="G893"/>
      <c r="H893"/>
    </row>
    <row r="894" spans="5:8">
      <c r="E894"/>
      <c r="F894"/>
      <c r="G894"/>
      <c r="H894"/>
    </row>
    <row r="895" spans="5:8">
      <c r="E895"/>
      <c r="F895"/>
      <c r="G895"/>
      <c r="H895"/>
    </row>
    <row r="896" spans="5:8">
      <c r="E896"/>
      <c r="F896"/>
      <c r="G896"/>
      <c r="H896"/>
    </row>
    <row r="897" spans="5:8">
      <c r="E897"/>
      <c r="F897"/>
      <c r="G897"/>
      <c r="H897"/>
    </row>
    <row r="898" spans="5:8">
      <c r="E898"/>
      <c r="F898"/>
      <c r="G898"/>
      <c r="H898"/>
    </row>
    <row r="899" spans="5:8">
      <c r="E899"/>
      <c r="F899"/>
      <c r="G899"/>
      <c r="H899"/>
    </row>
    <row r="900" spans="5:8">
      <c r="E900"/>
      <c r="F900"/>
      <c r="G900"/>
      <c r="H900"/>
    </row>
    <row r="901" spans="5:8">
      <c r="E901"/>
      <c r="F901"/>
      <c r="G901"/>
      <c r="H901"/>
    </row>
    <row r="902" spans="5:8">
      <c r="E902"/>
      <c r="F902"/>
      <c r="G902"/>
      <c r="H902"/>
    </row>
    <row r="903" spans="5:8">
      <c r="E903"/>
      <c r="F903"/>
      <c r="G903"/>
      <c r="H903"/>
    </row>
    <row r="904" spans="5:8">
      <c r="E904"/>
      <c r="F904"/>
      <c r="G904"/>
      <c r="H904"/>
    </row>
    <row r="905" spans="5:8">
      <c r="E905"/>
      <c r="F905"/>
      <c r="G905"/>
      <c r="H905"/>
    </row>
    <row r="906" spans="5:8">
      <c r="E906"/>
      <c r="F906"/>
      <c r="G906"/>
      <c r="H906"/>
    </row>
    <row r="907" spans="5:8">
      <c r="E907"/>
      <c r="F907"/>
      <c r="G907"/>
      <c r="H907"/>
    </row>
    <row r="908" spans="5:8">
      <c r="E908"/>
      <c r="F908"/>
      <c r="G908"/>
      <c r="H908"/>
    </row>
    <row r="909" spans="5:8">
      <c r="E909"/>
      <c r="F909"/>
      <c r="G909"/>
      <c r="H909"/>
    </row>
    <row r="910" spans="5:8">
      <c r="E910"/>
      <c r="F910"/>
      <c r="G910"/>
      <c r="H910"/>
    </row>
    <row r="911" spans="5:8">
      <c r="E911"/>
      <c r="F911"/>
      <c r="G911"/>
      <c r="H911"/>
    </row>
    <row r="912" spans="5:8">
      <c r="E912"/>
      <c r="F912"/>
      <c r="G912"/>
      <c r="H912"/>
    </row>
    <row r="913" spans="5:8">
      <c r="E913"/>
      <c r="F913"/>
      <c r="G913"/>
      <c r="H913"/>
    </row>
    <row r="914" spans="5:8">
      <c r="E914"/>
      <c r="F914"/>
      <c r="G914"/>
      <c r="H914"/>
    </row>
    <row r="915" spans="5:8">
      <c r="E915"/>
      <c r="F915"/>
      <c r="G915"/>
      <c r="H915"/>
    </row>
    <row r="916" spans="5:8">
      <c r="E916"/>
      <c r="F916"/>
      <c r="G916"/>
      <c r="H916"/>
    </row>
    <row r="917" spans="5:8">
      <c r="E917"/>
      <c r="F917"/>
      <c r="G917"/>
      <c r="H917"/>
    </row>
    <row r="918" spans="5:8">
      <c r="E918"/>
      <c r="F918"/>
      <c r="G918"/>
      <c r="H918"/>
    </row>
    <row r="919" spans="5:8">
      <c r="E919"/>
      <c r="F919"/>
      <c r="G919"/>
      <c r="H919"/>
    </row>
    <row r="920" spans="5:8">
      <c r="E920"/>
      <c r="F920"/>
      <c r="G920"/>
      <c r="H920"/>
    </row>
    <row r="921" spans="5:8">
      <c r="E921"/>
      <c r="F921"/>
      <c r="G921"/>
      <c r="H921"/>
    </row>
    <row r="922" spans="5:8">
      <c r="E922"/>
      <c r="F922"/>
      <c r="G922"/>
      <c r="H922"/>
    </row>
    <row r="923" spans="5:8">
      <c r="E923"/>
      <c r="F923"/>
      <c r="G923"/>
      <c r="H923"/>
    </row>
    <row r="924" spans="5:8">
      <c r="E924"/>
      <c r="F924"/>
      <c r="G924"/>
      <c r="H924"/>
    </row>
    <row r="925" spans="5:8">
      <c r="E925"/>
      <c r="F925"/>
      <c r="G925"/>
      <c r="H925"/>
    </row>
    <row r="926" spans="5:8">
      <c r="E926"/>
      <c r="F926"/>
      <c r="G926"/>
      <c r="H926"/>
    </row>
    <row r="927" spans="5:8">
      <c r="E927"/>
      <c r="F927"/>
      <c r="G927"/>
      <c r="H927"/>
    </row>
    <row r="928" spans="5:8">
      <c r="E928"/>
      <c r="F928"/>
      <c r="G928"/>
      <c r="H928"/>
    </row>
    <row r="929" spans="5:8">
      <c r="E929"/>
      <c r="F929"/>
      <c r="G929"/>
      <c r="H929"/>
    </row>
    <row r="930" spans="5:8">
      <c r="E930"/>
      <c r="F930"/>
      <c r="G930"/>
      <c r="H930"/>
    </row>
    <row r="931" spans="5:8">
      <c r="E931"/>
      <c r="F931"/>
      <c r="G931"/>
      <c r="H931"/>
    </row>
    <row r="932" spans="5:8">
      <c r="E932"/>
      <c r="F932"/>
      <c r="G932"/>
      <c r="H932"/>
    </row>
    <row r="933" spans="5:8">
      <c r="E933"/>
      <c r="F933"/>
      <c r="G933"/>
      <c r="H933"/>
    </row>
    <row r="934" spans="5:8">
      <c r="E934"/>
      <c r="F934"/>
      <c r="G934"/>
      <c r="H934"/>
    </row>
    <row r="935" spans="5:8">
      <c r="E935"/>
      <c r="F935"/>
      <c r="G935"/>
      <c r="H935"/>
    </row>
    <row r="936" spans="5:8">
      <c r="E936"/>
      <c r="F936"/>
      <c r="G936"/>
      <c r="H936"/>
    </row>
    <row r="937" spans="5:8">
      <c r="E937"/>
      <c r="F937"/>
      <c r="G937"/>
      <c r="H937"/>
    </row>
    <row r="938" spans="5:8">
      <c r="E938"/>
      <c r="F938"/>
      <c r="G938"/>
      <c r="H938"/>
    </row>
    <row r="939" spans="5:8">
      <c r="E939"/>
      <c r="F939"/>
      <c r="G939"/>
      <c r="H939"/>
    </row>
    <row r="940" spans="5:8">
      <c r="E940"/>
      <c r="F940"/>
      <c r="G940"/>
      <c r="H940"/>
    </row>
    <row r="941" spans="5:8">
      <c r="E941"/>
      <c r="F941"/>
      <c r="G941"/>
      <c r="H941"/>
    </row>
    <row r="942" spans="5:8">
      <c r="E942"/>
      <c r="F942"/>
      <c r="G942"/>
      <c r="H942"/>
    </row>
    <row r="943" spans="5:8">
      <c r="E943"/>
      <c r="F943"/>
      <c r="G943"/>
      <c r="H943"/>
    </row>
    <row r="944" spans="5:8">
      <c r="E944"/>
      <c r="F944"/>
      <c r="G944"/>
      <c r="H944"/>
    </row>
    <row r="945" spans="5:8">
      <c r="E945"/>
      <c r="F945"/>
      <c r="G945"/>
      <c r="H945"/>
    </row>
    <row r="946" spans="5:8">
      <c r="E946"/>
      <c r="F946"/>
      <c r="G946"/>
      <c r="H946"/>
    </row>
    <row r="947" spans="5:8">
      <c r="E947"/>
      <c r="F947"/>
      <c r="G947"/>
      <c r="H947"/>
    </row>
    <row r="948" spans="5:8">
      <c r="E948"/>
      <c r="F948"/>
      <c r="G948"/>
      <c r="H948"/>
    </row>
    <row r="949" spans="5:8">
      <c r="E949"/>
      <c r="F949"/>
      <c r="G949"/>
      <c r="H949"/>
    </row>
    <row r="950" spans="5:8">
      <c r="E950"/>
      <c r="F950"/>
      <c r="G950"/>
      <c r="H950"/>
    </row>
    <row r="951" spans="5:8">
      <c r="E951"/>
      <c r="F951"/>
      <c r="G951"/>
      <c r="H951"/>
    </row>
    <row r="952" spans="5:8">
      <c r="E952"/>
      <c r="F952"/>
      <c r="G952"/>
      <c r="H952"/>
    </row>
    <row r="953" spans="5:8">
      <c r="E953"/>
      <c r="F953"/>
      <c r="G953"/>
      <c r="H953"/>
    </row>
    <row r="954" spans="5:8">
      <c r="E954"/>
      <c r="F954"/>
      <c r="G954"/>
      <c r="H954"/>
    </row>
    <row r="955" spans="5:8">
      <c r="E955"/>
      <c r="F955"/>
      <c r="G955"/>
      <c r="H955"/>
    </row>
    <row r="956" spans="5:8">
      <c r="E956"/>
      <c r="F956"/>
      <c r="G956"/>
      <c r="H956"/>
    </row>
    <row r="957" spans="5:8">
      <c r="E957"/>
      <c r="F957"/>
      <c r="G957"/>
      <c r="H957"/>
    </row>
    <row r="958" spans="5:8">
      <c r="E958"/>
      <c r="F958"/>
      <c r="G958"/>
      <c r="H958"/>
    </row>
    <row r="959" spans="5:8">
      <c r="E959"/>
      <c r="F959"/>
      <c r="G959"/>
      <c r="H959"/>
    </row>
    <row r="960" spans="5:8">
      <c r="E960"/>
      <c r="F960"/>
      <c r="G960"/>
      <c r="H960"/>
    </row>
    <row r="961" spans="5:8">
      <c r="E961"/>
      <c r="F961"/>
      <c r="G961"/>
      <c r="H961"/>
    </row>
    <row r="962" spans="5:8">
      <c r="E962"/>
      <c r="F962"/>
      <c r="G962"/>
      <c r="H962"/>
    </row>
    <row r="963" spans="5:8">
      <c r="E963"/>
      <c r="F963"/>
      <c r="G963"/>
      <c r="H963"/>
    </row>
    <row r="964" spans="5:8">
      <c r="E964"/>
      <c r="F964"/>
      <c r="G964"/>
      <c r="H964"/>
    </row>
    <row r="965" spans="5:8">
      <c r="E965"/>
      <c r="F965"/>
      <c r="G965"/>
      <c r="H965"/>
    </row>
    <row r="966" spans="5:8">
      <c r="E966"/>
      <c r="F966"/>
      <c r="G966"/>
      <c r="H966"/>
    </row>
    <row r="967" spans="5:8">
      <c r="E967"/>
      <c r="F967"/>
      <c r="G967"/>
      <c r="H967"/>
    </row>
    <row r="968" spans="5:8">
      <c r="E968"/>
      <c r="F968"/>
      <c r="G968"/>
      <c r="H968"/>
    </row>
    <row r="969" spans="5:8">
      <c r="E969"/>
      <c r="F969"/>
      <c r="G969"/>
      <c r="H969"/>
    </row>
    <row r="970" spans="5:8">
      <c r="E970"/>
      <c r="F970"/>
      <c r="G970"/>
      <c r="H970"/>
    </row>
    <row r="971" spans="5:8">
      <c r="E971"/>
      <c r="F971"/>
      <c r="G971"/>
      <c r="H971"/>
    </row>
    <row r="972" spans="5:8">
      <c r="E972"/>
      <c r="F972"/>
      <c r="G972"/>
      <c r="H972"/>
    </row>
    <row r="973" spans="5:8">
      <c r="E973"/>
      <c r="F973"/>
      <c r="G973"/>
      <c r="H973"/>
    </row>
    <row r="974" spans="5:8">
      <c r="E974"/>
      <c r="F974"/>
      <c r="G974"/>
      <c r="H974"/>
    </row>
    <row r="975" spans="5:8">
      <c r="E975"/>
      <c r="F975"/>
      <c r="G975"/>
      <c r="H975"/>
    </row>
    <row r="976" spans="5:8">
      <c r="E976"/>
      <c r="F976"/>
      <c r="G976"/>
      <c r="H976"/>
    </row>
    <row r="977" spans="5:8">
      <c r="E977"/>
      <c r="F977"/>
      <c r="G977"/>
      <c r="H977"/>
    </row>
    <row r="978" spans="5:8">
      <c r="E978"/>
      <c r="F978"/>
      <c r="G978"/>
      <c r="H978"/>
    </row>
    <row r="979" spans="5:8">
      <c r="E979"/>
      <c r="F979"/>
      <c r="G979"/>
      <c r="H979"/>
    </row>
    <row r="980" spans="5:8">
      <c r="E980"/>
      <c r="F980"/>
      <c r="G980"/>
      <c r="H980"/>
    </row>
    <row r="981" spans="5:8">
      <c r="E981"/>
      <c r="F981"/>
      <c r="G981"/>
      <c r="H981"/>
    </row>
    <row r="982" spans="5:8">
      <c r="E982"/>
      <c r="F982"/>
      <c r="G982"/>
      <c r="H982"/>
    </row>
    <row r="983" spans="5:8">
      <c r="E983"/>
      <c r="F983"/>
      <c r="G983"/>
      <c r="H983"/>
    </row>
    <row r="984" spans="5:8">
      <c r="E984"/>
      <c r="F984"/>
      <c r="G984"/>
      <c r="H984"/>
    </row>
    <row r="985" spans="5:8">
      <c r="E985"/>
      <c r="F985"/>
      <c r="G985"/>
      <c r="H985"/>
    </row>
    <row r="986" spans="5:8">
      <c r="E986"/>
      <c r="F986"/>
      <c r="G986"/>
      <c r="H986"/>
    </row>
    <row r="987" spans="5:8">
      <c r="E987"/>
      <c r="F987"/>
      <c r="G987"/>
      <c r="H987"/>
    </row>
    <row r="988" spans="5:8">
      <c r="E988"/>
      <c r="F988"/>
      <c r="G988"/>
      <c r="H988"/>
    </row>
    <row r="989" spans="5:8">
      <c r="E989"/>
      <c r="F989"/>
      <c r="G989"/>
      <c r="H989"/>
    </row>
    <row r="990" spans="5:8">
      <c r="E990"/>
      <c r="F990"/>
      <c r="G990"/>
      <c r="H990"/>
    </row>
    <row r="991" spans="5:8">
      <c r="E991"/>
      <c r="F991"/>
      <c r="G991"/>
      <c r="H991"/>
    </row>
    <row r="992" spans="5:8">
      <c r="E992"/>
      <c r="F992"/>
      <c r="G992"/>
      <c r="H992"/>
    </row>
    <row r="993" spans="5:8">
      <c r="E993"/>
      <c r="F993"/>
      <c r="G993"/>
      <c r="H993"/>
    </row>
    <row r="994" spans="5:8">
      <c r="E994"/>
      <c r="F994"/>
      <c r="G994"/>
      <c r="H994"/>
    </row>
    <row r="995" spans="5:8">
      <c r="E995"/>
      <c r="F995"/>
      <c r="G995"/>
      <c r="H995"/>
    </row>
    <row r="996" spans="5:8">
      <c r="E996"/>
      <c r="F996"/>
      <c r="G996"/>
      <c r="H996"/>
    </row>
    <row r="997" spans="5:8">
      <c r="E997"/>
      <c r="F997"/>
      <c r="G997"/>
      <c r="H997"/>
    </row>
    <row r="998" spans="5:8">
      <c r="E998"/>
      <c r="F998"/>
      <c r="G998"/>
      <c r="H998"/>
    </row>
    <row r="999" spans="5:8">
      <c r="E999"/>
      <c r="F999"/>
      <c r="G999"/>
      <c r="H999"/>
    </row>
    <row r="1000" spans="5:8">
      <c r="E1000"/>
      <c r="F1000"/>
      <c r="G1000"/>
      <c r="H1000"/>
    </row>
    <row r="1001" spans="5:8">
      <c r="E1001"/>
      <c r="F1001"/>
      <c r="G1001"/>
      <c r="H1001"/>
    </row>
    <row r="1002" spans="5:8">
      <c r="E1002"/>
      <c r="F1002"/>
      <c r="G1002"/>
      <c r="H1002"/>
    </row>
    <row r="1003" spans="5:8">
      <c r="E1003"/>
      <c r="F1003"/>
      <c r="G1003"/>
      <c r="H1003"/>
    </row>
    <row r="1004" spans="5:8">
      <c r="E1004"/>
      <c r="F1004"/>
      <c r="G1004"/>
      <c r="H1004"/>
    </row>
    <row r="1005" spans="5:8">
      <c r="E1005"/>
      <c r="F1005"/>
      <c r="G1005"/>
      <c r="H1005"/>
    </row>
    <row r="1006" spans="5:8">
      <c r="E1006"/>
      <c r="F1006"/>
      <c r="G1006"/>
      <c r="H1006"/>
    </row>
    <row r="1007" spans="5:8">
      <c r="E1007"/>
      <c r="F1007"/>
      <c r="G1007"/>
      <c r="H1007"/>
    </row>
    <row r="1008" spans="5:8">
      <c r="E1008"/>
      <c r="F1008"/>
      <c r="G1008"/>
      <c r="H1008"/>
    </row>
    <row r="1009" spans="5:8">
      <c r="E1009"/>
      <c r="F1009"/>
      <c r="G1009"/>
      <c r="H1009"/>
    </row>
    <row r="1010" spans="5:8">
      <c r="E1010"/>
      <c r="F1010"/>
      <c r="G1010"/>
      <c r="H1010"/>
    </row>
    <row r="1011" spans="5:8">
      <c r="E1011"/>
      <c r="F1011"/>
      <c r="G1011"/>
      <c r="H1011"/>
    </row>
    <row r="1012" spans="5:8">
      <c r="E1012"/>
      <c r="F1012"/>
      <c r="G1012"/>
      <c r="H1012"/>
    </row>
    <row r="1013" spans="5:8">
      <c r="E1013"/>
      <c r="F1013"/>
      <c r="G1013"/>
      <c r="H1013"/>
    </row>
    <row r="1014" spans="5:8">
      <c r="E1014"/>
      <c r="F1014"/>
      <c r="G1014"/>
      <c r="H1014"/>
    </row>
    <row r="1015" spans="5:8">
      <c r="E1015"/>
      <c r="F1015"/>
      <c r="G1015"/>
      <c r="H1015"/>
    </row>
    <row r="1016" spans="5:8">
      <c r="E1016"/>
      <c r="F1016"/>
      <c r="G1016"/>
      <c r="H1016"/>
    </row>
    <row r="1017" spans="5:8">
      <c r="E1017"/>
      <c r="F1017"/>
      <c r="G1017"/>
      <c r="H1017"/>
    </row>
    <row r="1018" spans="5:8">
      <c r="E1018"/>
      <c r="F1018"/>
      <c r="G1018"/>
      <c r="H1018"/>
    </row>
    <row r="1019" spans="5:8">
      <c r="E1019"/>
      <c r="F1019"/>
      <c r="G1019"/>
      <c r="H1019"/>
    </row>
    <row r="1020" spans="5:8">
      <c r="E1020"/>
      <c r="F1020"/>
      <c r="G1020"/>
      <c r="H1020"/>
    </row>
    <row r="1021" spans="5:8">
      <c r="E1021"/>
      <c r="F1021"/>
      <c r="G1021"/>
      <c r="H1021"/>
    </row>
    <row r="1022" spans="5:8">
      <c r="E1022"/>
      <c r="F1022"/>
      <c r="G1022"/>
      <c r="H1022"/>
    </row>
    <row r="1023" spans="5:8">
      <c r="E1023"/>
      <c r="F1023"/>
      <c r="G1023"/>
      <c r="H1023"/>
    </row>
    <row r="1024" spans="5:8">
      <c r="E1024"/>
      <c r="F1024"/>
      <c r="G1024"/>
      <c r="H1024"/>
    </row>
    <row r="1025" spans="5:8">
      <c r="E1025"/>
      <c r="F1025"/>
      <c r="G1025"/>
      <c r="H1025"/>
    </row>
    <row r="1026" spans="5:8">
      <c r="E1026"/>
      <c r="F1026"/>
      <c r="G1026"/>
      <c r="H1026"/>
    </row>
    <row r="1027" spans="5:8">
      <c r="E1027"/>
      <c r="F1027"/>
      <c r="G1027"/>
      <c r="H1027"/>
    </row>
    <row r="1028" spans="5:8">
      <c r="E1028"/>
      <c r="F1028"/>
      <c r="G1028"/>
      <c r="H1028"/>
    </row>
    <row r="1029" spans="5:8">
      <c r="E1029"/>
      <c r="F1029"/>
      <c r="G1029"/>
      <c r="H1029"/>
    </row>
    <row r="1030" spans="5:8">
      <c r="E1030"/>
      <c r="F1030"/>
      <c r="G1030"/>
      <c r="H1030"/>
    </row>
    <row r="1031" spans="5:8">
      <c r="E1031"/>
      <c r="F1031"/>
      <c r="G1031"/>
      <c r="H1031"/>
    </row>
    <row r="1032" spans="5:8">
      <c r="E1032"/>
      <c r="F1032"/>
      <c r="G1032"/>
      <c r="H1032"/>
    </row>
    <row r="1033" spans="5:8">
      <c r="E1033"/>
      <c r="F1033"/>
      <c r="G1033"/>
      <c r="H1033"/>
    </row>
    <row r="1034" spans="5:8">
      <c r="E1034"/>
      <c r="F1034"/>
      <c r="G1034"/>
      <c r="H1034"/>
    </row>
    <row r="1035" spans="5:8">
      <c r="E1035"/>
      <c r="F1035"/>
      <c r="G1035"/>
      <c r="H1035"/>
    </row>
    <row r="1036" spans="5:8">
      <c r="E1036"/>
      <c r="F1036"/>
      <c r="G1036"/>
      <c r="H1036"/>
    </row>
    <row r="1037" spans="5:8">
      <c r="E1037"/>
      <c r="F1037"/>
      <c r="G1037"/>
      <c r="H1037"/>
    </row>
    <row r="1038" spans="5:8">
      <c r="E1038"/>
      <c r="F1038"/>
      <c r="G1038"/>
      <c r="H1038"/>
    </row>
    <row r="1039" spans="5:8">
      <c r="E1039"/>
      <c r="F1039"/>
      <c r="G1039"/>
      <c r="H1039"/>
    </row>
    <row r="1040" spans="5:8">
      <c r="E1040"/>
      <c r="F1040"/>
      <c r="G1040"/>
      <c r="H1040"/>
    </row>
    <row r="1041" spans="5:8">
      <c r="E1041"/>
      <c r="F1041"/>
      <c r="G1041"/>
      <c r="H1041"/>
    </row>
    <row r="1042" spans="5:8">
      <c r="E1042"/>
      <c r="F1042"/>
      <c r="G1042"/>
      <c r="H1042"/>
    </row>
    <row r="1043" spans="5:8">
      <c r="E1043"/>
      <c r="F1043"/>
      <c r="G1043"/>
      <c r="H1043"/>
    </row>
    <row r="1044" spans="5:8">
      <c r="E1044"/>
      <c r="F1044"/>
      <c r="G1044"/>
      <c r="H1044"/>
    </row>
    <row r="1045" spans="5:8">
      <c r="E1045"/>
      <c r="F1045"/>
      <c r="G1045"/>
      <c r="H1045"/>
    </row>
    <row r="1046" spans="5:8">
      <c r="E1046"/>
      <c r="F1046"/>
      <c r="G1046"/>
      <c r="H1046"/>
    </row>
    <row r="1047" spans="5:8">
      <c r="E1047"/>
      <c r="F1047"/>
      <c r="G1047"/>
      <c r="H1047"/>
    </row>
    <row r="1048" spans="5:8">
      <c r="E1048"/>
      <c r="F1048"/>
      <c r="G1048"/>
      <c r="H1048"/>
    </row>
    <row r="1049" spans="5:8">
      <c r="E1049"/>
      <c r="F1049"/>
      <c r="G1049"/>
      <c r="H1049"/>
    </row>
    <row r="1050" spans="5:8">
      <c r="E1050"/>
      <c r="F1050"/>
      <c r="G1050"/>
      <c r="H1050"/>
    </row>
    <row r="1051" spans="5:8">
      <c r="E1051"/>
      <c r="F1051"/>
      <c r="G1051"/>
      <c r="H1051"/>
    </row>
    <row r="1052" spans="5:8">
      <c r="E1052"/>
      <c r="F1052"/>
      <c r="G1052"/>
      <c r="H1052"/>
    </row>
    <row r="1053" spans="5:8">
      <c r="E1053"/>
      <c r="F1053"/>
      <c r="G1053"/>
      <c r="H1053"/>
    </row>
    <row r="1054" spans="5:8">
      <c r="E1054"/>
      <c r="F1054"/>
      <c r="G1054"/>
      <c r="H1054"/>
    </row>
    <row r="1055" spans="5:8">
      <c r="E1055"/>
      <c r="F1055"/>
      <c r="G1055"/>
      <c r="H1055"/>
    </row>
    <row r="1056" spans="5:8">
      <c r="E1056"/>
      <c r="F1056"/>
      <c r="G1056"/>
      <c r="H1056"/>
    </row>
    <row r="1057" spans="5:8">
      <c r="E1057"/>
      <c r="F1057"/>
      <c r="G1057"/>
      <c r="H1057"/>
    </row>
    <row r="1058" spans="5:8">
      <c r="E1058"/>
      <c r="F1058"/>
      <c r="G1058"/>
      <c r="H1058"/>
    </row>
    <row r="1059" spans="5:8">
      <c r="E1059"/>
      <c r="F1059"/>
      <c r="G1059"/>
      <c r="H1059"/>
    </row>
    <row r="1060" spans="5:8">
      <c r="E1060"/>
      <c r="F1060"/>
      <c r="G1060"/>
      <c r="H1060"/>
    </row>
    <row r="1061" spans="5:8">
      <c r="E1061"/>
      <c r="F1061"/>
      <c r="G1061"/>
      <c r="H1061"/>
    </row>
    <row r="1062" spans="5:8">
      <c r="E1062"/>
      <c r="F1062"/>
      <c r="G1062"/>
      <c r="H1062"/>
    </row>
    <row r="1063" spans="5:8">
      <c r="E1063"/>
      <c r="F1063"/>
      <c r="G1063"/>
      <c r="H1063"/>
    </row>
    <row r="1064" spans="5:8">
      <c r="E1064"/>
      <c r="F1064"/>
      <c r="G1064"/>
      <c r="H1064"/>
    </row>
    <row r="1065" spans="5:8">
      <c r="E1065"/>
      <c r="F1065"/>
      <c r="G1065"/>
      <c r="H1065"/>
    </row>
    <row r="1066" spans="5:8">
      <c r="E1066"/>
      <c r="F1066"/>
      <c r="G1066"/>
      <c r="H1066"/>
    </row>
    <row r="1067" spans="5:8">
      <c r="E1067"/>
      <c r="F1067"/>
      <c r="G1067"/>
      <c r="H1067"/>
    </row>
    <row r="1068" spans="5:8">
      <c r="E1068"/>
      <c r="F1068"/>
      <c r="G1068"/>
      <c r="H1068"/>
    </row>
    <row r="1069" spans="5:8">
      <c r="E1069"/>
      <c r="F1069"/>
      <c r="G1069"/>
      <c r="H1069"/>
    </row>
    <row r="1070" spans="5:8">
      <c r="E1070"/>
      <c r="F1070"/>
      <c r="G1070"/>
      <c r="H1070"/>
    </row>
    <row r="1071" spans="5:8">
      <c r="E1071"/>
      <c r="F1071"/>
      <c r="G1071"/>
      <c r="H1071"/>
    </row>
    <row r="1072" spans="5:8">
      <c r="E1072"/>
      <c r="F1072"/>
      <c r="G1072"/>
      <c r="H1072"/>
    </row>
    <row r="1073" spans="5:8">
      <c r="E1073"/>
      <c r="F1073"/>
      <c r="G1073"/>
      <c r="H1073"/>
    </row>
    <row r="1074" spans="5:8">
      <c r="E1074"/>
      <c r="F1074"/>
      <c r="G1074"/>
      <c r="H1074"/>
    </row>
    <row r="1075" spans="5:8">
      <c r="E1075"/>
      <c r="F1075"/>
      <c r="G1075"/>
      <c r="H1075"/>
    </row>
    <row r="1076" spans="5:8">
      <c r="E1076"/>
      <c r="F1076"/>
      <c r="G1076"/>
      <c r="H1076"/>
    </row>
    <row r="1077" spans="5:8">
      <c r="E1077"/>
      <c r="F1077"/>
      <c r="G1077"/>
      <c r="H1077"/>
    </row>
    <row r="1078" spans="5:8">
      <c r="E1078"/>
      <c r="F1078"/>
      <c r="G1078"/>
      <c r="H1078"/>
    </row>
    <row r="1079" spans="5:8">
      <c r="E1079"/>
      <c r="F1079"/>
      <c r="G1079"/>
      <c r="H1079"/>
    </row>
    <row r="1080" spans="5:8">
      <c r="E1080"/>
      <c r="F1080"/>
      <c r="G1080"/>
      <c r="H1080"/>
    </row>
    <row r="1081" spans="5:8">
      <c r="E1081"/>
      <c r="F1081"/>
      <c r="G1081"/>
      <c r="H1081"/>
    </row>
    <row r="1082" spans="5:8">
      <c r="E1082"/>
      <c r="F1082"/>
      <c r="G1082"/>
      <c r="H1082"/>
    </row>
    <row r="1083" spans="5:8">
      <c r="E1083"/>
      <c r="F1083"/>
      <c r="G1083"/>
      <c r="H1083"/>
    </row>
    <row r="1084" spans="5:8">
      <c r="E1084"/>
      <c r="F1084"/>
      <c r="G1084"/>
      <c r="H1084"/>
    </row>
    <row r="1085" spans="5:8">
      <c r="E1085"/>
      <c r="F1085"/>
      <c r="G1085"/>
      <c r="H1085"/>
    </row>
    <row r="1086" spans="5:8">
      <c r="E1086"/>
      <c r="F1086"/>
      <c r="G1086"/>
      <c r="H1086"/>
    </row>
    <row r="1087" spans="5:8">
      <c r="E1087"/>
      <c r="F1087"/>
      <c r="G1087"/>
      <c r="H1087"/>
    </row>
    <row r="1088" spans="5:8">
      <c r="E1088"/>
      <c r="F1088"/>
      <c r="G1088"/>
      <c r="H1088"/>
    </row>
    <row r="1089" spans="5:8">
      <c r="E1089"/>
      <c r="F1089"/>
      <c r="G1089"/>
      <c r="H1089"/>
    </row>
    <row r="1090" spans="5:8">
      <c r="E1090"/>
      <c r="F1090"/>
      <c r="G1090"/>
      <c r="H1090"/>
    </row>
    <row r="1091" spans="5:8">
      <c r="E1091"/>
      <c r="F1091"/>
      <c r="G1091"/>
      <c r="H1091"/>
    </row>
    <row r="1092" spans="5:8">
      <c r="E1092"/>
      <c r="F1092"/>
      <c r="G1092"/>
      <c r="H1092"/>
    </row>
    <row r="1093" spans="5:8">
      <c r="E1093"/>
      <c r="F1093"/>
      <c r="G1093"/>
      <c r="H1093"/>
    </row>
    <row r="1094" spans="5:8">
      <c r="E1094"/>
      <c r="F1094"/>
      <c r="G1094"/>
      <c r="H1094"/>
    </row>
    <row r="1095" spans="5:8">
      <c r="E1095"/>
      <c r="F1095"/>
      <c r="G1095"/>
      <c r="H1095"/>
    </row>
    <row r="1096" spans="5:8">
      <c r="E1096"/>
      <c r="F1096"/>
      <c r="G1096"/>
      <c r="H1096"/>
    </row>
    <row r="1097" spans="5:8">
      <c r="E1097"/>
      <c r="F1097"/>
      <c r="G1097"/>
      <c r="H1097"/>
    </row>
    <row r="1098" spans="5:8">
      <c r="E1098"/>
      <c r="F1098"/>
      <c r="G1098"/>
      <c r="H1098"/>
    </row>
    <row r="1099" spans="5:8">
      <c r="E1099"/>
      <c r="F1099"/>
      <c r="G1099"/>
      <c r="H1099"/>
    </row>
    <row r="1100" spans="5:8">
      <c r="E1100"/>
      <c r="F1100"/>
      <c r="G1100"/>
      <c r="H1100"/>
    </row>
    <row r="1101" spans="5:8">
      <c r="E1101"/>
      <c r="F1101"/>
      <c r="G1101"/>
      <c r="H1101"/>
    </row>
    <row r="1102" spans="5:8">
      <c r="E1102"/>
      <c r="F1102"/>
      <c r="G1102"/>
      <c r="H1102"/>
    </row>
    <row r="1103" spans="5:8">
      <c r="E1103"/>
      <c r="F1103"/>
      <c r="G1103"/>
      <c r="H1103"/>
    </row>
    <row r="1104" spans="5:8">
      <c r="E1104"/>
      <c r="F1104"/>
      <c r="G1104"/>
      <c r="H1104"/>
    </row>
    <row r="1105" spans="5:8">
      <c r="E1105"/>
      <c r="F1105"/>
      <c r="G1105"/>
      <c r="H1105"/>
    </row>
    <row r="1106" spans="5:8">
      <c r="E1106"/>
      <c r="F1106"/>
      <c r="G1106"/>
      <c r="H1106"/>
    </row>
    <row r="1107" spans="5:8">
      <c r="E1107"/>
      <c r="F1107"/>
      <c r="G1107"/>
      <c r="H1107"/>
    </row>
    <row r="1108" spans="5:8">
      <c r="E1108"/>
      <c r="F1108"/>
      <c r="G1108"/>
      <c r="H1108"/>
    </row>
    <row r="1109" spans="5:8">
      <c r="E1109"/>
      <c r="F1109"/>
      <c r="G1109"/>
      <c r="H1109"/>
    </row>
    <row r="1110" spans="5:8">
      <c r="E1110"/>
      <c r="F1110"/>
      <c r="G1110"/>
      <c r="H1110"/>
    </row>
    <row r="1111" spans="5:8">
      <c r="E1111"/>
      <c r="F1111"/>
      <c r="G1111"/>
      <c r="H1111"/>
    </row>
    <row r="1112" spans="5:8">
      <c r="E1112"/>
      <c r="F1112"/>
      <c r="G1112"/>
      <c r="H1112"/>
    </row>
    <row r="1113" spans="5:8">
      <c r="E1113"/>
      <c r="F1113"/>
      <c r="G1113"/>
      <c r="H1113"/>
    </row>
    <row r="1114" spans="5:8">
      <c r="E1114"/>
      <c r="F1114"/>
      <c r="G1114"/>
      <c r="H1114"/>
    </row>
    <row r="1115" spans="5:8">
      <c r="E1115"/>
      <c r="F1115"/>
      <c r="G1115"/>
      <c r="H1115"/>
    </row>
    <row r="1116" spans="5:8">
      <c r="E1116"/>
      <c r="F1116"/>
      <c r="G1116"/>
      <c r="H1116"/>
    </row>
    <row r="1117" spans="5:8">
      <c r="E1117"/>
      <c r="F1117"/>
      <c r="G1117"/>
      <c r="H1117"/>
    </row>
    <row r="1118" spans="5:8">
      <c r="E1118"/>
      <c r="F1118"/>
      <c r="G1118"/>
      <c r="H1118"/>
    </row>
    <row r="1119" spans="5:8">
      <c r="E1119"/>
      <c r="F1119"/>
      <c r="G1119"/>
      <c r="H1119"/>
    </row>
    <row r="1120" spans="5:8">
      <c r="E1120"/>
      <c r="F1120"/>
      <c r="G1120"/>
      <c r="H1120"/>
    </row>
    <row r="1121" spans="5:8">
      <c r="E1121"/>
      <c r="F1121"/>
      <c r="G1121"/>
      <c r="H1121"/>
    </row>
    <row r="1122" spans="5:8">
      <c r="E1122"/>
      <c r="F1122"/>
      <c r="G1122"/>
      <c r="H1122"/>
    </row>
    <row r="1123" spans="5:8">
      <c r="E1123"/>
      <c r="F1123"/>
      <c r="G1123"/>
      <c r="H1123"/>
    </row>
    <row r="1124" spans="5:8">
      <c r="E1124"/>
      <c r="F1124"/>
      <c r="G1124"/>
      <c r="H1124"/>
    </row>
    <row r="1125" spans="5:8">
      <c r="E1125"/>
      <c r="F1125"/>
      <c r="G1125"/>
      <c r="H1125"/>
    </row>
    <row r="1126" spans="5:8">
      <c r="E1126"/>
      <c r="F1126"/>
      <c r="G1126"/>
      <c r="H1126"/>
    </row>
    <row r="1127" spans="5:8">
      <c r="E1127"/>
      <c r="F1127"/>
      <c r="G1127"/>
      <c r="H1127"/>
    </row>
    <row r="1128" spans="5:8">
      <c r="E1128"/>
      <c r="F1128"/>
      <c r="G1128"/>
      <c r="H1128"/>
    </row>
    <row r="1129" spans="5:8">
      <c r="E1129"/>
      <c r="F1129"/>
      <c r="G1129"/>
      <c r="H1129"/>
    </row>
    <row r="1130" spans="5:8">
      <c r="E1130"/>
      <c r="F1130"/>
      <c r="G1130"/>
      <c r="H1130"/>
    </row>
    <row r="1131" spans="5:8">
      <c r="E1131"/>
      <c r="F1131"/>
      <c r="G1131"/>
      <c r="H1131"/>
    </row>
    <row r="1132" spans="5:8">
      <c r="E1132"/>
      <c r="F1132"/>
      <c r="G1132"/>
      <c r="H1132"/>
    </row>
    <row r="1133" spans="5:8">
      <c r="E1133"/>
      <c r="F1133"/>
      <c r="G1133"/>
      <c r="H1133"/>
    </row>
    <row r="1134" spans="5:8">
      <c r="E1134"/>
      <c r="F1134"/>
      <c r="G1134"/>
      <c r="H1134"/>
    </row>
    <row r="1135" spans="5:8">
      <c r="E1135"/>
      <c r="F1135"/>
      <c r="G1135"/>
      <c r="H1135"/>
    </row>
    <row r="1136" spans="5:8">
      <c r="E1136"/>
      <c r="F1136"/>
      <c r="G1136"/>
      <c r="H1136"/>
    </row>
    <row r="1137" spans="5:8">
      <c r="E1137"/>
      <c r="F1137"/>
      <c r="G1137"/>
      <c r="H1137"/>
    </row>
    <row r="1138" spans="5:8">
      <c r="E1138"/>
      <c r="F1138"/>
      <c r="G1138"/>
      <c r="H1138"/>
    </row>
    <row r="1139" spans="5:8">
      <c r="E1139"/>
      <c r="F1139"/>
      <c r="G1139"/>
      <c r="H1139"/>
    </row>
    <row r="1140" spans="5:8">
      <c r="E1140"/>
      <c r="F1140"/>
      <c r="G1140"/>
      <c r="H1140"/>
    </row>
    <row r="1141" spans="5:8">
      <c r="E1141"/>
      <c r="F1141"/>
      <c r="G1141"/>
      <c r="H1141"/>
    </row>
    <row r="1142" spans="5:8">
      <c r="E1142"/>
      <c r="F1142"/>
      <c r="G1142"/>
      <c r="H1142"/>
    </row>
    <row r="1143" spans="5:8">
      <c r="E1143"/>
      <c r="F1143"/>
      <c r="G1143"/>
      <c r="H1143"/>
    </row>
    <row r="1144" spans="5:8">
      <c r="E1144"/>
      <c r="F1144"/>
      <c r="G1144"/>
      <c r="H1144"/>
    </row>
    <row r="1145" spans="5:8">
      <c r="E1145"/>
      <c r="F1145"/>
      <c r="G1145"/>
      <c r="H1145"/>
    </row>
    <row r="1146" spans="5:8">
      <c r="E1146"/>
      <c r="F1146"/>
      <c r="G1146"/>
      <c r="H1146"/>
    </row>
    <row r="1147" spans="5:8">
      <c r="E1147"/>
      <c r="F1147"/>
      <c r="G1147"/>
      <c r="H1147"/>
    </row>
    <row r="1148" spans="5:8">
      <c r="E1148"/>
      <c r="F1148"/>
      <c r="G1148"/>
      <c r="H1148"/>
    </row>
    <row r="1149" spans="5:8">
      <c r="E1149"/>
      <c r="F1149"/>
      <c r="G1149"/>
      <c r="H1149"/>
    </row>
    <row r="1150" spans="5:8">
      <c r="E1150"/>
      <c r="F1150"/>
      <c r="G1150"/>
      <c r="H1150"/>
    </row>
    <row r="1151" spans="5:8">
      <c r="E1151"/>
      <c r="F1151"/>
      <c r="G1151"/>
      <c r="H1151"/>
    </row>
    <row r="1152" spans="5:8">
      <c r="E1152"/>
      <c r="F1152"/>
      <c r="G1152"/>
      <c r="H1152"/>
    </row>
    <row r="1153" spans="5:8">
      <c r="E1153"/>
      <c r="F1153"/>
      <c r="G1153"/>
      <c r="H1153"/>
    </row>
    <row r="1154" spans="5:8">
      <c r="E1154"/>
      <c r="F1154"/>
      <c r="G1154"/>
      <c r="H1154"/>
    </row>
    <row r="1155" spans="5:8">
      <c r="E1155"/>
      <c r="F1155"/>
      <c r="G1155"/>
      <c r="H1155"/>
    </row>
    <row r="1156" spans="5:8">
      <c r="E1156"/>
      <c r="F1156"/>
      <c r="G1156"/>
      <c r="H1156"/>
    </row>
    <row r="1157" spans="5:8">
      <c r="E1157"/>
      <c r="F1157"/>
      <c r="G1157"/>
      <c r="H1157"/>
    </row>
    <row r="1158" spans="5:8">
      <c r="E1158"/>
      <c r="F1158"/>
      <c r="G1158"/>
      <c r="H1158"/>
    </row>
    <row r="1159" spans="5:8">
      <c r="E1159"/>
      <c r="F1159"/>
      <c r="G1159"/>
      <c r="H1159"/>
    </row>
    <row r="1160" spans="5:8">
      <c r="E1160"/>
      <c r="F1160"/>
      <c r="G1160"/>
      <c r="H1160"/>
    </row>
    <row r="1161" spans="5:8">
      <c r="E1161"/>
      <c r="F1161"/>
      <c r="G1161"/>
      <c r="H1161"/>
    </row>
    <row r="1162" spans="5:8">
      <c r="E1162"/>
      <c r="F1162"/>
      <c r="G1162"/>
      <c r="H1162"/>
    </row>
    <row r="1163" spans="5:8">
      <c r="E1163"/>
      <c r="F1163"/>
      <c r="G1163"/>
      <c r="H1163"/>
    </row>
    <row r="1164" spans="5:8">
      <c r="E1164"/>
      <c r="F1164"/>
      <c r="G1164"/>
      <c r="H1164"/>
    </row>
    <row r="1165" spans="5:8">
      <c r="E1165"/>
      <c r="F1165"/>
      <c r="G1165"/>
      <c r="H1165"/>
    </row>
    <row r="1166" spans="5:8">
      <c r="E1166"/>
      <c r="F1166"/>
      <c r="G1166"/>
      <c r="H1166"/>
    </row>
    <row r="1167" spans="5:8">
      <c r="E1167"/>
      <c r="F1167"/>
      <c r="G1167"/>
      <c r="H1167"/>
    </row>
    <row r="1168" spans="5:8">
      <c r="E1168"/>
      <c r="F1168"/>
      <c r="G1168"/>
      <c r="H1168"/>
    </row>
    <row r="1169" spans="5:8">
      <c r="E1169"/>
      <c r="F1169"/>
      <c r="G1169"/>
      <c r="H1169"/>
    </row>
    <row r="1170" spans="5:8">
      <c r="E1170"/>
      <c r="F1170"/>
      <c r="G1170"/>
      <c r="H1170"/>
    </row>
    <row r="1171" spans="5:8">
      <c r="E1171"/>
      <c r="F1171"/>
      <c r="G1171"/>
      <c r="H1171"/>
    </row>
    <row r="1172" spans="5:8">
      <c r="E1172"/>
      <c r="F1172"/>
      <c r="G1172"/>
      <c r="H1172"/>
    </row>
    <row r="1173" spans="5:8">
      <c r="E1173"/>
      <c r="F1173"/>
      <c r="G1173"/>
      <c r="H1173"/>
    </row>
    <row r="1174" spans="5:8">
      <c r="E1174"/>
      <c r="F1174"/>
      <c r="G1174"/>
      <c r="H1174"/>
    </row>
    <row r="1175" spans="5:8">
      <c r="E1175"/>
      <c r="F1175"/>
      <c r="G1175"/>
      <c r="H1175"/>
    </row>
    <row r="1176" spans="5:8">
      <c r="E1176"/>
      <c r="F1176"/>
      <c r="G1176"/>
      <c r="H1176"/>
    </row>
    <row r="1177" spans="5:8">
      <c r="E1177"/>
      <c r="F1177"/>
      <c r="G1177"/>
      <c r="H1177"/>
    </row>
    <row r="1178" spans="5:8">
      <c r="E1178"/>
      <c r="F1178"/>
      <c r="G1178"/>
      <c r="H1178"/>
    </row>
    <row r="1179" spans="5:8">
      <c r="E1179"/>
      <c r="F1179"/>
      <c r="G1179"/>
      <c r="H1179"/>
    </row>
    <row r="1180" spans="5:8">
      <c r="E1180"/>
      <c r="F1180"/>
      <c r="G1180"/>
      <c r="H1180"/>
    </row>
    <row r="1181" spans="5:8">
      <c r="E1181"/>
      <c r="F1181"/>
      <c r="G1181"/>
      <c r="H1181"/>
    </row>
    <row r="1182" spans="5:8">
      <c r="E1182"/>
      <c r="F1182"/>
      <c r="G1182"/>
      <c r="H1182"/>
    </row>
    <row r="1183" spans="5:8">
      <c r="E1183"/>
      <c r="F1183"/>
      <c r="G1183"/>
      <c r="H1183"/>
    </row>
    <row r="1184" spans="5:8">
      <c r="E1184"/>
      <c r="F1184"/>
      <c r="G1184"/>
      <c r="H1184"/>
    </row>
    <row r="1185" spans="5:8">
      <c r="E1185"/>
      <c r="F1185"/>
      <c r="G1185"/>
      <c r="H1185"/>
    </row>
    <row r="1186" spans="5:8">
      <c r="E1186"/>
      <c r="F1186"/>
      <c r="G1186"/>
      <c r="H1186"/>
    </row>
    <row r="1187" spans="5:8">
      <c r="E1187"/>
      <c r="F1187"/>
      <c r="G1187"/>
      <c r="H1187"/>
    </row>
    <row r="1188" spans="5:8">
      <c r="E1188"/>
      <c r="F1188"/>
      <c r="G1188"/>
      <c r="H1188"/>
    </row>
    <row r="1189" spans="5:8">
      <c r="E1189"/>
      <c r="F1189"/>
      <c r="G1189"/>
      <c r="H1189"/>
    </row>
    <row r="1190" spans="5:8">
      <c r="E1190"/>
      <c r="F1190"/>
      <c r="G1190"/>
      <c r="H1190"/>
    </row>
    <row r="1191" spans="5:8">
      <c r="E1191"/>
      <c r="F1191"/>
      <c r="G1191"/>
      <c r="H1191"/>
    </row>
    <row r="1192" spans="5:8">
      <c r="E1192"/>
      <c r="F1192"/>
      <c r="G1192"/>
      <c r="H1192"/>
    </row>
    <row r="1193" spans="5:8">
      <c r="E1193"/>
      <c r="F1193"/>
      <c r="G1193"/>
      <c r="H1193"/>
    </row>
    <row r="1194" spans="5:8">
      <c r="E1194"/>
      <c r="F1194"/>
      <c r="G1194"/>
      <c r="H1194"/>
    </row>
    <row r="1195" spans="5:8">
      <c r="E1195"/>
      <c r="F1195"/>
      <c r="G1195"/>
      <c r="H1195"/>
    </row>
    <row r="1196" spans="5:8">
      <c r="E1196"/>
      <c r="F1196"/>
      <c r="G1196"/>
      <c r="H1196"/>
    </row>
    <row r="1197" spans="5:8">
      <c r="E1197"/>
      <c r="F1197"/>
      <c r="G1197"/>
      <c r="H1197"/>
    </row>
    <row r="1198" spans="5:8">
      <c r="E1198"/>
      <c r="F1198"/>
      <c r="G1198"/>
      <c r="H1198"/>
    </row>
    <row r="1199" spans="5:8">
      <c r="E1199"/>
      <c r="F1199"/>
      <c r="G1199"/>
      <c r="H1199"/>
    </row>
    <row r="1200" spans="5:8">
      <c r="E1200"/>
      <c r="F1200"/>
      <c r="G1200"/>
      <c r="H1200"/>
    </row>
    <row r="1201" spans="5:8">
      <c r="E1201"/>
      <c r="F1201"/>
      <c r="G1201"/>
      <c r="H1201"/>
    </row>
    <row r="1202" spans="5:8">
      <c r="E1202"/>
      <c r="F1202"/>
      <c r="G1202"/>
      <c r="H1202"/>
    </row>
    <row r="1203" spans="5:8">
      <c r="E1203"/>
      <c r="F1203"/>
      <c r="G1203"/>
      <c r="H1203"/>
    </row>
    <row r="1204" spans="5:8">
      <c r="E1204"/>
      <c r="F1204"/>
      <c r="G1204"/>
      <c r="H1204"/>
    </row>
    <row r="1205" spans="5:8">
      <c r="E1205"/>
      <c r="F1205"/>
      <c r="G1205"/>
      <c r="H1205"/>
    </row>
    <row r="1206" spans="5:8">
      <c r="E1206"/>
      <c r="F1206"/>
      <c r="G1206"/>
      <c r="H1206"/>
    </row>
    <row r="1207" spans="5:8">
      <c r="E1207"/>
      <c r="F1207"/>
      <c r="G1207"/>
      <c r="H1207"/>
    </row>
    <row r="1208" spans="5:8">
      <c r="E1208"/>
      <c r="F1208"/>
      <c r="G1208"/>
      <c r="H1208"/>
    </row>
    <row r="1209" spans="5:8">
      <c r="E1209"/>
      <c r="F1209"/>
      <c r="G1209"/>
      <c r="H1209"/>
    </row>
    <row r="1210" spans="5:8">
      <c r="E1210"/>
      <c r="F1210"/>
      <c r="G1210"/>
      <c r="H1210"/>
    </row>
    <row r="1211" spans="5:8">
      <c r="E1211"/>
      <c r="F1211"/>
      <c r="G1211"/>
      <c r="H1211"/>
    </row>
    <row r="1212" spans="5:8">
      <c r="E1212"/>
      <c r="F1212"/>
      <c r="G1212"/>
      <c r="H1212"/>
    </row>
    <row r="1213" spans="5:8">
      <c r="E1213"/>
      <c r="F1213"/>
      <c r="G1213"/>
      <c r="H1213"/>
    </row>
    <row r="1214" spans="5:8">
      <c r="E1214"/>
      <c r="F1214"/>
      <c r="G1214"/>
      <c r="H1214"/>
    </row>
    <row r="1215" spans="5:8">
      <c r="E1215"/>
      <c r="F1215"/>
      <c r="G1215"/>
      <c r="H1215"/>
    </row>
    <row r="1216" spans="5:8">
      <c r="E1216"/>
      <c r="F1216"/>
      <c r="G1216"/>
      <c r="H1216"/>
    </row>
    <row r="1217" spans="5:8">
      <c r="E1217"/>
      <c r="F1217"/>
      <c r="G1217"/>
      <c r="H1217"/>
    </row>
    <row r="1218" spans="5:8">
      <c r="E1218"/>
      <c r="F1218"/>
      <c r="G1218"/>
      <c r="H1218"/>
    </row>
    <row r="1219" spans="5:8">
      <c r="E1219"/>
      <c r="F1219"/>
      <c r="G1219"/>
      <c r="H1219"/>
    </row>
    <row r="1220" spans="5:8">
      <c r="E1220"/>
      <c r="F1220"/>
      <c r="G1220"/>
      <c r="H1220"/>
    </row>
    <row r="1221" spans="5:8">
      <c r="E1221"/>
      <c r="F1221"/>
      <c r="G1221"/>
      <c r="H1221"/>
    </row>
    <row r="1222" spans="5:8">
      <c r="E1222"/>
      <c r="F1222"/>
      <c r="G1222"/>
      <c r="H1222"/>
    </row>
    <row r="1223" spans="5:8">
      <c r="E1223"/>
      <c r="F1223"/>
      <c r="G1223"/>
      <c r="H1223"/>
    </row>
    <row r="1224" spans="5:8">
      <c r="E1224"/>
      <c r="F1224"/>
      <c r="G1224"/>
      <c r="H1224"/>
    </row>
    <row r="1225" spans="5:8">
      <c r="E1225"/>
      <c r="F1225"/>
      <c r="G1225"/>
      <c r="H1225"/>
    </row>
    <row r="1226" spans="5:8">
      <c r="E1226"/>
      <c r="F1226"/>
      <c r="G1226"/>
      <c r="H1226"/>
    </row>
    <row r="1227" spans="5:8">
      <c r="E1227"/>
      <c r="F1227"/>
      <c r="G1227"/>
      <c r="H1227"/>
    </row>
    <row r="1228" spans="5:8">
      <c r="E1228"/>
      <c r="F1228"/>
      <c r="G1228"/>
      <c r="H1228"/>
    </row>
    <row r="1229" spans="5:8">
      <c r="E1229"/>
      <c r="F1229"/>
      <c r="G1229"/>
      <c r="H1229"/>
    </row>
    <row r="1230" spans="5:8">
      <c r="E1230"/>
      <c r="F1230"/>
      <c r="G1230"/>
      <c r="H1230"/>
    </row>
    <row r="1231" spans="5:8">
      <c r="E1231"/>
      <c r="F1231"/>
      <c r="G1231"/>
      <c r="H1231"/>
    </row>
    <row r="1232" spans="5:8">
      <c r="E1232"/>
      <c r="F1232"/>
      <c r="G1232"/>
      <c r="H1232"/>
    </row>
    <row r="1233" spans="5:8">
      <c r="E1233"/>
      <c r="F1233"/>
      <c r="G1233"/>
      <c r="H1233"/>
    </row>
    <row r="1234" spans="5:8">
      <c r="E1234"/>
      <c r="F1234"/>
      <c r="G1234"/>
      <c r="H1234"/>
    </row>
    <row r="1235" spans="5:8">
      <c r="E1235"/>
      <c r="F1235"/>
      <c r="G1235"/>
      <c r="H1235"/>
    </row>
    <row r="1236" spans="5:8">
      <c r="E1236"/>
      <c r="F1236"/>
      <c r="G1236"/>
      <c r="H1236"/>
    </row>
    <row r="1237" spans="5:8">
      <c r="E1237"/>
      <c r="F1237"/>
      <c r="G1237"/>
      <c r="H1237"/>
    </row>
    <row r="1238" spans="5:8">
      <c r="E1238"/>
      <c r="F1238"/>
      <c r="G1238"/>
      <c r="H1238"/>
    </row>
    <row r="1239" spans="5:8">
      <c r="E1239"/>
      <c r="F1239"/>
      <c r="G1239"/>
      <c r="H1239"/>
    </row>
    <row r="1240" spans="5:8">
      <c r="E1240"/>
      <c r="F1240"/>
      <c r="G1240"/>
      <c r="H1240"/>
    </row>
    <row r="1241" spans="5:8">
      <c r="E1241"/>
      <c r="F1241"/>
      <c r="G1241"/>
      <c r="H1241"/>
    </row>
    <row r="1242" spans="5:8">
      <c r="E1242"/>
      <c r="F1242"/>
      <c r="G1242"/>
      <c r="H1242"/>
    </row>
    <row r="1243" spans="5:8">
      <c r="E1243"/>
      <c r="F1243"/>
      <c r="G1243"/>
      <c r="H1243"/>
    </row>
    <row r="1244" spans="5:8">
      <c r="E1244"/>
      <c r="F1244"/>
      <c r="G1244"/>
      <c r="H1244"/>
    </row>
    <row r="1245" spans="5:8">
      <c r="E1245"/>
      <c r="F1245"/>
      <c r="G1245"/>
      <c r="H1245"/>
    </row>
    <row r="1246" spans="5:8">
      <c r="E1246"/>
      <c r="F1246"/>
      <c r="G1246"/>
      <c r="H1246"/>
    </row>
    <row r="1247" spans="5:8">
      <c r="E1247"/>
      <c r="F1247"/>
      <c r="G1247"/>
      <c r="H1247"/>
    </row>
    <row r="1248" spans="5:8">
      <c r="E1248"/>
      <c r="F1248"/>
      <c r="G1248"/>
      <c r="H1248"/>
    </row>
    <row r="1249" spans="5:8">
      <c r="E1249"/>
      <c r="F1249"/>
      <c r="G1249"/>
      <c r="H1249"/>
    </row>
    <row r="1250" spans="5:8">
      <c r="E1250"/>
      <c r="F1250"/>
      <c r="G1250"/>
      <c r="H1250"/>
    </row>
    <row r="1251" spans="5:8">
      <c r="E1251"/>
      <c r="F1251"/>
      <c r="G1251"/>
      <c r="H1251"/>
    </row>
    <row r="1252" spans="5:8">
      <c r="E1252"/>
      <c r="F1252"/>
      <c r="G1252"/>
      <c r="H1252"/>
    </row>
    <row r="1253" spans="5:8">
      <c r="E1253"/>
      <c r="F1253"/>
      <c r="G1253"/>
      <c r="H1253"/>
    </row>
    <row r="1254" spans="5:8">
      <c r="E1254"/>
      <c r="F1254"/>
      <c r="G1254"/>
      <c r="H1254"/>
    </row>
    <row r="1255" spans="5:8">
      <c r="E1255"/>
      <c r="F1255"/>
      <c r="G1255"/>
      <c r="H1255"/>
    </row>
    <row r="1256" spans="5:8">
      <c r="E1256"/>
      <c r="F1256"/>
      <c r="G1256"/>
      <c r="H1256"/>
    </row>
    <row r="1257" spans="5:8">
      <c r="E1257"/>
      <c r="F1257"/>
      <c r="G1257"/>
      <c r="H1257"/>
    </row>
    <row r="1258" spans="5:8">
      <c r="E1258"/>
      <c r="F1258"/>
      <c r="G1258"/>
      <c r="H1258"/>
    </row>
    <row r="1259" spans="5:8">
      <c r="E1259"/>
      <c r="F1259"/>
      <c r="G1259"/>
      <c r="H1259"/>
    </row>
    <row r="1260" spans="5:8">
      <c r="E1260"/>
      <c r="F1260"/>
      <c r="G1260"/>
      <c r="H1260"/>
    </row>
    <row r="1261" spans="5:8">
      <c r="E1261"/>
      <c r="F1261"/>
      <c r="G1261"/>
      <c r="H1261"/>
    </row>
    <row r="1262" spans="5:8">
      <c r="E1262"/>
      <c r="F1262"/>
      <c r="G1262"/>
      <c r="H1262"/>
    </row>
    <row r="1263" spans="5:8">
      <c r="E1263"/>
      <c r="F1263"/>
      <c r="G1263"/>
      <c r="H1263"/>
    </row>
    <row r="1264" spans="5:8">
      <c r="E1264"/>
      <c r="F1264"/>
      <c r="G1264"/>
      <c r="H1264"/>
    </row>
    <row r="1265" spans="5:8">
      <c r="E1265"/>
      <c r="F1265"/>
      <c r="G1265"/>
      <c r="H1265"/>
    </row>
    <row r="1266" spans="5:8">
      <c r="E1266"/>
      <c r="F1266"/>
      <c r="G1266"/>
      <c r="H1266"/>
    </row>
    <row r="1267" spans="5:8">
      <c r="E1267"/>
      <c r="F1267"/>
      <c r="G1267"/>
      <c r="H1267"/>
    </row>
    <row r="1268" spans="5:8">
      <c r="E1268"/>
      <c r="F1268"/>
      <c r="G1268"/>
      <c r="H1268"/>
    </row>
    <row r="1269" spans="5:8">
      <c r="E1269"/>
      <c r="F1269"/>
      <c r="G1269"/>
      <c r="H1269"/>
    </row>
    <row r="1270" spans="5:8">
      <c r="E1270"/>
      <c r="F1270"/>
      <c r="G1270"/>
      <c r="H1270"/>
    </row>
    <row r="1271" spans="5:8">
      <c r="E1271"/>
      <c r="F1271"/>
      <c r="G1271"/>
      <c r="H1271"/>
    </row>
    <row r="1272" spans="5:8">
      <c r="E1272"/>
      <c r="F1272"/>
      <c r="G1272"/>
      <c r="H1272"/>
    </row>
    <row r="1273" spans="5:8">
      <c r="E1273"/>
      <c r="F1273"/>
      <c r="G1273"/>
      <c r="H1273"/>
    </row>
    <row r="1274" spans="5:8">
      <c r="E1274"/>
      <c r="F1274"/>
      <c r="G1274"/>
      <c r="H1274"/>
    </row>
    <row r="1275" spans="5:8">
      <c r="E1275"/>
      <c r="F1275"/>
      <c r="G1275"/>
      <c r="H1275"/>
    </row>
    <row r="1276" spans="5:8">
      <c r="E1276"/>
      <c r="F1276"/>
      <c r="G1276"/>
      <c r="H1276"/>
    </row>
    <row r="1277" spans="5:8">
      <c r="E1277"/>
      <c r="F1277"/>
      <c r="G1277"/>
      <c r="H1277"/>
    </row>
    <row r="1278" spans="5:8">
      <c r="E1278"/>
      <c r="F1278"/>
      <c r="G1278"/>
      <c r="H1278"/>
    </row>
    <row r="1279" spans="5:8">
      <c r="E1279"/>
      <c r="F1279"/>
      <c r="G1279"/>
      <c r="H1279"/>
    </row>
    <row r="1280" spans="5:8">
      <c r="E1280"/>
      <c r="F1280"/>
      <c r="G1280"/>
      <c r="H1280"/>
    </row>
    <row r="1281" spans="5:8">
      <c r="E1281"/>
      <c r="F1281"/>
      <c r="G1281"/>
      <c r="H1281"/>
    </row>
    <row r="1282" spans="5:8">
      <c r="E1282"/>
      <c r="F1282"/>
      <c r="G1282"/>
      <c r="H1282"/>
    </row>
    <row r="1283" spans="5:8">
      <c r="E1283"/>
      <c r="F1283"/>
      <c r="G1283"/>
      <c r="H1283"/>
    </row>
    <row r="1284" spans="5:8">
      <c r="E1284"/>
      <c r="F1284"/>
      <c r="G1284"/>
      <c r="H1284"/>
    </row>
    <row r="1285" spans="5:8">
      <c r="E1285"/>
      <c r="F1285"/>
      <c r="G1285"/>
      <c r="H1285"/>
    </row>
    <row r="1286" spans="5:8">
      <c r="E1286"/>
      <c r="F1286"/>
      <c r="G1286"/>
      <c r="H1286"/>
    </row>
    <row r="1287" spans="5:8">
      <c r="E1287"/>
      <c r="F1287"/>
      <c r="G1287"/>
      <c r="H1287"/>
    </row>
    <row r="1288" spans="5:8">
      <c r="E1288"/>
      <c r="F1288"/>
      <c r="G1288"/>
      <c r="H1288"/>
    </row>
    <row r="1289" spans="5:8">
      <c r="E1289"/>
      <c r="F1289"/>
      <c r="G1289"/>
      <c r="H1289"/>
    </row>
    <row r="1290" spans="5:8">
      <c r="E1290"/>
      <c r="F1290"/>
      <c r="G1290"/>
      <c r="H1290"/>
    </row>
    <row r="1291" spans="5:8">
      <c r="E1291"/>
      <c r="F1291"/>
      <c r="G1291"/>
      <c r="H1291"/>
    </row>
    <row r="1292" spans="5:8">
      <c r="E1292"/>
      <c r="F1292"/>
      <c r="G1292"/>
      <c r="H1292"/>
    </row>
    <row r="1293" spans="5:8">
      <c r="E1293"/>
      <c r="F1293"/>
      <c r="G1293"/>
      <c r="H1293"/>
    </row>
    <row r="1294" spans="5:8">
      <c r="E1294"/>
      <c r="F1294"/>
      <c r="G1294"/>
      <c r="H1294"/>
    </row>
    <row r="1295" spans="5:8">
      <c r="E1295"/>
      <c r="F1295"/>
      <c r="G1295"/>
      <c r="H1295"/>
    </row>
    <row r="1296" spans="5:8">
      <c r="E1296"/>
      <c r="F1296"/>
      <c r="G1296"/>
      <c r="H1296"/>
    </row>
    <row r="1297" spans="5:8">
      <c r="E1297"/>
      <c r="F1297"/>
      <c r="G1297"/>
      <c r="H1297"/>
    </row>
    <row r="1298" spans="5:8">
      <c r="E1298"/>
      <c r="F1298"/>
      <c r="G1298"/>
      <c r="H1298"/>
    </row>
    <row r="1299" spans="5:8">
      <c r="E1299"/>
      <c r="F1299"/>
      <c r="G1299"/>
      <c r="H1299"/>
    </row>
    <row r="1300" spans="5:8">
      <c r="E1300"/>
      <c r="F1300"/>
      <c r="G1300"/>
      <c r="H1300"/>
    </row>
    <row r="1301" spans="5:8">
      <c r="E1301"/>
      <c r="F1301"/>
      <c r="G1301"/>
      <c r="H1301"/>
    </row>
    <row r="1302" spans="5:8">
      <c r="E1302"/>
      <c r="F1302"/>
      <c r="G1302"/>
      <c r="H1302"/>
    </row>
    <row r="1303" spans="5:8">
      <c r="E1303"/>
      <c r="F1303"/>
      <c r="G1303"/>
      <c r="H1303"/>
    </row>
    <row r="1304" spans="5:8">
      <c r="E1304"/>
      <c r="F1304"/>
      <c r="G1304"/>
      <c r="H1304"/>
    </row>
    <row r="1305" spans="5:8">
      <c r="E1305"/>
      <c r="F1305"/>
      <c r="G1305"/>
      <c r="H1305"/>
    </row>
    <row r="1306" spans="5:8">
      <c r="E1306"/>
      <c r="F1306"/>
      <c r="G1306"/>
      <c r="H1306"/>
    </row>
    <row r="1307" spans="5:8">
      <c r="E1307"/>
      <c r="F1307"/>
      <c r="G1307"/>
      <c r="H1307"/>
    </row>
    <row r="1308" spans="5:8">
      <c r="E1308"/>
      <c r="F1308"/>
      <c r="G1308"/>
      <c r="H1308"/>
    </row>
    <row r="1309" spans="5:8">
      <c r="E1309"/>
      <c r="F1309"/>
      <c r="G1309"/>
      <c r="H1309"/>
    </row>
    <row r="1310" spans="5:8">
      <c r="E1310"/>
      <c r="F1310"/>
      <c r="G1310"/>
      <c r="H1310"/>
    </row>
    <row r="1311" spans="5:8">
      <c r="E1311"/>
      <c r="F1311"/>
      <c r="G1311"/>
      <c r="H1311"/>
    </row>
    <row r="1312" spans="5:8">
      <c r="E1312"/>
      <c r="F1312"/>
      <c r="G1312"/>
      <c r="H1312"/>
    </row>
    <row r="1313" spans="5:8">
      <c r="E1313"/>
      <c r="F1313"/>
      <c r="G1313"/>
      <c r="H1313"/>
    </row>
    <row r="1314" spans="5:8">
      <c r="E1314"/>
      <c r="F1314"/>
      <c r="G1314"/>
      <c r="H1314"/>
    </row>
    <row r="1315" spans="5:8">
      <c r="E1315"/>
      <c r="F1315"/>
      <c r="G1315"/>
      <c r="H1315"/>
    </row>
    <row r="1316" spans="5:8">
      <c r="E1316"/>
      <c r="F1316"/>
      <c r="G1316"/>
      <c r="H1316"/>
    </row>
    <row r="1317" spans="5:8">
      <c r="E1317"/>
      <c r="F1317"/>
      <c r="G1317"/>
      <c r="H1317"/>
    </row>
    <row r="1318" spans="5:8">
      <c r="E1318"/>
      <c r="F1318"/>
      <c r="G1318"/>
      <c r="H1318"/>
    </row>
    <row r="1319" spans="5:8">
      <c r="E1319"/>
      <c r="F1319"/>
      <c r="G1319"/>
      <c r="H1319"/>
    </row>
    <row r="1320" spans="5:8">
      <c r="E1320"/>
      <c r="F1320"/>
      <c r="G1320"/>
      <c r="H1320"/>
    </row>
    <row r="1321" spans="5:8">
      <c r="E1321"/>
      <c r="F1321"/>
      <c r="G1321"/>
      <c r="H1321"/>
    </row>
    <row r="1322" spans="5:8">
      <c r="E1322"/>
      <c r="F1322"/>
      <c r="G1322"/>
      <c r="H1322"/>
    </row>
    <row r="1323" spans="5:8">
      <c r="E1323"/>
      <c r="F1323"/>
      <c r="G1323"/>
      <c r="H1323"/>
    </row>
    <row r="1324" spans="5:8">
      <c r="E1324"/>
      <c r="F1324"/>
      <c r="G1324"/>
      <c r="H1324"/>
    </row>
    <row r="1325" spans="5:8">
      <c r="E1325"/>
      <c r="F1325"/>
      <c r="G1325"/>
      <c r="H1325"/>
    </row>
    <row r="1326" spans="5:8">
      <c r="E1326"/>
      <c r="F1326"/>
      <c r="G1326"/>
      <c r="H1326"/>
    </row>
    <row r="1327" spans="5:8">
      <c r="E1327"/>
      <c r="F1327"/>
      <c r="G1327"/>
      <c r="H1327"/>
    </row>
    <row r="1328" spans="5:8">
      <c r="E1328"/>
      <c r="F1328"/>
      <c r="G1328"/>
      <c r="H1328"/>
    </row>
    <row r="1329" spans="5:8">
      <c r="E1329"/>
      <c r="F1329"/>
      <c r="G1329"/>
      <c r="H1329"/>
    </row>
    <row r="1330" spans="5:8">
      <c r="E1330"/>
      <c r="F1330"/>
      <c r="G1330"/>
      <c r="H1330"/>
    </row>
    <row r="1331" spans="5:8">
      <c r="E1331"/>
      <c r="F1331"/>
      <c r="G1331"/>
      <c r="H1331"/>
    </row>
    <row r="1332" spans="5:8">
      <c r="E1332"/>
      <c r="F1332"/>
      <c r="G1332"/>
      <c r="H1332"/>
    </row>
    <row r="1333" spans="5:8">
      <c r="E1333"/>
      <c r="F1333"/>
      <c r="G1333"/>
      <c r="H1333"/>
    </row>
    <row r="1334" spans="5:8">
      <c r="E1334"/>
      <c r="F1334"/>
      <c r="G1334"/>
      <c r="H1334"/>
    </row>
    <row r="1335" spans="5:8">
      <c r="E1335"/>
      <c r="F1335"/>
      <c r="G1335"/>
      <c r="H1335"/>
    </row>
    <row r="1336" spans="5:8">
      <c r="E1336"/>
      <c r="F1336"/>
      <c r="G1336"/>
      <c r="H1336"/>
    </row>
    <row r="1337" spans="5:8">
      <c r="E1337"/>
      <c r="F1337"/>
      <c r="G1337"/>
      <c r="H1337"/>
    </row>
    <row r="1338" spans="5:8">
      <c r="E1338"/>
      <c r="F1338"/>
      <c r="G1338"/>
      <c r="H1338"/>
    </row>
    <row r="1339" spans="5:8">
      <c r="E1339"/>
      <c r="F1339"/>
      <c r="G1339"/>
      <c r="H1339"/>
    </row>
    <row r="1340" spans="5:8">
      <c r="E1340"/>
      <c r="F1340"/>
      <c r="G1340"/>
      <c r="H1340"/>
    </row>
    <row r="1341" spans="5:8">
      <c r="E1341"/>
      <c r="F1341"/>
      <c r="G1341"/>
      <c r="H1341"/>
    </row>
    <row r="1342" spans="5:8">
      <c r="E1342"/>
      <c r="F1342"/>
      <c r="G1342"/>
      <c r="H1342"/>
    </row>
    <row r="1343" spans="5:8">
      <c r="E1343"/>
      <c r="F1343"/>
      <c r="G1343"/>
      <c r="H1343"/>
    </row>
    <row r="1344" spans="5:8">
      <c r="E1344"/>
      <c r="F1344"/>
      <c r="G1344"/>
      <c r="H1344"/>
    </row>
    <row r="1345" spans="5:8">
      <c r="E1345"/>
      <c r="F1345"/>
      <c r="G1345"/>
      <c r="H1345"/>
    </row>
    <row r="1346" spans="5:8">
      <c r="E1346"/>
      <c r="F1346"/>
      <c r="G1346"/>
      <c r="H1346"/>
    </row>
    <row r="1347" spans="5:8">
      <c r="E1347"/>
      <c r="F1347"/>
      <c r="G1347"/>
      <c r="H1347"/>
    </row>
    <row r="1348" spans="5:8">
      <c r="E1348"/>
      <c r="F1348"/>
      <c r="G1348"/>
      <c r="H1348"/>
    </row>
    <row r="1349" spans="5:8">
      <c r="E1349"/>
      <c r="F1349"/>
      <c r="G1349"/>
      <c r="H1349"/>
    </row>
    <row r="1350" spans="5:8">
      <c r="E1350"/>
      <c r="F1350"/>
      <c r="G1350"/>
      <c r="H1350"/>
    </row>
    <row r="1351" spans="5:8">
      <c r="E1351"/>
      <c r="F1351"/>
      <c r="G1351"/>
      <c r="H1351"/>
    </row>
    <row r="1352" spans="5:8">
      <c r="E1352"/>
      <c r="F1352"/>
      <c r="G1352"/>
      <c r="H1352"/>
    </row>
    <row r="1353" spans="5:8">
      <c r="E1353"/>
      <c r="F1353"/>
      <c r="G1353"/>
      <c r="H1353"/>
    </row>
    <row r="1354" spans="5:8">
      <c r="E1354"/>
      <c r="F1354"/>
      <c r="G1354"/>
      <c r="H1354"/>
    </row>
    <row r="1355" spans="5:8">
      <c r="E1355"/>
      <c r="F1355"/>
      <c r="G1355"/>
      <c r="H1355"/>
    </row>
    <row r="1356" spans="5:8">
      <c r="E1356"/>
      <c r="F1356"/>
      <c r="G1356"/>
      <c r="H1356"/>
    </row>
    <row r="1357" spans="5:8">
      <c r="E1357"/>
      <c r="F1357"/>
      <c r="G1357"/>
      <c r="H1357"/>
    </row>
    <row r="1358" spans="5:8">
      <c r="E1358"/>
      <c r="F1358"/>
      <c r="G1358"/>
      <c r="H1358"/>
    </row>
    <row r="1359" spans="5:8">
      <c r="E1359"/>
      <c r="F1359"/>
      <c r="G1359"/>
      <c r="H1359"/>
    </row>
    <row r="1360" spans="5:8">
      <c r="E1360"/>
      <c r="F1360"/>
      <c r="G1360"/>
      <c r="H1360"/>
    </row>
    <row r="1361" spans="5:8">
      <c r="E1361"/>
      <c r="F1361"/>
      <c r="G1361"/>
      <c r="H1361"/>
    </row>
    <row r="1362" spans="5:8">
      <c r="E1362"/>
      <c r="F1362"/>
      <c r="G1362"/>
      <c r="H1362"/>
    </row>
    <row r="1363" spans="5:8">
      <c r="E1363"/>
      <c r="F1363"/>
      <c r="G1363"/>
      <c r="H1363"/>
    </row>
    <row r="1364" spans="5:8">
      <c r="E1364"/>
      <c r="F1364"/>
      <c r="G1364"/>
      <c r="H1364"/>
    </row>
    <row r="1365" spans="5:8">
      <c r="E1365"/>
      <c r="F1365"/>
      <c r="G1365"/>
      <c r="H1365"/>
    </row>
    <row r="1366" spans="5:8">
      <c r="E1366"/>
      <c r="F1366"/>
      <c r="G1366"/>
      <c r="H1366"/>
    </row>
    <row r="1367" spans="5:8">
      <c r="E1367"/>
      <c r="F1367"/>
      <c r="G1367"/>
      <c r="H1367"/>
    </row>
    <row r="1368" spans="5:8">
      <c r="E1368"/>
      <c r="F1368"/>
      <c r="G1368"/>
      <c r="H1368"/>
    </row>
    <row r="1369" spans="5:8">
      <c r="E1369"/>
      <c r="F1369"/>
      <c r="G1369"/>
      <c r="H1369"/>
    </row>
    <row r="1370" spans="5:8">
      <c r="E1370"/>
      <c r="F1370"/>
      <c r="G1370"/>
      <c r="H1370"/>
    </row>
    <row r="1371" spans="5:8">
      <c r="E1371"/>
      <c r="F1371"/>
      <c r="G1371"/>
      <c r="H1371"/>
    </row>
    <row r="1372" spans="5:8">
      <c r="E1372"/>
      <c r="F1372"/>
      <c r="G1372"/>
      <c r="H1372"/>
    </row>
    <row r="1373" spans="5:8">
      <c r="E1373"/>
      <c r="F1373"/>
      <c r="G1373"/>
      <c r="H1373"/>
    </row>
    <row r="1374" spans="5:8">
      <c r="E1374"/>
      <c r="F1374"/>
      <c r="G1374"/>
      <c r="H1374"/>
    </row>
    <row r="1375" spans="5:8">
      <c r="E1375"/>
      <c r="F1375"/>
      <c r="G1375"/>
      <c r="H1375"/>
    </row>
    <row r="1376" spans="5:8">
      <c r="E1376"/>
      <c r="F1376"/>
      <c r="G1376"/>
      <c r="H1376"/>
    </row>
    <row r="1377" spans="5:8">
      <c r="E1377"/>
      <c r="F1377"/>
      <c r="G1377"/>
      <c r="H1377"/>
    </row>
    <row r="1378" spans="5:8">
      <c r="E1378"/>
      <c r="F1378"/>
      <c r="G1378"/>
      <c r="H1378"/>
    </row>
    <row r="1379" spans="5:8">
      <c r="E1379"/>
      <c r="F1379"/>
      <c r="G1379"/>
      <c r="H1379"/>
    </row>
    <row r="1380" spans="5:8">
      <c r="E1380"/>
      <c r="F1380"/>
      <c r="G1380"/>
      <c r="H1380"/>
    </row>
    <row r="1381" spans="5:8">
      <c r="E1381"/>
      <c r="F1381"/>
      <c r="G1381"/>
      <c r="H1381"/>
    </row>
    <row r="1382" spans="5:8">
      <c r="E1382"/>
      <c r="F1382"/>
      <c r="G1382"/>
      <c r="H1382"/>
    </row>
    <row r="1383" spans="5:8">
      <c r="E1383"/>
      <c r="F1383"/>
      <c r="G1383"/>
      <c r="H1383"/>
    </row>
    <row r="1384" spans="5:8">
      <c r="E1384"/>
      <c r="F1384"/>
      <c r="G1384"/>
      <c r="H1384"/>
    </row>
    <row r="1385" spans="5:8">
      <c r="E1385"/>
      <c r="F1385"/>
      <c r="G1385"/>
      <c r="H1385"/>
    </row>
    <row r="1386" spans="5:8">
      <c r="E1386"/>
      <c r="F1386"/>
      <c r="G1386"/>
      <c r="H1386"/>
    </row>
    <row r="1387" spans="5:8">
      <c r="E1387"/>
      <c r="F1387"/>
      <c r="G1387"/>
      <c r="H1387"/>
    </row>
    <row r="1388" spans="5:8">
      <c r="E1388"/>
      <c r="F1388"/>
      <c r="G1388"/>
      <c r="H1388"/>
    </row>
    <row r="1389" spans="5:8">
      <c r="E1389"/>
      <c r="F1389"/>
      <c r="G1389"/>
      <c r="H1389"/>
    </row>
    <row r="1390" spans="5:8">
      <c r="E1390"/>
      <c r="F1390"/>
      <c r="G1390"/>
      <c r="H1390"/>
    </row>
    <row r="1391" spans="5:8">
      <c r="E1391"/>
      <c r="F1391"/>
      <c r="G1391"/>
      <c r="H1391"/>
    </row>
    <row r="1392" spans="5:8">
      <c r="E1392"/>
      <c r="F1392"/>
      <c r="G1392"/>
      <c r="H1392"/>
    </row>
    <row r="1393" spans="5:8">
      <c r="E1393"/>
      <c r="F1393"/>
      <c r="G1393"/>
      <c r="H1393"/>
    </row>
    <row r="1394" spans="5:8">
      <c r="E1394"/>
      <c r="F1394"/>
      <c r="G1394"/>
      <c r="H1394"/>
    </row>
    <row r="1395" spans="5:8">
      <c r="E1395"/>
      <c r="F1395"/>
      <c r="G1395"/>
      <c r="H1395"/>
    </row>
    <row r="1396" spans="5:8">
      <c r="E1396"/>
      <c r="F1396"/>
      <c r="G1396"/>
      <c r="H1396"/>
    </row>
    <row r="1397" spans="5:8">
      <c r="E1397"/>
      <c r="F1397"/>
      <c r="G1397"/>
      <c r="H1397"/>
    </row>
    <row r="1398" spans="5:8">
      <c r="E1398"/>
      <c r="F1398"/>
      <c r="G1398"/>
      <c r="H1398"/>
    </row>
    <row r="1399" spans="5:8">
      <c r="E1399"/>
      <c r="F1399"/>
      <c r="G1399"/>
      <c r="H1399"/>
    </row>
    <row r="1400" spans="5:8">
      <c r="E1400"/>
      <c r="F1400"/>
      <c r="G1400"/>
      <c r="H1400"/>
    </row>
    <row r="1401" spans="5:8">
      <c r="E1401"/>
      <c r="F1401"/>
      <c r="G1401"/>
      <c r="H1401"/>
    </row>
    <row r="1402" spans="5:8">
      <c r="E1402"/>
      <c r="F1402"/>
      <c r="G1402"/>
      <c r="H1402"/>
    </row>
    <row r="1403" spans="5:8">
      <c r="E1403"/>
      <c r="F1403"/>
      <c r="G1403"/>
      <c r="H1403"/>
    </row>
    <row r="1404" spans="5:8">
      <c r="E1404"/>
      <c r="F1404"/>
      <c r="G1404"/>
      <c r="H1404"/>
    </row>
    <row r="1405" spans="5:8">
      <c r="E1405"/>
      <c r="F1405"/>
      <c r="G1405"/>
      <c r="H1405"/>
    </row>
    <row r="1406" spans="5:8">
      <c r="E1406"/>
      <c r="F1406"/>
      <c r="G1406"/>
      <c r="H1406"/>
    </row>
    <row r="1407" spans="5:8">
      <c r="E1407"/>
      <c r="F1407"/>
      <c r="G1407"/>
      <c r="H1407"/>
    </row>
    <row r="1408" spans="5:8">
      <c r="E1408"/>
      <c r="F1408"/>
      <c r="G1408"/>
      <c r="H1408"/>
    </row>
    <row r="1409" spans="5:8">
      <c r="E1409"/>
      <c r="F1409"/>
      <c r="G1409"/>
      <c r="H1409"/>
    </row>
    <row r="1410" spans="5:8">
      <c r="E1410"/>
      <c r="F1410"/>
      <c r="G1410"/>
      <c r="H1410"/>
    </row>
    <row r="1411" spans="5:8">
      <c r="E1411"/>
      <c r="F1411"/>
      <c r="G1411"/>
      <c r="H1411"/>
    </row>
    <row r="1412" spans="5:8">
      <c r="E1412"/>
      <c r="F1412"/>
      <c r="G1412"/>
      <c r="H1412"/>
    </row>
    <row r="1413" spans="5:8">
      <c r="E1413"/>
      <c r="F1413"/>
      <c r="G1413"/>
      <c r="H1413"/>
    </row>
    <row r="1414" spans="5:8">
      <c r="E1414"/>
      <c r="F1414"/>
      <c r="G1414"/>
      <c r="H1414"/>
    </row>
    <row r="1415" spans="5:8">
      <c r="E1415"/>
      <c r="F1415"/>
      <c r="G1415"/>
      <c r="H1415"/>
    </row>
    <row r="1416" spans="5:8">
      <c r="E1416"/>
      <c r="F1416"/>
      <c r="G1416"/>
      <c r="H1416"/>
    </row>
    <row r="1417" spans="5:8">
      <c r="E1417"/>
      <c r="F1417"/>
      <c r="G1417"/>
      <c r="H1417"/>
    </row>
    <row r="1418" spans="5:8">
      <c r="E1418"/>
      <c r="F1418"/>
      <c r="G1418"/>
      <c r="H1418"/>
    </row>
    <row r="1419" spans="5:8">
      <c r="E1419"/>
      <c r="F1419"/>
      <c r="G1419"/>
      <c r="H1419"/>
    </row>
    <row r="1420" spans="5:8">
      <c r="E1420"/>
      <c r="F1420"/>
      <c r="G1420"/>
      <c r="H1420"/>
    </row>
    <row r="1421" spans="5:8">
      <c r="E1421"/>
      <c r="F1421"/>
      <c r="G1421"/>
      <c r="H1421"/>
    </row>
    <row r="1422" spans="5:8">
      <c r="E1422"/>
      <c r="F1422"/>
      <c r="G1422"/>
      <c r="H1422"/>
    </row>
    <row r="1423" spans="5:8">
      <c r="E1423"/>
      <c r="F1423"/>
      <c r="G1423"/>
      <c r="H1423"/>
    </row>
    <row r="1424" spans="5:8">
      <c r="E1424"/>
      <c r="F1424"/>
      <c r="G1424"/>
      <c r="H1424"/>
    </row>
    <row r="1425" spans="5:8">
      <c r="E1425"/>
      <c r="F1425"/>
      <c r="G1425"/>
      <c r="H1425"/>
    </row>
    <row r="1426" spans="5:8">
      <c r="E1426"/>
      <c r="F1426"/>
      <c r="G1426"/>
      <c r="H1426"/>
    </row>
    <row r="1427" spans="5:8">
      <c r="E1427"/>
      <c r="F1427"/>
      <c r="G1427"/>
      <c r="H1427"/>
    </row>
    <row r="1428" spans="5:8">
      <c r="E1428"/>
      <c r="F1428"/>
      <c r="G1428"/>
      <c r="H1428"/>
    </row>
    <row r="1429" spans="5:8">
      <c r="E1429"/>
      <c r="F1429"/>
      <c r="G1429"/>
      <c r="H1429"/>
    </row>
    <row r="1430" spans="5:8">
      <c r="E1430"/>
      <c r="F1430"/>
      <c r="G1430"/>
      <c r="H1430"/>
    </row>
    <row r="1431" spans="5:8">
      <c r="E1431"/>
      <c r="F1431"/>
      <c r="G1431"/>
      <c r="H1431"/>
    </row>
    <row r="1432" spans="5:8">
      <c r="E1432"/>
      <c r="F1432"/>
      <c r="G1432"/>
      <c r="H1432"/>
    </row>
    <row r="1433" spans="5:8">
      <c r="E1433"/>
      <c r="F1433"/>
      <c r="G1433"/>
      <c r="H1433"/>
    </row>
    <row r="1434" spans="5:8">
      <c r="E1434"/>
      <c r="F1434"/>
      <c r="G1434"/>
      <c r="H1434"/>
    </row>
    <row r="1435" spans="5:8">
      <c r="E1435"/>
      <c r="F1435"/>
      <c r="G1435"/>
      <c r="H1435"/>
    </row>
    <row r="1436" spans="5:8">
      <c r="E1436"/>
      <c r="F1436"/>
      <c r="G1436"/>
      <c r="H1436"/>
    </row>
    <row r="1437" spans="5:8">
      <c r="E1437"/>
      <c r="F1437"/>
      <c r="G1437"/>
      <c r="H1437"/>
    </row>
    <row r="1438" spans="5:8">
      <c r="E1438"/>
      <c r="F1438"/>
      <c r="G1438"/>
      <c r="H1438"/>
    </row>
    <row r="1439" spans="5:8">
      <c r="E1439"/>
      <c r="F1439"/>
      <c r="G1439"/>
      <c r="H1439"/>
    </row>
    <row r="1440" spans="5:8">
      <c r="E1440"/>
      <c r="F1440"/>
      <c r="G1440"/>
      <c r="H1440"/>
    </row>
    <row r="1441" spans="5:8">
      <c r="E1441"/>
      <c r="F1441"/>
      <c r="G1441"/>
      <c r="H1441"/>
    </row>
    <row r="1442" spans="5:8">
      <c r="E1442"/>
      <c r="F1442"/>
      <c r="G1442"/>
      <c r="H1442"/>
    </row>
    <row r="1443" spans="5:8">
      <c r="E1443"/>
      <c r="F1443"/>
      <c r="G1443"/>
      <c r="H1443"/>
    </row>
    <row r="1444" spans="5:8">
      <c r="E1444"/>
      <c r="F1444"/>
      <c r="G1444"/>
      <c r="H1444"/>
    </row>
    <row r="1445" spans="5:8">
      <c r="E1445"/>
      <c r="F1445"/>
      <c r="G1445"/>
      <c r="H1445"/>
    </row>
    <row r="1446" spans="5:8">
      <c r="E1446"/>
      <c r="F1446"/>
      <c r="G1446"/>
      <c r="H1446"/>
    </row>
    <row r="1447" spans="5:8">
      <c r="E1447"/>
      <c r="F1447"/>
      <c r="G1447"/>
      <c r="H1447"/>
    </row>
    <row r="1448" spans="5:8">
      <c r="E1448"/>
      <c r="F1448"/>
      <c r="G1448"/>
      <c r="H1448"/>
    </row>
    <row r="1449" spans="5:8">
      <c r="E1449"/>
      <c r="F1449"/>
      <c r="G1449"/>
      <c r="H1449"/>
    </row>
    <row r="1450" spans="5:8">
      <c r="E1450"/>
      <c r="F1450"/>
      <c r="G1450"/>
      <c r="H1450"/>
    </row>
    <row r="1451" spans="5:8">
      <c r="E1451"/>
      <c r="F1451"/>
      <c r="G1451"/>
      <c r="H1451"/>
    </row>
    <row r="1452" spans="5:8">
      <c r="E1452"/>
      <c r="F1452"/>
      <c r="G1452"/>
      <c r="H1452"/>
    </row>
    <row r="1453" spans="5:8">
      <c r="E1453"/>
      <c r="F1453"/>
      <c r="G1453"/>
      <c r="H1453"/>
    </row>
    <row r="1454" spans="5:8">
      <c r="E1454"/>
      <c r="F1454"/>
      <c r="G1454"/>
      <c r="H1454"/>
    </row>
    <row r="1455" spans="5:8">
      <c r="E1455"/>
      <c r="F1455"/>
      <c r="G1455"/>
      <c r="H1455"/>
    </row>
    <row r="1456" spans="5:8">
      <c r="E1456"/>
      <c r="F1456"/>
      <c r="G1456"/>
      <c r="H1456"/>
    </row>
    <row r="1457" spans="5:8">
      <c r="E1457"/>
      <c r="F1457"/>
      <c r="G1457"/>
      <c r="H1457"/>
    </row>
    <row r="1458" spans="5:8">
      <c r="E1458"/>
      <c r="F1458"/>
      <c r="G1458"/>
      <c r="H1458"/>
    </row>
    <row r="1459" spans="5:8">
      <c r="E1459"/>
      <c r="F1459"/>
      <c r="G1459"/>
      <c r="H1459"/>
    </row>
    <row r="1460" spans="5:8">
      <c r="E1460"/>
      <c r="F1460"/>
      <c r="G1460"/>
      <c r="H1460"/>
    </row>
    <row r="1461" spans="5:8">
      <c r="E1461"/>
      <c r="F1461"/>
      <c r="G1461"/>
      <c r="H1461"/>
    </row>
    <row r="1462" spans="5:8">
      <c r="E1462"/>
      <c r="F1462"/>
      <c r="G1462"/>
      <c r="H1462"/>
    </row>
    <row r="1463" spans="5:8">
      <c r="E1463"/>
      <c r="F1463"/>
      <c r="G1463"/>
      <c r="H1463"/>
    </row>
    <row r="1464" spans="5:8">
      <c r="E1464"/>
      <c r="F1464"/>
      <c r="G1464"/>
      <c r="H1464"/>
    </row>
    <row r="1465" spans="5:8">
      <c r="E1465"/>
      <c r="F1465"/>
      <c r="G1465"/>
      <c r="H1465"/>
    </row>
    <row r="1466" spans="5:8">
      <c r="E1466"/>
      <c r="F1466"/>
      <c r="G1466"/>
      <c r="H1466"/>
    </row>
    <row r="1467" spans="5:8">
      <c r="E1467"/>
      <c r="F1467"/>
      <c r="G1467"/>
      <c r="H1467"/>
    </row>
    <row r="1468" spans="5:8">
      <c r="E1468"/>
      <c r="F1468"/>
      <c r="G1468"/>
      <c r="H1468"/>
    </row>
    <row r="1469" spans="5:8">
      <c r="E1469"/>
      <c r="F1469"/>
      <c r="G1469"/>
      <c r="H1469"/>
    </row>
    <row r="1470" spans="5:8">
      <c r="E1470"/>
      <c r="F1470"/>
      <c r="G1470"/>
      <c r="H1470"/>
    </row>
    <row r="1471" spans="5:8">
      <c r="E1471"/>
      <c r="F1471"/>
      <c r="G1471"/>
      <c r="H1471"/>
    </row>
    <row r="1472" spans="5:8">
      <c r="E1472"/>
      <c r="F1472"/>
      <c r="G1472"/>
      <c r="H1472"/>
    </row>
    <row r="1473" spans="5:8">
      <c r="E1473"/>
      <c r="F1473"/>
      <c r="G1473"/>
      <c r="H1473"/>
    </row>
    <row r="1474" spans="5:8">
      <c r="E1474"/>
      <c r="F1474"/>
      <c r="G1474"/>
      <c r="H1474"/>
    </row>
    <row r="1475" spans="5:8">
      <c r="E1475"/>
      <c r="F1475"/>
      <c r="G1475"/>
      <c r="H1475"/>
    </row>
    <row r="1476" spans="5:8">
      <c r="E1476"/>
      <c r="F1476"/>
      <c r="G1476"/>
      <c r="H1476"/>
    </row>
    <row r="1477" spans="5:8">
      <c r="E1477"/>
      <c r="F1477"/>
      <c r="G1477"/>
      <c r="H1477"/>
    </row>
    <row r="1478" spans="5:8">
      <c r="E1478"/>
      <c r="F1478"/>
      <c r="G1478"/>
      <c r="H1478"/>
    </row>
    <row r="1479" spans="5:8">
      <c r="E1479"/>
      <c r="F1479"/>
      <c r="G1479"/>
      <c r="H1479"/>
    </row>
    <row r="1480" spans="5:8">
      <c r="E1480"/>
      <c r="F1480"/>
      <c r="G1480"/>
      <c r="H1480"/>
    </row>
    <row r="1481" spans="5:8">
      <c r="E1481"/>
      <c r="F1481"/>
      <c r="G1481"/>
      <c r="H1481"/>
    </row>
    <row r="1482" spans="5:8">
      <c r="E1482"/>
      <c r="F1482"/>
      <c r="G1482"/>
      <c r="H1482"/>
    </row>
    <row r="1483" spans="5:8">
      <c r="E1483"/>
      <c r="F1483"/>
      <c r="G1483"/>
      <c r="H1483"/>
    </row>
    <row r="1484" spans="5:8">
      <c r="E1484"/>
      <c r="F1484"/>
      <c r="G1484"/>
      <c r="H1484"/>
    </row>
    <row r="1485" spans="5:8">
      <c r="E1485"/>
      <c r="F1485"/>
      <c r="G1485"/>
      <c r="H1485"/>
    </row>
    <row r="1486" spans="5:8">
      <c r="E1486"/>
      <c r="F1486"/>
      <c r="G1486"/>
      <c r="H1486"/>
    </row>
    <row r="1487" spans="5:8">
      <c r="E1487"/>
      <c r="F1487"/>
      <c r="G1487"/>
      <c r="H1487"/>
    </row>
    <row r="1488" spans="5:8">
      <c r="E1488"/>
      <c r="F1488"/>
      <c r="G1488"/>
      <c r="H1488"/>
    </row>
    <row r="1489" spans="5:8">
      <c r="E1489"/>
      <c r="F1489"/>
      <c r="G1489"/>
      <c r="H1489"/>
    </row>
    <row r="1490" spans="5:8">
      <c r="E1490"/>
      <c r="F1490"/>
      <c r="G1490"/>
      <c r="H1490"/>
    </row>
    <row r="1491" spans="5:8">
      <c r="E1491"/>
      <c r="F1491"/>
      <c r="G1491"/>
      <c r="H1491"/>
    </row>
    <row r="1492" spans="5:8">
      <c r="E1492"/>
      <c r="F1492"/>
      <c r="G1492"/>
      <c r="H1492"/>
    </row>
    <row r="1493" spans="5:8">
      <c r="E1493"/>
      <c r="F1493"/>
      <c r="G1493"/>
      <c r="H1493"/>
    </row>
    <row r="1494" spans="5:8">
      <c r="E1494"/>
      <c r="F1494"/>
      <c r="G1494"/>
      <c r="H1494"/>
    </row>
    <row r="1495" spans="5:8">
      <c r="E1495"/>
      <c r="F1495"/>
      <c r="G1495"/>
      <c r="H1495"/>
    </row>
    <row r="1496" spans="5:8">
      <c r="E1496"/>
      <c r="F1496"/>
      <c r="G1496"/>
      <c r="H1496"/>
    </row>
    <row r="1497" spans="5:8">
      <c r="E1497"/>
      <c r="F1497"/>
      <c r="G1497"/>
      <c r="H1497"/>
    </row>
    <row r="1498" spans="5:8">
      <c r="E1498"/>
      <c r="F1498"/>
      <c r="G1498"/>
      <c r="H1498"/>
    </row>
    <row r="1499" spans="5:8">
      <c r="E1499"/>
      <c r="F1499"/>
      <c r="G1499"/>
      <c r="H1499"/>
    </row>
    <row r="1500" spans="5:8">
      <c r="E1500"/>
      <c r="F1500"/>
      <c r="G1500"/>
      <c r="H1500"/>
    </row>
    <row r="1501" spans="5:8">
      <c r="E1501"/>
      <c r="F1501"/>
      <c r="G1501"/>
      <c r="H1501"/>
    </row>
    <row r="1502" spans="5:8">
      <c r="E1502"/>
      <c r="F1502"/>
      <c r="G1502"/>
      <c r="H1502"/>
    </row>
    <row r="1503" spans="5:8">
      <c r="E1503"/>
      <c r="F1503"/>
      <c r="G1503"/>
      <c r="H1503"/>
    </row>
    <row r="1504" spans="5:8">
      <c r="E1504"/>
      <c r="F1504"/>
      <c r="G1504"/>
      <c r="H1504"/>
    </row>
    <row r="1505" spans="5:8">
      <c r="E1505"/>
      <c r="F1505"/>
      <c r="G1505"/>
      <c r="H1505"/>
    </row>
    <row r="1506" spans="5:8">
      <c r="E1506"/>
      <c r="F1506"/>
      <c r="G1506"/>
      <c r="H1506"/>
    </row>
    <row r="1507" spans="5:8">
      <c r="E1507"/>
      <c r="F1507"/>
      <c r="G1507"/>
      <c r="H1507"/>
    </row>
    <row r="1508" spans="5:8">
      <c r="E1508"/>
      <c r="F1508"/>
      <c r="G1508"/>
      <c r="H1508"/>
    </row>
    <row r="1509" spans="5:8">
      <c r="E1509"/>
      <c r="F1509"/>
      <c r="G1509"/>
      <c r="H1509"/>
    </row>
    <row r="1510" spans="5:8">
      <c r="E1510"/>
      <c r="F1510"/>
      <c r="G1510"/>
      <c r="H1510"/>
    </row>
    <row r="1511" spans="5:8">
      <c r="E1511"/>
      <c r="F1511"/>
      <c r="G1511"/>
      <c r="H1511"/>
    </row>
    <row r="1512" spans="5:8">
      <c r="E1512"/>
      <c r="F1512"/>
      <c r="G1512"/>
      <c r="H1512"/>
    </row>
    <row r="1513" spans="5:8">
      <c r="E1513"/>
      <c r="F1513"/>
      <c r="G1513"/>
      <c r="H1513"/>
    </row>
    <row r="1514" spans="5:8">
      <c r="E1514"/>
      <c r="F1514"/>
      <c r="G1514"/>
      <c r="H1514"/>
    </row>
    <row r="1515" spans="5:8">
      <c r="E1515"/>
      <c r="F1515"/>
      <c r="G1515"/>
      <c r="H1515"/>
    </row>
    <row r="1516" spans="5:8">
      <c r="E1516"/>
      <c r="F1516"/>
      <c r="G1516"/>
      <c r="H1516"/>
    </row>
    <row r="1517" spans="5:8">
      <c r="E1517"/>
      <c r="F1517"/>
      <c r="G1517"/>
      <c r="H1517"/>
    </row>
    <row r="1518" spans="5:8">
      <c r="E1518"/>
      <c r="F1518"/>
      <c r="G1518"/>
      <c r="H1518"/>
    </row>
    <row r="1519" spans="5:8">
      <c r="E1519"/>
      <c r="F1519"/>
      <c r="G1519"/>
      <c r="H1519"/>
    </row>
    <row r="1520" spans="5:8">
      <c r="E1520"/>
      <c r="F1520"/>
      <c r="G1520"/>
      <c r="H1520"/>
    </row>
    <row r="1521" spans="5:8">
      <c r="E1521"/>
      <c r="F1521"/>
      <c r="G1521"/>
      <c r="H1521"/>
    </row>
    <row r="1522" spans="5:8">
      <c r="E1522"/>
      <c r="F1522"/>
      <c r="G1522"/>
      <c r="H1522"/>
    </row>
    <row r="1523" spans="5:8">
      <c r="E1523"/>
      <c r="F1523"/>
      <c r="G1523"/>
      <c r="H1523"/>
    </row>
    <row r="1524" spans="5:8">
      <c r="E1524"/>
      <c r="F1524"/>
      <c r="G1524"/>
      <c r="H1524"/>
    </row>
    <row r="1525" spans="5:8">
      <c r="E1525"/>
      <c r="F1525"/>
      <c r="G1525"/>
      <c r="H1525"/>
    </row>
    <row r="1526" spans="5:8">
      <c r="E1526"/>
      <c r="F1526"/>
      <c r="G1526"/>
      <c r="H1526"/>
    </row>
    <row r="1527" spans="5:8">
      <c r="E1527"/>
      <c r="F1527"/>
      <c r="G1527"/>
      <c r="H1527"/>
    </row>
    <row r="1528" spans="5:8">
      <c r="E1528"/>
      <c r="F1528"/>
      <c r="G1528"/>
      <c r="H1528"/>
    </row>
    <row r="1529" spans="5:8">
      <c r="E1529"/>
      <c r="F1529"/>
      <c r="G1529"/>
      <c r="H1529"/>
    </row>
    <row r="1530" spans="5:8">
      <c r="E1530"/>
      <c r="F1530"/>
      <c r="G1530"/>
      <c r="H1530"/>
    </row>
    <row r="1531" spans="5:8">
      <c r="E1531"/>
      <c r="F1531"/>
      <c r="G1531"/>
      <c r="H1531"/>
    </row>
    <row r="1532" spans="5:8">
      <c r="E1532"/>
      <c r="F1532"/>
      <c r="G1532"/>
      <c r="H1532"/>
    </row>
    <row r="1533" spans="5:8">
      <c r="E1533"/>
      <c r="F1533"/>
      <c r="G1533"/>
      <c r="H1533"/>
    </row>
    <row r="1534" spans="5:8">
      <c r="E1534"/>
      <c r="F1534"/>
      <c r="G1534"/>
      <c r="H1534"/>
    </row>
    <row r="1535" spans="5:8">
      <c r="E1535"/>
      <c r="F1535"/>
      <c r="G1535"/>
      <c r="H1535"/>
    </row>
    <row r="1536" spans="5:8">
      <c r="E1536"/>
      <c r="F1536"/>
      <c r="G1536"/>
      <c r="H1536"/>
    </row>
    <row r="1537" spans="5:8">
      <c r="E1537"/>
      <c r="F1537"/>
      <c r="G1537"/>
      <c r="H1537"/>
    </row>
    <row r="1538" spans="5:8">
      <c r="E1538"/>
      <c r="F1538"/>
      <c r="G1538"/>
      <c r="H1538"/>
    </row>
    <row r="1539" spans="5:8">
      <c r="E1539"/>
      <c r="F1539"/>
      <c r="G1539"/>
      <c r="H1539"/>
    </row>
    <row r="1540" spans="5:8">
      <c r="E1540"/>
      <c r="F1540"/>
      <c r="G1540"/>
      <c r="H1540"/>
    </row>
    <row r="1541" spans="5:8">
      <c r="E1541"/>
      <c r="F1541"/>
      <c r="G1541"/>
      <c r="H1541"/>
    </row>
    <row r="1542" spans="5:8">
      <c r="E1542"/>
      <c r="F1542"/>
      <c r="G1542"/>
      <c r="H1542"/>
    </row>
    <row r="1543" spans="5:8">
      <c r="E1543"/>
      <c r="F1543"/>
      <c r="G1543"/>
      <c r="H1543"/>
    </row>
    <row r="1544" spans="5:8">
      <c r="E1544"/>
      <c r="F1544"/>
      <c r="G1544"/>
      <c r="H1544"/>
    </row>
    <row r="1545" spans="5:8">
      <c r="E1545"/>
      <c r="F1545"/>
      <c r="G1545"/>
      <c r="H1545"/>
    </row>
    <row r="1546" spans="5:8">
      <c r="E1546"/>
      <c r="F1546"/>
      <c r="G1546"/>
      <c r="H1546"/>
    </row>
    <row r="1547" spans="5:8">
      <c r="E1547"/>
      <c r="F1547"/>
      <c r="G1547"/>
      <c r="H1547"/>
    </row>
    <row r="1548" spans="5:8">
      <c r="E1548"/>
      <c r="F1548"/>
      <c r="G1548"/>
      <c r="H1548"/>
    </row>
    <row r="1549" spans="5:8">
      <c r="E1549"/>
      <c r="F1549"/>
      <c r="G1549"/>
      <c r="H1549"/>
    </row>
    <row r="1550" spans="5:8">
      <c r="E1550"/>
      <c r="F1550"/>
      <c r="G1550"/>
      <c r="H1550"/>
    </row>
    <row r="1551" spans="5:8">
      <c r="E1551"/>
      <c r="F1551"/>
      <c r="G1551"/>
      <c r="H1551"/>
    </row>
    <row r="1552" spans="5:8">
      <c r="E1552"/>
      <c r="F1552"/>
      <c r="G1552"/>
      <c r="H1552"/>
    </row>
    <row r="1553" spans="5:8">
      <c r="E1553"/>
      <c r="F1553"/>
      <c r="G1553"/>
      <c r="H1553"/>
    </row>
    <row r="1554" spans="5:8">
      <c r="E1554"/>
      <c r="F1554"/>
      <c r="G1554"/>
      <c r="H1554"/>
    </row>
    <row r="1555" spans="5:8">
      <c r="E1555"/>
      <c r="F1555"/>
      <c r="G1555"/>
      <c r="H1555"/>
    </row>
    <row r="1556" spans="5:8">
      <c r="E1556"/>
      <c r="F1556"/>
      <c r="G1556"/>
      <c r="H1556"/>
    </row>
    <row r="1557" spans="5:8">
      <c r="E1557"/>
      <c r="F1557"/>
      <c r="G1557"/>
      <c r="H1557"/>
    </row>
    <row r="1558" spans="5:8">
      <c r="E1558"/>
      <c r="F1558"/>
      <c r="G1558"/>
      <c r="H1558"/>
    </row>
    <row r="1559" spans="5:8">
      <c r="E1559"/>
      <c r="F1559"/>
      <c r="G1559"/>
      <c r="H1559"/>
    </row>
    <row r="1560" spans="5:8">
      <c r="E1560"/>
      <c r="F1560"/>
      <c r="G1560"/>
      <c r="H1560"/>
    </row>
    <row r="1561" spans="5:8">
      <c r="E1561"/>
      <c r="F1561"/>
      <c r="G1561"/>
      <c r="H1561"/>
    </row>
    <row r="1562" spans="5:8">
      <c r="E1562"/>
      <c r="F1562"/>
      <c r="G1562"/>
      <c r="H1562"/>
    </row>
    <row r="1563" spans="5:8">
      <c r="E1563"/>
      <c r="F1563"/>
      <c r="G1563"/>
      <c r="H1563"/>
    </row>
    <row r="1564" spans="5:8">
      <c r="E1564"/>
      <c r="F1564"/>
      <c r="G1564"/>
      <c r="H1564"/>
    </row>
    <row r="1565" spans="5:8">
      <c r="E1565"/>
      <c r="F1565"/>
      <c r="G1565"/>
      <c r="H1565"/>
    </row>
    <row r="1566" spans="5:8">
      <c r="E1566"/>
      <c r="F1566"/>
      <c r="G1566"/>
      <c r="H1566"/>
    </row>
    <row r="1567" spans="5:8">
      <c r="E1567"/>
      <c r="F1567"/>
      <c r="G1567"/>
      <c r="H1567"/>
    </row>
    <row r="1568" spans="5:8">
      <c r="E1568"/>
      <c r="F1568"/>
      <c r="G1568"/>
      <c r="H1568"/>
    </row>
    <row r="1569" spans="5:8">
      <c r="E1569"/>
      <c r="F1569"/>
      <c r="G1569"/>
      <c r="H1569"/>
    </row>
    <row r="1570" spans="5:8">
      <c r="E1570"/>
      <c r="F1570"/>
      <c r="G1570"/>
      <c r="H1570"/>
    </row>
    <row r="1571" spans="5:8">
      <c r="E1571"/>
      <c r="F1571"/>
      <c r="G1571"/>
      <c r="H1571"/>
    </row>
    <row r="1572" spans="5:8">
      <c r="E1572"/>
      <c r="F1572"/>
      <c r="G1572"/>
      <c r="H1572"/>
    </row>
    <row r="1573" spans="5:8">
      <c r="E1573"/>
      <c r="F1573"/>
      <c r="G1573"/>
      <c r="H1573"/>
    </row>
    <row r="1574" spans="5:8">
      <c r="E1574"/>
      <c r="F1574"/>
      <c r="G1574"/>
      <c r="H1574"/>
    </row>
    <row r="1575" spans="5:8">
      <c r="E1575"/>
      <c r="F1575"/>
      <c r="G1575"/>
      <c r="H1575"/>
    </row>
    <row r="1576" spans="5:8">
      <c r="E1576"/>
      <c r="F1576"/>
      <c r="G1576"/>
      <c r="H1576"/>
    </row>
    <row r="1577" spans="5:8">
      <c r="E1577"/>
      <c r="F1577"/>
      <c r="G1577"/>
      <c r="H1577"/>
    </row>
    <row r="1578" spans="5:8">
      <c r="E1578"/>
      <c r="F1578"/>
      <c r="G1578"/>
      <c r="H1578"/>
    </row>
    <row r="1579" spans="5:8">
      <c r="E1579"/>
      <c r="F1579"/>
      <c r="G1579"/>
      <c r="H1579"/>
    </row>
    <row r="1580" spans="5:8">
      <c r="E1580"/>
      <c r="F1580"/>
      <c r="G1580"/>
      <c r="H1580"/>
    </row>
    <row r="1581" spans="5:8">
      <c r="E1581"/>
      <c r="F1581"/>
      <c r="G1581"/>
      <c r="H1581"/>
    </row>
    <row r="1582" spans="5:8">
      <c r="E1582"/>
      <c r="F1582"/>
      <c r="G1582"/>
      <c r="H1582"/>
    </row>
    <row r="1583" spans="5:8">
      <c r="E1583"/>
      <c r="F1583"/>
      <c r="G1583"/>
      <c r="H1583"/>
    </row>
    <row r="1584" spans="5:8">
      <c r="E1584"/>
      <c r="F1584"/>
      <c r="G1584"/>
      <c r="H1584"/>
    </row>
    <row r="1585" spans="5:8">
      <c r="E1585"/>
      <c r="F1585"/>
      <c r="G1585"/>
      <c r="H1585"/>
    </row>
    <row r="1586" spans="5:8">
      <c r="E1586"/>
      <c r="F1586"/>
      <c r="G1586"/>
      <c r="H1586"/>
    </row>
    <row r="1587" spans="5:8">
      <c r="E1587"/>
      <c r="F1587"/>
      <c r="G1587"/>
      <c r="H1587"/>
    </row>
    <row r="1588" spans="5:8">
      <c r="E1588"/>
      <c r="F1588"/>
      <c r="G1588"/>
      <c r="H1588"/>
    </row>
    <row r="1589" spans="5:8">
      <c r="E1589"/>
      <c r="F1589"/>
      <c r="G1589"/>
      <c r="H1589"/>
    </row>
    <row r="1590" spans="5:8">
      <c r="E1590"/>
      <c r="F1590"/>
      <c r="G1590"/>
      <c r="H1590"/>
    </row>
    <row r="1591" spans="5:8">
      <c r="E1591"/>
      <c r="F1591"/>
      <c r="G1591"/>
      <c r="H1591"/>
    </row>
    <row r="1592" spans="5:8">
      <c r="E1592"/>
      <c r="F1592"/>
      <c r="G1592"/>
      <c r="H1592"/>
    </row>
    <row r="1593" spans="5:8">
      <c r="E1593"/>
      <c r="F1593"/>
      <c r="G1593"/>
      <c r="H1593"/>
    </row>
    <row r="1594" spans="5:8">
      <c r="E1594"/>
      <c r="F1594"/>
      <c r="G1594"/>
      <c r="H1594"/>
    </row>
    <row r="1595" spans="5:8">
      <c r="E1595"/>
      <c r="F1595"/>
      <c r="G1595"/>
      <c r="H1595"/>
    </row>
    <row r="1596" spans="5:8">
      <c r="E1596"/>
      <c r="F1596"/>
      <c r="G1596"/>
      <c r="H1596"/>
    </row>
    <row r="1597" spans="5:8">
      <c r="E1597"/>
      <c r="F1597"/>
      <c r="G1597"/>
      <c r="H1597"/>
    </row>
    <row r="1598" spans="5:8">
      <c r="E1598"/>
      <c r="F1598"/>
      <c r="G1598"/>
      <c r="H1598"/>
    </row>
    <row r="1599" spans="5:8">
      <c r="E1599"/>
      <c r="F1599"/>
      <c r="G1599"/>
      <c r="H1599"/>
    </row>
    <row r="1600" spans="5:8">
      <c r="E1600"/>
      <c r="F1600"/>
      <c r="G1600"/>
      <c r="H1600"/>
    </row>
    <row r="1601" spans="5:8">
      <c r="E1601"/>
      <c r="F1601"/>
      <c r="G1601"/>
      <c r="H1601"/>
    </row>
    <row r="1602" spans="5:8">
      <c r="E1602"/>
      <c r="F1602"/>
      <c r="G1602"/>
      <c r="H1602"/>
    </row>
    <row r="1603" spans="5:8">
      <c r="E1603"/>
      <c r="F1603"/>
      <c r="G1603"/>
      <c r="H1603"/>
    </row>
    <row r="1604" spans="5:8">
      <c r="E1604"/>
      <c r="F1604"/>
      <c r="G1604"/>
      <c r="H1604"/>
    </row>
    <row r="1605" spans="5:8">
      <c r="E1605"/>
      <c r="F1605"/>
      <c r="G1605"/>
      <c r="H1605"/>
    </row>
    <row r="1606" spans="5:8">
      <c r="E1606"/>
      <c r="F1606"/>
      <c r="G1606"/>
      <c r="H1606"/>
    </row>
    <row r="1607" spans="5:8">
      <c r="E1607"/>
      <c r="F1607"/>
      <c r="G1607"/>
      <c r="H1607"/>
    </row>
    <row r="1608" spans="5:8">
      <c r="E1608"/>
      <c r="F1608"/>
      <c r="G1608"/>
      <c r="H1608"/>
    </row>
    <row r="1609" spans="5:8">
      <c r="E1609"/>
      <c r="F1609"/>
      <c r="G1609"/>
      <c r="H1609"/>
    </row>
    <row r="1610" spans="5:8">
      <c r="E1610"/>
      <c r="F1610"/>
      <c r="G1610"/>
      <c r="H1610"/>
    </row>
    <row r="1611" spans="5:8">
      <c r="E1611"/>
      <c r="F1611"/>
      <c r="G1611"/>
      <c r="H1611"/>
    </row>
    <row r="1612" spans="5:8">
      <c r="E1612"/>
      <c r="F1612"/>
      <c r="G1612"/>
      <c r="H1612"/>
    </row>
    <row r="1613" spans="5:8">
      <c r="E1613"/>
      <c r="F1613"/>
      <c r="G1613"/>
      <c r="H1613"/>
    </row>
    <row r="1614" spans="5:8">
      <c r="E1614"/>
      <c r="F1614"/>
      <c r="G1614"/>
      <c r="H1614"/>
    </row>
    <row r="1615" spans="5:8">
      <c r="E1615"/>
      <c r="F1615"/>
      <c r="G1615"/>
      <c r="H1615"/>
    </row>
    <row r="1616" spans="5:8">
      <c r="E1616"/>
      <c r="F1616"/>
      <c r="G1616"/>
      <c r="H1616"/>
    </row>
    <row r="1617" spans="5:8">
      <c r="E1617"/>
      <c r="F1617"/>
      <c r="G1617"/>
      <c r="H1617"/>
    </row>
    <row r="1618" spans="5:8">
      <c r="E1618"/>
      <c r="F1618"/>
      <c r="G1618"/>
      <c r="H1618"/>
    </row>
    <row r="1619" spans="5:8">
      <c r="E1619"/>
      <c r="F1619"/>
      <c r="G1619"/>
      <c r="H1619"/>
    </row>
    <row r="1620" spans="5:8">
      <c r="E1620"/>
      <c r="F1620"/>
      <c r="G1620"/>
      <c r="H1620"/>
    </row>
    <row r="1621" spans="5:8">
      <c r="E1621"/>
      <c r="F1621"/>
      <c r="G1621"/>
      <c r="H1621"/>
    </row>
    <row r="1622" spans="5:8">
      <c r="E1622"/>
      <c r="F1622"/>
      <c r="G1622"/>
      <c r="H1622"/>
    </row>
    <row r="1623" spans="5:8">
      <c r="E1623"/>
      <c r="F1623"/>
      <c r="G1623"/>
      <c r="H1623"/>
    </row>
    <row r="1624" spans="5:8">
      <c r="E1624"/>
      <c r="F1624"/>
      <c r="G1624"/>
      <c r="H1624"/>
    </row>
    <row r="1625" spans="5:8">
      <c r="E1625"/>
      <c r="F1625"/>
      <c r="G1625"/>
      <c r="H1625"/>
    </row>
    <row r="1626" spans="5:8">
      <c r="E1626"/>
      <c r="F1626"/>
      <c r="G1626"/>
      <c r="H1626"/>
    </row>
    <row r="1627" spans="5:8">
      <c r="E1627"/>
      <c r="F1627"/>
      <c r="G1627"/>
      <c r="H1627"/>
    </row>
    <row r="1628" spans="5:8">
      <c r="E1628"/>
      <c r="F1628"/>
      <c r="G1628"/>
      <c r="H1628"/>
    </row>
    <row r="1629" spans="5:8">
      <c r="E1629"/>
      <c r="F1629"/>
      <c r="G1629"/>
      <c r="H1629"/>
    </row>
    <row r="1630" spans="5:8">
      <c r="E1630"/>
      <c r="F1630"/>
      <c r="G1630"/>
      <c r="H1630"/>
    </row>
    <row r="1631" spans="5:8">
      <c r="E1631"/>
      <c r="F1631"/>
      <c r="G1631"/>
      <c r="H1631"/>
    </row>
    <row r="1632" spans="5:8">
      <c r="E1632"/>
      <c r="F1632"/>
      <c r="G1632"/>
      <c r="H1632"/>
    </row>
    <row r="1633" spans="5:8">
      <c r="E1633"/>
      <c r="F1633"/>
      <c r="G1633"/>
      <c r="H1633"/>
    </row>
    <row r="1634" spans="5:8">
      <c r="E1634"/>
      <c r="F1634"/>
      <c r="G1634"/>
      <c r="H1634"/>
    </row>
    <row r="1635" spans="5:8">
      <c r="E1635"/>
      <c r="F1635"/>
      <c r="G1635"/>
      <c r="H1635"/>
    </row>
    <row r="1636" spans="5:8">
      <c r="E1636"/>
      <c r="F1636"/>
      <c r="G1636"/>
      <c r="H1636"/>
    </row>
    <row r="1637" spans="5:8">
      <c r="E1637"/>
      <c r="F1637"/>
      <c r="G1637"/>
      <c r="H1637"/>
    </row>
    <row r="1638" spans="5:8">
      <c r="E1638"/>
      <c r="F1638"/>
      <c r="G1638"/>
      <c r="H1638"/>
    </row>
    <row r="1639" spans="5:8">
      <c r="E1639"/>
      <c r="F1639"/>
      <c r="G1639"/>
      <c r="H1639"/>
    </row>
    <row r="1640" spans="5:8">
      <c r="E1640"/>
      <c r="F1640"/>
      <c r="G1640"/>
      <c r="H1640"/>
    </row>
    <row r="1641" spans="5:8">
      <c r="E1641"/>
      <c r="F1641"/>
      <c r="G1641"/>
      <c r="H1641"/>
    </row>
    <row r="1642" spans="5:8">
      <c r="E1642"/>
      <c r="F1642"/>
      <c r="G1642"/>
      <c r="H1642"/>
    </row>
    <row r="1643" spans="5:8">
      <c r="E1643"/>
      <c r="F1643"/>
      <c r="G1643"/>
      <c r="H1643"/>
    </row>
    <row r="1644" spans="5:8">
      <c r="E1644"/>
      <c r="F1644"/>
      <c r="G1644"/>
      <c r="H1644"/>
    </row>
    <row r="1645" spans="5:8">
      <c r="E1645"/>
      <c r="F1645"/>
      <c r="G1645"/>
      <c r="H1645"/>
    </row>
    <row r="1646" spans="5:8">
      <c r="E1646"/>
      <c r="F1646"/>
      <c r="G1646"/>
      <c r="H1646"/>
    </row>
    <row r="1647" spans="5:8">
      <c r="E1647"/>
      <c r="F1647"/>
      <c r="G1647"/>
      <c r="H1647"/>
    </row>
    <row r="1648" spans="5:8">
      <c r="E1648"/>
      <c r="F1648"/>
      <c r="G1648"/>
      <c r="H1648"/>
    </row>
    <row r="1649" spans="5:8">
      <c r="E1649"/>
      <c r="F1649"/>
      <c r="G1649"/>
      <c r="H1649"/>
    </row>
    <row r="1650" spans="5:8">
      <c r="E1650"/>
      <c r="F1650"/>
      <c r="G1650"/>
      <c r="H1650"/>
    </row>
    <row r="1651" spans="5:8">
      <c r="E1651"/>
      <c r="F1651"/>
      <c r="G1651"/>
      <c r="H1651"/>
    </row>
    <row r="1652" spans="5:8">
      <c r="E1652"/>
      <c r="F1652"/>
      <c r="G1652"/>
      <c r="H1652"/>
    </row>
    <row r="1653" spans="5:8">
      <c r="E1653"/>
      <c r="F1653"/>
      <c r="G1653"/>
      <c r="H1653"/>
    </row>
    <row r="1654" spans="5:8">
      <c r="E1654"/>
      <c r="F1654"/>
      <c r="G1654"/>
      <c r="H1654"/>
    </row>
    <row r="1655" spans="5:8">
      <c r="E1655"/>
      <c r="F1655"/>
      <c r="G1655"/>
      <c r="H1655"/>
    </row>
    <row r="1656" spans="5:8">
      <c r="E1656"/>
      <c r="F1656"/>
      <c r="G1656"/>
      <c r="H1656"/>
    </row>
    <row r="1657" spans="5:8">
      <c r="E1657"/>
      <c r="F1657"/>
      <c r="G1657"/>
      <c r="H1657"/>
    </row>
    <row r="1658" spans="5:8">
      <c r="E1658"/>
      <c r="F1658"/>
      <c r="G1658"/>
      <c r="H1658"/>
    </row>
    <row r="1659" spans="5:8">
      <c r="E1659"/>
      <c r="F1659"/>
      <c r="G1659"/>
      <c r="H1659"/>
    </row>
    <row r="1660" spans="5:8">
      <c r="E1660"/>
      <c r="F1660"/>
      <c r="G1660"/>
      <c r="H1660"/>
    </row>
    <row r="1661" spans="5:8">
      <c r="E1661"/>
      <c r="F1661"/>
      <c r="G1661"/>
      <c r="H1661"/>
    </row>
    <row r="1662" spans="5:8">
      <c r="E1662"/>
      <c r="F1662"/>
      <c r="G1662"/>
      <c r="H1662"/>
    </row>
    <row r="1663" spans="5:8">
      <c r="E1663"/>
      <c r="F1663"/>
      <c r="G1663"/>
      <c r="H1663"/>
    </row>
    <row r="1664" spans="5:8">
      <c r="E1664"/>
      <c r="F1664"/>
      <c r="G1664"/>
      <c r="H1664"/>
    </row>
    <row r="1665" spans="5:8">
      <c r="E1665"/>
      <c r="F1665"/>
      <c r="G1665"/>
      <c r="H1665"/>
    </row>
    <row r="1666" spans="5:8">
      <c r="E1666"/>
      <c r="F1666"/>
      <c r="G1666"/>
      <c r="H1666"/>
    </row>
    <row r="1667" spans="5:8">
      <c r="E1667"/>
      <c r="F1667"/>
      <c r="G1667"/>
      <c r="H1667"/>
    </row>
    <row r="1668" spans="5:8">
      <c r="E1668"/>
      <c r="F1668"/>
      <c r="G1668"/>
      <c r="H1668"/>
    </row>
    <row r="1669" spans="5:8">
      <c r="E1669"/>
      <c r="F1669"/>
      <c r="G1669"/>
      <c r="H1669"/>
    </row>
    <row r="1670" spans="5:8">
      <c r="E1670"/>
      <c r="F1670"/>
      <c r="G1670"/>
      <c r="H1670"/>
    </row>
    <row r="1671" spans="5:8">
      <c r="E1671"/>
      <c r="F1671"/>
      <c r="G1671"/>
      <c r="H1671"/>
    </row>
    <row r="1672" spans="5:8">
      <c r="E1672"/>
      <c r="F1672"/>
      <c r="G1672"/>
      <c r="H1672"/>
    </row>
    <row r="1673" spans="5:8">
      <c r="E1673"/>
      <c r="F1673"/>
      <c r="G1673"/>
      <c r="H1673"/>
    </row>
    <row r="1674" spans="5:8">
      <c r="E1674"/>
      <c r="F1674"/>
      <c r="G1674"/>
      <c r="H1674"/>
    </row>
    <row r="1675" spans="5:8">
      <c r="E1675"/>
      <c r="F1675"/>
      <c r="G1675"/>
      <c r="H1675"/>
    </row>
    <row r="1676" spans="5:8">
      <c r="E1676"/>
      <c r="F1676"/>
      <c r="G1676"/>
      <c r="H1676"/>
    </row>
    <row r="1677" spans="5:8">
      <c r="E1677"/>
      <c r="F1677"/>
      <c r="G1677"/>
      <c r="H1677"/>
    </row>
    <row r="1678" spans="5:8">
      <c r="E1678"/>
      <c r="F1678"/>
      <c r="G1678"/>
      <c r="H1678"/>
    </row>
    <row r="1679" spans="5:8">
      <c r="E1679"/>
      <c r="F1679"/>
      <c r="G1679"/>
      <c r="H1679"/>
    </row>
    <row r="1680" spans="5:8">
      <c r="E1680"/>
      <c r="F1680"/>
      <c r="G1680"/>
      <c r="H1680"/>
    </row>
    <row r="1681" spans="5:8">
      <c r="E1681"/>
      <c r="F1681"/>
      <c r="G1681"/>
      <c r="H1681"/>
    </row>
    <row r="1682" spans="5:8">
      <c r="E1682"/>
      <c r="F1682"/>
      <c r="G1682"/>
      <c r="H1682"/>
    </row>
    <row r="1683" spans="5:8">
      <c r="E1683"/>
      <c r="F1683"/>
      <c r="G1683"/>
      <c r="H1683"/>
    </row>
    <row r="1684" spans="5:8">
      <c r="E1684"/>
      <c r="F1684"/>
      <c r="G1684"/>
      <c r="H1684"/>
    </row>
    <row r="1685" spans="5:8">
      <c r="E1685"/>
      <c r="F1685"/>
      <c r="G1685"/>
      <c r="H1685"/>
    </row>
    <row r="1686" spans="5:8">
      <c r="E1686"/>
      <c r="F1686"/>
      <c r="G1686"/>
      <c r="H1686"/>
    </row>
    <row r="1687" spans="5:8">
      <c r="E1687"/>
      <c r="F1687"/>
      <c r="G1687"/>
      <c r="H1687"/>
    </row>
    <row r="1688" spans="5:8">
      <c r="E1688"/>
      <c r="F1688"/>
      <c r="G1688"/>
      <c r="H1688"/>
    </row>
    <row r="1689" spans="5:8">
      <c r="E1689"/>
      <c r="F1689"/>
      <c r="G1689"/>
      <c r="H1689"/>
    </row>
    <row r="1690" spans="5:8">
      <c r="E1690"/>
      <c r="F1690"/>
      <c r="G1690"/>
      <c r="H1690"/>
    </row>
    <row r="1691" spans="5:8">
      <c r="E1691"/>
      <c r="F1691"/>
      <c r="G1691"/>
      <c r="H1691"/>
    </row>
    <row r="1692" spans="5:8">
      <c r="E1692"/>
      <c r="F1692"/>
      <c r="G1692"/>
      <c r="H1692"/>
    </row>
    <row r="1693" spans="5:8">
      <c r="E1693"/>
      <c r="F1693"/>
      <c r="G1693"/>
      <c r="H1693"/>
    </row>
    <row r="1694" spans="5:8">
      <c r="E1694"/>
      <c r="F1694"/>
      <c r="G1694"/>
      <c r="H1694"/>
    </row>
    <row r="1695" spans="5:8">
      <c r="E1695"/>
      <c r="F1695"/>
      <c r="G1695"/>
      <c r="H1695"/>
    </row>
    <row r="1696" spans="5:8">
      <c r="E1696"/>
      <c r="F1696"/>
      <c r="G1696"/>
      <c r="H1696"/>
    </row>
    <row r="1697" spans="5:8">
      <c r="E1697"/>
      <c r="F1697"/>
      <c r="G1697"/>
      <c r="H1697"/>
    </row>
    <row r="1698" spans="5:8">
      <c r="E1698"/>
      <c r="F1698"/>
      <c r="G1698"/>
      <c r="H1698"/>
    </row>
    <row r="1699" spans="5:8">
      <c r="E1699"/>
      <c r="F1699"/>
      <c r="G1699"/>
      <c r="H1699"/>
    </row>
    <row r="1700" spans="5:8">
      <c r="E1700"/>
      <c r="F1700"/>
      <c r="G1700"/>
      <c r="H1700"/>
    </row>
    <row r="1701" spans="5:8">
      <c r="E1701"/>
      <c r="F1701"/>
      <c r="G1701"/>
      <c r="H1701"/>
    </row>
    <row r="1702" spans="5:8">
      <c r="E1702"/>
      <c r="F1702"/>
      <c r="G1702"/>
      <c r="H1702"/>
    </row>
    <row r="1703" spans="5:8">
      <c r="E1703"/>
      <c r="F1703"/>
      <c r="G1703"/>
      <c r="H1703"/>
    </row>
    <row r="1704" spans="5:8">
      <c r="E1704"/>
      <c r="F1704"/>
      <c r="G1704"/>
      <c r="H1704"/>
    </row>
    <row r="1705" spans="5:8">
      <c r="E1705"/>
      <c r="F1705"/>
      <c r="G1705"/>
      <c r="H1705"/>
    </row>
    <row r="1706" spans="5:8">
      <c r="E1706"/>
      <c r="F1706"/>
      <c r="G1706"/>
      <c r="H1706"/>
    </row>
    <row r="1707" spans="5:8">
      <c r="E1707"/>
      <c r="F1707"/>
      <c r="G1707"/>
      <c r="H1707"/>
    </row>
    <row r="1708" spans="5:8">
      <c r="E1708"/>
      <c r="F1708"/>
      <c r="G1708"/>
      <c r="H1708"/>
    </row>
    <row r="1709" spans="5:8">
      <c r="E1709"/>
      <c r="F1709"/>
      <c r="G1709"/>
      <c r="H1709"/>
    </row>
    <row r="1710" spans="5:8">
      <c r="E1710"/>
      <c r="F1710"/>
      <c r="G1710"/>
      <c r="H1710"/>
    </row>
    <row r="1711" spans="5:8">
      <c r="E1711"/>
      <c r="F1711"/>
      <c r="G1711"/>
      <c r="H1711"/>
    </row>
    <row r="1712" spans="5:8">
      <c r="E1712"/>
      <c r="F1712"/>
      <c r="G1712"/>
      <c r="H1712"/>
    </row>
    <row r="1713" spans="5:8">
      <c r="E1713"/>
      <c r="F1713"/>
      <c r="G1713"/>
      <c r="H1713"/>
    </row>
    <row r="1714" spans="5:8">
      <c r="E1714"/>
      <c r="F1714"/>
      <c r="G1714"/>
      <c r="H1714"/>
    </row>
    <row r="1715" spans="5:8">
      <c r="E1715"/>
      <c r="F1715"/>
      <c r="G1715"/>
      <c r="H1715"/>
    </row>
    <row r="1716" spans="5:8">
      <c r="E1716"/>
      <c r="F1716"/>
      <c r="G1716"/>
      <c r="H1716"/>
    </row>
    <row r="1717" spans="5:8">
      <c r="E1717"/>
      <c r="F1717"/>
      <c r="G1717"/>
      <c r="H1717"/>
    </row>
    <row r="1718" spans="5:8">
      <c r="E1718"/>
      <c r="F1718"/>
      <c r="G1718"/>
      <c r="H1718"/>
    </row>
    <row r="1719" spans="5:8">
      <c r="E1719"/>
      <c r="F1719"/>
      <c r="G1719"/>
      <c r="H1719"/>
    </row>
    <row r="1720" spans="5:8">
      <c r="E1720"/>
      <c r="F1720"/>
      <c r="G1720"/>
      <c r="H1720"/>
    </row>
    <row r="1721" spans="5:8">
      <c r="E1721"/>
      <c r="F1721"/>
      <c r="G1721"/>
      <c r="H1721"/>
    </row>
    <row r="1722" spans="5:8">
      <c r="E1722"/>
      <c r="F1722"/>
      <c r="G1722"/>
      <c r="H1722"/>
    </row>
    <row r="1723" spans="5:8">
      <c r="E1723"/>
      <c r="F1723"/>
      <c r="G1723"/>
      <c r="H1723"/>
    </row>
    <row r="1724" spans="5:8">
      <c r="E1724"/>
      <c r="F1724"/>
      <c r="G1724"/>
      <c r="H1724"/>
    </row>
    <row r="1725" spans="5:8">
      <c r="E1725"/>
      <c r="F1725"/>
      <c r="G1725"/>
      <c r="H1725"/>
    </row>
    <row r="1726" spans="5:8">
      <c r="E1726"/>
      <c r="F1726"/>
      <c r="G1726"/>
      <c r="H1726"/>
    </row>
    <row r="1727" spans="5:8">
      <c r="E1727"/>
      <c r="F1727"/>
      <c r="G1727"/>
      <c r="H1727"/>
    </row>
    <row r="1728" spans="5:8">
      <c r="E1728"/>
      <c r="F1728"/>
      <c r="G1728"/>
      <c r="H1728"/>
    </row>
    <row r="1729" spans="5:8">
      <c r="E1729"/>
      <c r="F1729"/>
      <c r="G1729"/>
      <c r="H1729"/>
    </row>
    <row r="1730" spans="5:8">
      <c r="E1730"/>
      <c r="F1730"/>
      <c r="G1730"/>
      <c r="H1730"/>
    </row>
    <row r="1731" spans="5:8">
      <c r="E1731"/>
      <c r="F1731"/>
      <c r="G1731"/>
      <c r="H1731"/>
    </row>
    <row r="1732" spans="5:8">
      <c r="E1732"/>
      <c r="F1732"/>
      <c r="G1732"/>
      <c r="H1732"/>
    </row>
    <row r="1733" spans="5:8">
      <c r="E1733"/>
      <c r="F1733"/>
      <c r="G1733"/>
      <c r="H1733"/>
    </row>
    <row r="1734" spans="5:8">
      <c r="E1734"/>
      <c r="F1734"/>
      <c r="G1734"/>
      <c r="H1734"/>
    </row>
    <row r="1735" spans="5:8">
      <c r="E1735"/>
      <c r="F1735"/>
      <c r="G1735"/>
      <c r="H1735"/>
    </row>
    <row r="1736" spans="5:8">
      <c r="E1736"/>
      <c r="F1736"/>
      <c r="G1736"/>
      <c r="H1736"/>
    </row>
    <row r="1737" spans="5:8">
      <c r="E1737"/>
      <c r="F1737"/>
      <c r="G1737"/>
      <c r="H1737"/>
    </row>
    <row r="1738" spans="5:8">
      <c r="E1738"/>
      <c r="F1738"/>
      <c r="G1738"/>
      <c r="H1738"/>
    </row>
    <row r="1739" spans="5:8">
      <c r="E1739"/>
      <c r="F1739"/>
      <c r="G1739"/>
      <c r="H1739"/>
    </row>
    <row r="1740" spans="5:8">
      <c r="E1740"/>
      <c r="F1740"/>
      <c r="G1740"/>
      <c r="H1740"/>
    </row>
    <row r="1741" spans="5:8">
      <c r="E1741"/>
      <c r="F1741"/>
      <c r="G1741"/>
      <c r="H1741"/>
    </row>
    <row r="1742" spans="5:8">
      <c r="E1742"/>
      <c r="F1742"/>
      <c r="G1742"/>
      <c r="H1742"/>
    </row>
    <row r="1743" spans="5:8">
      <c r="E1743"/>
      <c r="F1743"/>
      <c r="G1743"/>
      <c r="H1743"/>
    </row>
    <row r="1744" spans="5:8">
      <c r="E1744"/>
      <c r="F1744"/>
      <c r="G1744"/>
      <c r="H1744"/>
    </row>
    <row r="1745" spans="5:8">
      <c r="E1745"/>
      <c r="F1745"/>
      <c r="G1745"/>
      <c r="H1745"/>
    </row>
    <row r="1746" spans="5:8">
      <c r="E1746"/>
      <c r="F1746"/>
      <c r="G1746"/>
      <c r="H1746"/>
    </row>
    <row r="1747" spans="5:8">
      <c r="E1747"/>
      <c r="F1747"/>
      <c r="G1747"/>
      <c r="H1747"/>
    </row>
    <row r="1748" spans="5:8">
      <c r="E1748"/>
      <c r="F1748"/>
      <c r="G1748"/>
      <c r="H1748"/>
    </row>
    <row r="1749" spans="5:8">
      <c r="E1749"/>
      <c r="F1749"/>
      <c r="G1749"/>
      <c r="H1749"/>
    </row>
    <row r="1750" spans="5:8">
      <c r="E1750"/>
      <c r="F1750"/>
      <c r="G1750"/>
      <c r="H1750"/>
    </row>
    <row r="1751" spans="5:8">
      <c r="E1751"/>
      <c r="F1751"/>
      <c r="G1751"/>
      <c r="H1751"/>
    </row>
    <row r="1752" spans="5:8">
      <c r="E1752"/>
      <c r="F1752"/>
      <c r="G1752"/>
      <c r="H1752"/>
    </row>
    <row r="1753" spans="5:8">
      <c r="E1753"/>
      <c r="F1753"/>
      <c r="G1753"/>
      <c r="H1753"/>
    </row>
    <row r="1754" spans="5:8">
      <c r="E1754"/>
      <c r="F1754"/>
      <c r="G1754"/>
      <c r="H1754"/>
    </row>
    <row r="1755" spans="5:8">
      <c r="E1755"/>
      <c r="F1755"/>
      <c r="G1755"/>
      <c r="H1755"/>
    </row>
    <row r="1756" spans="5:8">
      <c r="E1756"/>
      <c r="F1756"/>
      <c r="G1756"/>
      <c r="H1756"/>
    </row>
    <row r="1757" spans="5:8">
      <c r="E1757"/>
      <c r="F1757"/>
      <c r="G1757"/>
      <c r="H1757"/>
    </row>
    <row r="1758" spans="5:8">
      <c r="E1758"/>
      <c r="F1758"/>
      <c r="G1758"/>
      <c r="H1758"/>
    </row>
    <row r="1759" spans="5:8">
      <c r="E1759"/>
      <c r="F1759"/>
      <c r="G1759"/>
      <c r="H1759"/>
    </row>
    <row r="1760" spans="5:8">
      <c r="E1760"/>
      <c r="F1760"/>
      <c r="G1760"/>
      <c r="H1760"/>
    </row>
    <row r="1761" spans="5:8">
      <c r="E1761"/>
      <c r="F1761"/>
      <c r="G1761"/>
      <c r="H1761"/>
    </row>
    <row r="1762" spans="5:8">
      <c r="E1762"/>
      <c r="F1762"/>
      <c r="G1762"/>
      <c r="H1762"/>
    </row>
    <row r="1763" spans="5:8">
      <c r="E1763"/>
      <c r="F1763"/>
      <c r="G1763"/>
      <c r="H1763"/>
    </row>
    <row r="1764" spans="5:8">
      <c r="E1764"/>
      <c r="F1764"/>
      <c r="G1764"/>
      <c r="H1764"/>
    </row>
    <row r="1765" spans="5:8">
      <c r="E1765"/>
      <c r="F1765"/>
      <c r="G1765"/>
      <c r="H1765"/>
    </row>
    <row r="1766" spans="5:8">
      <c r="E1766"/>
      <c r="F1766"/>
      <c r="G1766"/>
      <c r="H1766"/>
    </row>
    <row r="1767" spans="5:8">
      <c r="E1767"/>
      <c r="F1767"/>
      <c r="G1767"/>
      <c r="H1767"/>
    </row>
    <row r="1768" spans="5:8">
      <c r="E1768"/>
      <c r="F1768"/>
      <c r="G1768"/>
      <c r="H1768"/>
    </row>
    <row r="1769" spans="5:8">
      <c r="E1769"/>
      <c r="F1769"/>
      <c r="G1769"/>
      <c r="H1769"/>
    </row>
    <row r="1770" spans="5:8">
      <c r="E1770"/>
      <c r="F1770"/>
      <c r="G1770"/>
      <c r="H1770"/>
    </row>
    <row r="1771" spans="5:8">
      <c r="E1771"/>
      <c r="F1771"/>
      <c r="G1771"/>
      <c r="H1771"/>
    </row>
    <row r="1772" spans="5:8">
      <c r="E1772"/>
      <c r="F1772"/>
      <c r="G1772"/>
      <c r="H1772"/>
    </row>
    <row r="1773" spans="5:8">
      <c r="E1773"/>
      <c r="F1773"/>
      <c r="G1773"/>
      <c r="H1773"/>
    </row>
    <row r="1774" spans="5:8">
      <c r="E1774"/>
      <c r="F1774"/>
      <c r="G1774"/>
      <c r="H1774"/>
    </row>
    <row r="1775" spans="5:8">
      <c r="E1775"/>
      <c r="F1775"/>
      <c r="G1775"/>
      <c r="H1775"/>
    </row>
    <row r="1776" spans="5:8">
      <c r="E1776"/>
      <c r="F1776"/>
      <c r="G1776"/>
      <c r="H1776"/>
    </row>
    <row r="1777" spans="5:8">
      <c r="E1777"/>
      <c r="F1777"/>
      <c r="G1777"/>
      <c r="H1777"/>
    </row>
    <row r="1778" spans="5:8">
      <c r="E1778"/>
      <c r="F1778"/>
      <c r="G1778"/>
      <c r="H1778"/>
    </row>
    <row r="1779" spans="5:8">
      <c r="E1779"/>
      <c r="F1779"/>
      <c r="G1779"/>
      <c r="H1779"/>
    </row>
    <row r="1780" spans="5:8">
      <c r="E1780"/>
      <c r="F1780"/>
      <c r="G1780"/>
      <c r="H1780"/>
    </row>
    <row r="1781" spans="5:8">
      <c r="E1781"/>
      <c r="F1781"/>
      <c r="G1781"/>
      <c r="H1781"/>
    </row>
    <row r="1782" spans="5:8">
      <c r="E1782"/>
      <c r="F1782"/>
      <c r="G1782"/>
      <c r="H1782"/>
    </row>
    <row r="1783" spans="5:8">
      <c r="E1783"/>
      <c r="F1783"/>
      <c r="G1783"/>
      <c r="H1783"/>
    </row>
    <row r="1784" spans="5:8">
      <c r="E1784"/>
      <c r="F1784"/>
      <c r="G1784"/>
      <c r="H1784"/>
    </row>
    <row r="1785" spans="5:8">
      <c r="E1785"/>
      <c r="F1785"/>
      <c r="G1785"/>
      <c r="H1785"/>
    </row>
    <row r="1786" spans="5:8">
      <c r="E1786"/>
      <c r="F1786"/>
      <c r="G1786"/>
      <c r="H1786"/>
    </row>
    <row r="1787" spans="5:8">
      <c r="E1787"/>
      <c r="F1787"/>
      <c r="G1787"/>
      <c r="H1787"/>
    </row>
    <row r="1788" spans="5:8">
      <c r="E1788"/>
      <c r="F1788"/>
      <c r="G1788"/>
      <c r="H1788"/>
    </row>
    <row r="1789" spans="5:8">
      <c r="E1789"/>
      <c r="F1789"/>
      <c r="G1789"/>
      <c r="H1789"/>
    </row>
    <row r="1790" spans="5:8">
      <c r="E1790"/>
      <c r="F1790"/>
      <c r="G1790"/>
      <c r="H1790"/>
    </row>
    <row r="1791" spans="5:8">
      <c r="E1791"/>
      <c r="F1791"/>
      <c r="G1791"/>
      <c r="H1791"/>
    </row>
    <row r="1792" spans="5:8">
      <c r="E1792"/>
      <c r="F1792"/>
      <c r="G1792"/>
      <c r="H1792"/>
    </row>
    <row r="1793" spans="5:8">
      <c r="E1793"/>
      <c r="F1793"/>
      <c r="G1793"/>
      <c r="H1793"/>
    </row>
    <row r="1794" spans="5:8">
      <c r="E1794"/>
      <c r="F1794"/>
      <c r="G1794"/>
      <c r="H1794"/>
    </row>
    <row r="1795" spans="5:8">
      <c r="E1795"/>
      <c r="F1795"/>
      <c r="G1795"/>
      <c r="H1795"/>
    </row>
    <row r="1796" spans="5:8">
      <c r="E1796"/>
      <c r="F1796"/>
      <c r="G1796"/>
      <c r="H1796"/>
    </row>
    <row r="1797" spans="5:8">
      <c r="E1797"/>
      <c r="F1797"/>
      <c r="G1797"/>
      <c r="H1797"/>
    </row>
    <row r="1798" spans="5:8">
      <c r="E1798"/>
      <c r="F1798"/>
      <c r="G1798"/>
      <c r="H1798"/>
    </row>
    <row r="1799" spans="5:8">
      <c r="E1799"/>
      <c r="F1799"/>
      <c r="G1799"/>
      <c r="H1799"/>
    </row>
    <row r="1800" spans="5:8">
      <c r="E1800"/>
      <c r="F1800"/>
      <c r="G1800"/>
      <c r="H1800"/>
    </row>
    <row r="1801" spans="5:8">
      <c r="E1801"/>
      <c r="F1801"/>
      <c r="G1801"/>
      <c r="H1801"/>
    </row>
    <row r="1802" spans="5:8">
      <c r="E1802"/>
      <c r="F1802"/>
      <c r="G1802"/>
      <c r="H1802"/>
    </row>
    <row r="1803" spans="5:8">
      <c r="E1803"/>
      <c r="F1803"/>
      <c r="G1803"/>
      <c r="H1803"/>
    </row>
    <row r="1804" spans="5:8">
      <c r="E1804"/>
      <c r="F1804"/>
      <c r="G1804"/>
      <c r="H1804"/>
    </row>
    <row r="1805" spans="5:8">
      <c r="E1805"/>
      <c r="F1805"/>
      <c r="G1805"/>
      <c r="H1805"/>
    </row>
    <row r="1806" spans="5:8">
      <c r="E1806"/>
      <c r="F1806"/>
      <c r="G1806"/>
      <c r="H1806"/>
    </row>
    <row r="1807" spans="5:8">
      <c r="E1807"/>
      <c r="F1807"/>
      <c r="G1807"/>
      <c r="H1807"/>
    </row>
    <row r="1808" spans="5:8">
      <c r="E1808"/>
      <c r="F1808"/>
      <c r="G1808"/>
      <c r="H1808"/>
    </row>
    <row r="1809" spans="5:8">
      <c r="E1809"/>
      <c r="F1809"/>
      <c r="G1809"/>
      <c r="H1809"/>
    </row>
    <row r="1810" spans="5:8">
      <c r="E1810"/>
      <c r="F1810"/>
      <c r="G1810"/>
      <c r="H1810"/>
    </row>
    <row r="1811" spans="5:8">
      <c r="E1811"/>
      <c r="F1811"/>
      <c r="G1811"/>
      <c r="H1811"/>
    </row>
    <row r="1812" spans="5:8">
      <c r="E1812"/>
      <c r="F1812"/>
      <c r="G1812"/>
      <c r="H1812"/>
    </row>
    <row r="1813" spans="5:8">
      <c r="E1813"/>
      <c r="F1813"/>
      <c r="G1813"/>
      <c r="H1813"/>
    </row>
    <row r="1814" spans="5:8">
      <c r="E1814"/>
      <c r="F1814"/>
      <c r="G1814"/>
      <c r="H1814"/>
    </row>
    <row r="1815" spans="5:8">
      <c r="E1815"/>
      <c r="F1815"/>
      <c r="G1815"/>
      <c r="H1815"/>
    </row>
    <row r="1816" spans="5:8">
      <c r="E1816"/>
      <c r="F1816"/>
      <c r="G1816"/>
      <c r="H1816"/>
    </row>
    <row r="1817" spans="5:8">
      <c r="E1817"/>
      <c r="F1817"/>
      <c r="G1817"/>
      <c r="H1817"/>
    </row>
    <row r="1818" spans="5:8">
      <c r="E1818"/>
      <c r="F1818"/>
      <c r="G1818"/>
      <c r="H1818"/>
    </row>
    <row r="1819" spans="5:8">
      <c r="E1819"/>
      <c r="F1819"/>
      <c r="G1819"/>
      <c r="H1819"/>
    </row>
    <row r="1820" spans="5:8">
      <c r="E1820"/>
      <c r="F1820"/>
      <c r="G1820"/>
      <c r="H1820"/>
    </row>
    <row r="1821" spans="5:8">
      <c r="E1821"/>
      <c r="F1821"/>
      <c r="G1821"/>
      <c r="H1821"/>
    </row>
    <row r="1822" spans="5:8">
      <c r="E1822"/>
      <c r="F1822"/>
      <c r="G1822"/>
      <c r="H1822"/>
    </row>
    <row r="1823" spans="5:8">
      <c r="E1823"/>
      <c r="F1823"/>
      <c r="G1823"/>
      <c r="H1823"/>
    </row>
    <row r="1824" spans="5:8">
      <c r="E1824"/>
      <c r="F1824"/>
      <c r="G1824"/>
      <c r="H1824"/>
    </row>
    <row r="1825" spans="5:8">
      <c r="E1825"/>
      <c r="F1825"/>
      <c r="G1825"/>
      <c r="H1825"/>
    </row>
    <row r="1826" spans="5:8">
      <c r="E1826"/>
      <c r="F1826"/>
      <c r="G1826"/>
      <c r="H1826"/>
    </row>
    <row r="1827" spans="5:8">
      <c r="E1827"/>
      <c r="F1827"/>
      <c r="G1827"/>
      <c r="H1827"/>
    </row>
    <row r="1828" spans="5:8">
      <c r="E1828"/>
      <c r="F1828"/>
      <c r="G1828"/>
      <c r="H1828"/>
    </row>
    <row r="1829" spans="5:8">
      <c r="E1829"/>
      <c r="F1829"/>
      <c r="G1829"/>
      <c r="H1829"/>
    </row>
    <row r="1830" spans="5:8">
      <c r="E1830"/>
      <c r="F1830"/>
      <c r="G1830"/>
      <c r="H1830"/>
    </row>
    <row r="1831" spans="5:8">
      <c r="E1831"/>
      <c r="F1831"/>
      <c r="G1831"/>
      <c r="H1831"/>
    </row>
    <row r="1832" spans="5:8">
      <c r="E1832"/>
      <c r="F1832"/>
      <c r="G1832"/>
      <c r="H1832"/>
    </row>
    <row r="1833" spans="5:8">
      <c r="E1833"/>
      <c r="F1833"/>
      <c r="G1833"/>
      <c r="H1833"/>
    </row>
    <row r="1834" spans="5:8">
      <c r="E1834"/>
      <c r="F1834"/>
      <c r="G1834"/>
      <c r="H1834"/>
    </row>
    <row r="1835" spans="5:8">
      <c r="E1835"/>
      <c r="F1835"/>
      <c r="G1835"/>
      <c r="H1835"/>
    </row>
    <row r="1836" spans="5:8">
      <c r="E1836"/>
      <c r="F1836"/>
      <c r="G1836"/>
      <c r="H1836"/>
    </row>
    <row r="1837" spans="5:8">
      <c r="E1837"/>
      <c r="F1837"/>
      <c r="G1837"/>
      <c r="H1837"/>
    </row>
    <row r="1838" spans="5:8">
      <c r="E1838"/>
      <c r="F1838"/>
      <c r="G1838"/>
      <c r="H1838"/>
    </row>
    <row r="1839" spans="5:8">
      <c r="E1839"/>
      <c r="F1839"/>
      <c r="G1839"/>
      <c r="H1839"/>
    </row>
    <row r="1840" spans="5:8">
      <c r="E1840"/>
      <c r="F1840"/>
      <c r="G1840"/>
      <c r="H1840"/>
    </row>
    <row r="1841" spans="5:8">
      <c r="E1841"/>
      <c r="F1841"/>
      <c r="G1841"/>
      <c r="H1841"/>
    </row>
    <row r="1842" spans="5:8">
      <c r="E1842"/>
      <c r="F1842"/>
      <c r="G1842"/>
      <c r="H1842"/>
    </row>
    <row r="1843" spans="5:8">
      <c r="E1843"/>
      <c r="F1843"/>
      <c r="G1843"/>
      <c r="H1843"/>
    </row>
    <row r="1844" spans="5:8">
      <c r="E1844"/>
      <c r="F1844"/>
      <c r="G1844"/>
      <c r="H1844"/>
    </row>
    <row r="1845" spans="5:8">
      <c r="E1845"/>
      <c r="F1845"/>
      <c r="G1845"/>
      <c r="H1845"/>
    </row>
    <row r="1846" spans="5:8">
      <c r="E1846"/>
      <c r="F1846"/>
      <c r="G1846"/>
      <c r="H1846"/>
    </row>
    <row r="1847" spans="5:8">
      <c r="E1847"/>
      <c r="F1847"/>
      <c r="G1847"/>
      <c r="H1847"/>
    </row>
    <row r="1848" spans="5:8">
      <c r="E1848"/>
      <c r="F1848"/>
      <c r="G1848"/>
      <c r="H1848"/>
    </row>
    <row r="1849" spans="5:8">
      <c r="E1849"/>
      <c r="F1849"/>
      <c r="G1849"/>
      <c r="H1849"/>
    </row>
    <row r="1850" spans="5:8">
      <c r="E1850"/>
      <c r="F1850"/>
      <c r="G1850"/>
      <c r="H1850"/>
    </row>
    <row r="1851" spans="5:8">
      <c r="E1851"/>
      <c r="F1851"/>
      <c r="G1851"/>
      <c r="H1851"/>
    </row>
    <row r="1852" spans="5:8">
      <c r="E1852"/>
      <c r="F1852"/>
      <c r="G1852"/>
      <c r="H1852"/>
    </row>
    <row r="1853" spans="5:8">
      <c r="E1853"/>
      <c r="F1853"/>
      <c r="G1853"/>
      <c r="H1853"/>
    </row>
    <row r="1854" spans="5:8">
      <c r="E1854"/>
      <c r="F1854"/>
      <c r="G1854"/>
      <c r="H1854"/>
    </row>
    <row r="1855" spans="5:8">
      <c r="E1855"/>
      <c r="F1855"/>
      <c r="G1855"/>
      <c r="H1855"/>
    </row>
    <row r="1856" spans="5:8">
      <c r="E1856"/>
      <c r="F1856"/>
      <c r="G1856"/>
      <c r="H1856"/>
    </row>
    <row r="1857" spans="5:8">
      <c r="E1857"/>
      <c r="F1857"/>
      <c r="G1857"/>
      <c r="H1857"/>
    </row>
    <row r="1858" spans="5:8">
      <c r="E1858"/>
      <c r="F1858"/>
      <c r="G1858"/>
      <c r="H1858"/>
    </row>
    <row r="1859" spans="5:8">
      <c r="E1859"/>
      <c r="F1859"/>
      <c r="G1859"/>
      <c r="H1859"/>
    </row>
    <row r="1860" spans="5:8">
      <c r="E1860"/>
      <c r="F1860"/>
      <c r="G1860"/>
      <c r="H1860"/>
    </row>
    <row r="1861" spans="5:8">
      <c r="E1861"/>
      <c r="F1861"/>
      <c r="G1861"/>
      <c r="H1861"/>
    </row>
    <row r="1862" spans="5:8">
      <c r="E1862"/>
      <c r="F1862"/>
      <c r="G1862"/>
      <c r="H1862"/>
    </row>
    <row r="1863" spans="5:8">
      <c r="E1863"/>
      <c r="F1863"/>
      <c r="G1863"/>
      <c r="H1863"/>
    </row>
    <row r="1864" spans="5:8">
      <c r="E1864"/>
      <c r="F1864"/>
      <c r="G1864"/>
      <c r="H1864"/>
    </row>
    <row r="1865" spans="5:8">
      <c r="E1865"/>
      <c r="F1865"/>
      <c r="G1865"/>
      <c r="H1865"/>
    </row>
    <row r="1866" spans="5:8">
      <c r="E1866"/>
      <c r="F1866"/>
      <c r="G1866"/>
      <c r="H1866"/>
    </row>
    <row r="1867" spans="5:8">
      <c r="E1867"/>
      <c r="F1867"/>
      <c r="G1867"/>
      <c r="H1867"/>
    </row>
    <row r="1868" spans="5:8">
      <c r="E1868"/>
      <c r="F1868"/>
      <c r="G1868"/>
      <c r="H1868"/>
    </row>
    <row r="1869" spans="5:8">
      <c r="E1869"/>
      <c r="F1869"/>
      <c r="G1869"/>
      <c r="H1869"/>
    </row>
    <row r="1870" spans="5:8">
      <c r="E1870"/>
      <c r="F1870"/>
      <c r="G1870"/>
      <c r="H1870"/>
    </row>
    <row r="1871" spans="5:8">
      <c r="E1871"/>
      <c r="F1871"/>
      <c r="G1871"/>
      <c r="H1871"/>
    </row>
    <row r="1872" spans="5:8">
      <c r="E1872"/>
      <c r="F1872"/>
      <c r="G1872"/>
      <c r="H1872"/>
    </row>
    <row r="1873" spans="5:8">
      <c r="E1873"/>
      <c r="F1873"/>
      <c r="G1873"/>
      <c r="H1873"/>
    </row>
    <row r="1874" spans="5:8">
      <c r="E1874"/>
      <c r="F1874"/>
      <c r="G1874"/>
      <c r="H1874"/>
    </row>
    <row r="1875" spans="5:8">
      <c r="E1875"/>
      <c r="F1875"/>
      <c r="G1875"/>
      <c r="H1875"/>
    </row>
    <row r="1876" spans="5:8">
      <c r="E1876"/>
      <c r="F1876"/>
      <c r="G1876"/>
      <c r="H1876"/>
    </row>
    <row r="1877" spans="5:8">
      <c r="E1877"/>
      <c r="F1877"/>
      <c r="G1877"/>
      <c r="H1877"/>
    </row>
    <row r="1878" spans="5:8">
      <c r="E1878"/>
      <c r="F1878"/>
      <c r="G1878"/>
      <c r="H1878"/>
    </row>
    <row r="1879" spans="5:8">
      <c r="E1879"/>
      <c r="F1879"/>
      <c r="G1879"/>
      <c r="H1879"/>
    </row>
    <row r="1880" spans="5:8">
      <c r="E1880"/>
      <c r="F1880"/>
      <c r="G1880"/>
      <c r="H1880"/>
    </row>
    <row r="1881" spans="5:8">
      <c r="E1881"/>
      <c r="F1881"/>
      <c r="G1881"/>
      <c r="H1881"/>
    </row>
    <row r="1882" spans="5:8">
      <c r="E1882"/>
      <c r="F1882"/>
      <c r="G1882"/>
      <c r="H1882"/>
    </row>
    <row r="1883" spans="5:8">
      <c r="E1883"/>
      <c r="F1883"/>
      <c r="G1883"/>
      <c r="H1883"/>
    </row>
    <row r="1884" spans="5:8">
      <c r="E1884"/>
      <c r="F1884"/>
      <c r="G1884"/>
      <c r="H1884"/>
    </row>
    <row r="1885" spans="5:8">
      <c r="E1885"/>
      <c r="F1885"/>
      <c r="G1885"/>
      <c r="H1885"/>
    </row>
    <row r="1886" spans="5:8">
      <c r="E1886"/>
      <c r="F1886"/>
      <c r="G1886"/>
      <c r="H1886"/>
    </row>
    <row r="1887" spans="5:8">
      <c r="E1887"/>
      <c r="F1887"/>
      <c r="G1887"/>
      <c r="H1887"/>
    </row>
    <row r="1888" spans="5:8">
      <c r="E1888"/>
      <c r="F1888"/>
      <c r="G1888"/>
      <c r="H1888"/>
    </row>
    <row r="1889" spans="5:8">
      <c r="E1889"/>
      <c r="F1889"/>
      <c r="G1889"/>
      <c r="H1889"/>
    </row>
    <row r="1890" spans="5:8">
      <c r="E1890"/>
      <c r="F1890"/>
      <c r="G1890"/>
      <c r="H1890"/>
    </row>
    <row r="1891" spans="5:8">
      <c r="E1891"/>
      <c r="F1891"/>
      <c r="G1891"/>
      <c r="H1891"/>
    </row>
    <row r="1892" spans="5:8">
      <c r="E1892"/>
      <c r="F1892"/>
      <c r="G1892"/>
      <c r="H1892"/>
    </row>
    <row r="1893" spans="5:8">
      <c r="E1893"/>
      <c r="F1893"/>
      <c r="G1893"/>
      <c r="H1893"/>
    </row>
    <row r="1894" spans="5:8">
      <c r="E1894"/>
      <c r="F1894"/>
      <c r="G1894"/>
      <c r="H1894"/>
    </row>
    <row r="1895" spans="5:8">
      <c r="E1895"/>
      <c r="F1895"/>
      <c r="G1895"/>
      <c r="H1895"/>
    </row>
    <row r="1896" spans="5:8">
      <c r="E1896"/>
      <c r="F1896"/>
      <c r="G1896"/>
      <c r="H1896"/>
    </row>
    <row r="1897" spans="5:8">
      <c r="E1897"/>
      <c r="F1897"/>
      <c r="G1897"/>
      <c r="H1897"/>
    </row>
    <row r="1898" spans="5:8">
      <c r="E1898"/>
      <c r="F1898"/>
      <c r="G1898"/>
      <c r="H1898"/>
    </row>
    <row r="1899" spans="5:8">
      <c r="E1899"/>
      <c r="F1899"/>
      <c r="G1899"/>
      <c r="H1899"/>
    </row>
    <row r="1900" spans="5:8">
      <c r="E1900"/>
      <c r="F1900"/>
      <c r="G1900"/>
      <c r="H1900"/>
    </row>
    <row r="1901" spans="5:8">
      <c r="E1901"/>
      <c r="F1901"/>
      <c r="G1901"/>
      <c r="H1901"/>
    </row>
    <row r="1902" spans="5:8">
      <c r="E1902"/>
      <c r="F1902"/>
      <c r="G1902"/>
      <c r="H1902"/>
    </row>
    <row r="1903" spans="5:8">
      <c r="E1903"/>
      <c r="F1903"/>
      <c r="G1903"/>
      <c r="H1903"/>
    </row>
    <row r="1904" spans="5:8">
      <c r="E1904"/>
      <c r="F1904"/>
      <c r="G1904"/>
      <c r="H1904"/>
    </row>
    <row r="1905" spans="5:8">
      <c r="E1905"/>
      <c r="F1905"/>
      <c r="G1905"/>
      <c r="H1905"/>
    </row>
    <row r="1906" spans="5:8">
      <c r="E1906"/>
      <c r="F1906"/>
      <c r="G1906"/>
      <c r="H1906"/>
    </row>
    <row r="1907" spans="5:8">
      <c r="E1907"/>
      <c r="F1907"/>
      <c r="G1907"/>
      <c r="H1907"/>
    </row>
    <row r="1908" spans="5:8">
      <c r="E1908"/>
      <c r="F1908"/>
      <c r="G1908"/>
      <c r="H1908"/>
    </row>
    <row r="1909" spans="5:8">
      <c r="E1909"/>
      <c r="F1909"/>
      <c r="G1909"/>
      <c r="H1909"/>
    </row>
    <row r="1910" spans="5:8">
      <c r="E1910"/>
      <c r="F1910"/>
      <c r="G1910"/>
      <c r="H1910"/>
    </row>
    <row r="1911" spans="5:8">
      <c r="E1911"/>
      <c r="F1911"/>
      <c r="G1911"/>
      <c r="H1911"/>
    </row>
    <row r="1912" spans="5:8">
      <c r="E1912"/>
      <c r="F1912"/>
      <c r="G1912"/>
      <c r="H1912"/>
    </row>
    <row r="1913" spans="5:8">
      <c r="E1913"/>
      <c r="F1913"/>
      <c r="G1913"/>
      <c r="H1913"/>
    </row>
    <row r="1914" spans="5:8">
      <c r="E1914"/>
      <c r="F1914"/>
      <c r="G1914"/>
      <c r="H1914"/>
    </row>
    <row r="1915" spans="5:8">
      <c r="E1915"/>
      <c r="F1915"/>
      <c r="G1915"/>
      <c r="H1915"/>
    </row>
    <row r="1916" spans="5:8">
      <c r="E1916"/>
      <c r="F1916"/>
      <c r="G1916"/>
      <c r="H1916"/>
    </row>
    <row r="1917" spans="5:8">
      <c r="E1917"/>
      <c r="F1917"/>
      <c r="G1917"/>
      <c r="H1917"/>
    </row>
    <row r="1918" spans="5:8">
      <c r="E1918"/>
      <c r="F1918"/>
      <c r="G1918"/>
      <c r="H1918"/>
    </row>
    <row r="1919" spans="5:8">
      <c r="E1919"/>
      <c r="F1919"/>
      <c r="G1919"/>
      <c r="H1919"/>
    </row>
    <row r="1920" spans="5:8">
      <c r="E1920"/>
      <c r="F1920"/>
      <c r="G1920"/>
      <c r="H1920"/>
    </row>
    <row r="1921" spans="5:8">
      <c r="E1921"/>
      <c r="F1921"/>
      <c r="G1921"/>
      <c r="H1921"/>
    </row>
    <row r="1922" spans="5:8">
      <c r="E1922"/>
      <c r="F1922"/>
      <c r="G1922"/>
      <c r="H1922"/>
    </row>
    <row r="1923" spans="5:8">
      <c r="E1923"/>
      <c r="F1923"/>
      <c r="G1923"/>
      <c r="H1923"/>
    </row>
    <row r="1924" spans="5:8">
      <c r="E1924"/>
      <c r="F1924"/>
      <c r="G1924"/>
      <c r="H1924"/>
    </row>
    <row r="1925" spans="5:8">
      <c r="E1925"/>
      <c r="F1925"/>
      <c r="G1925"/>
      <c r="H1925"/>
    </row>
    <row r="1926" spans="5:8">
      <c r="E1926"/>
      <c r="F1926"/>
      <c r="G1926"/>
      <c r="H1926"/>
    </row>
    <row r="1927" spans="5:8">
      <c r="E1927"/>
      <c r="F1927"/>
      <c r="G1927"/>
      <c r="H1927"/>
    </row>
    <row r="1928" spans="5:8">
      <c r="E1928"/>
      <c r="F1928"/>
      <c r="G1928"/>
      <c r="H1928"/>
    </row>
    <row r="1929" spans="5:8">
      <c r="E1929"/>
      <c r="F1929"/>
      <c r="G1929"/>
      <c r="H1929"/>
    </row>
    <row r="1930" spans="5:8">
      <c r="E1930"/>
      <c r="F1930"/>
      <c r="G1930"/>
      <c r="H1930"/>
    </row>
    <row r="1931" spans="5:8">
      <c r="E1931"/>
      <c r="F1931"/>
      <c r="G1931"/>
      <c r="H1931"/>
    </row>
    <row r="1932" spans="5:8">
      <c r="E1932"/>
      <c r="F1932"/>
      <c r="G1932"/>
      <c r="H1932"/>
    </row>
    <row r="1933" spans="5:8">
      <c r="E1933"/>
      <c r="F1933"/>
      <c r="G1933"/>
      <c r="H1933"/>
    </row>
    <row r="1934" spans="5:8">
      <c r="E1934"/>
      <c r="F1934"/>
      <c r="G1934"/>
      <c r="H1934"/>
    </row>
    <row r="1935" spans="5:8">
      <c r="E1935"/>
      <c r="F1935"/>
      <c r="G1935"/>
      <c r="H1935"/>
    </row>
    <row r="1936" spans="5:8">
      <c r="E1936"/>
      <c r="F1936"/>
      <c r="G1936"/>
      <c r="H1936"/>
    </row>
    <row r="1937" spans="5:8">
      <c r="E1937"/>
      <c r="F1937"/>
      <c r="G1937"/>
      <c r="H1937"/>
    </row>
    <row r="1938" spans="5:8">
      <c r="E1938"/>
      <c r="F1938"/>
      <c r="G1938"/>
      <c r="H1938"/>
    </row>
    <row r="1939" spans="5:8">
      <c r="E1939"/>
      <c r="F1939"/>
      <c r="G1939"/>
      <c r="H1939"/>
    </row>
    <row r="1940" spans="5:8">
      <c r="E1940"/>
      <c r="F1940"/>
      <c r="G1940"/>
      <c r="H1940"/>
    </row>
    <row r="1941" spans="5:8">
      <c r="E1941"/>
      <c r="F1941"/>
      <c r="G1941"/>
      <c r="H1941"/>
    </row>
    <row r="1942" spans="5:8">
      <c r="E1942"/>
      <c r="F1942"/>
      <c r="G1942"/>
      <c r="H1942"/>
    </row>
    <row r="1943" spans="5:8">
      <c r="E1943"/>
      <c r="F1943"/>
      <c r="G1943"/>
      <c r="H1943"/>
    </row>
    <row r="1944" spans="5:8">
      <c r="E1944"/>
      <c r="F1944"/>
      <c r="G1944"/>
      <c r="H1944"/>
    </row>
    <row r="1945" spans="5:8">
      <c r="E1945"/>
      <c r="F1945"/>
      <c r="G1945"/>
      <c r="H1945"/>
    </row>
    <row r="1946" spans="5:8">
      <c r="E1946"/>
      <c r="F1946"/>
      <c r="G1946"/>
      <c r="H1946"/>
    </row>
    <row r="1947" spans="5:8">
      <c r="E1947"/>
      <c r="F1947"/>
      <c r="G1947"/>
      <c r="H1947"/>
    </row>
    <row r="1948" spans="5:8">
      <c r="E1948"/>
      <c r="F1948"/>
      <c r="G1948"/>
      <c r="H1948"/>
    </row>
    <row r="1949" spans="5:8">
      <c r="E1949"/>
      <c r="F1949"/>
      <c r="G1949"/>
      <c r="H1949"/>
    </row>
    <row r="1950" spans="5:8">
      <c r="E1950"/>
      <c r="F1950"/>
      <c r="G1950"/>
      <c r="H1950"/>
    </row>
    <row r="1951" spans="5:8">
      <c r="E1951"/>
      <c r="F1951"/>
      <c r="G1951"/>
      <c r="H1951"/>
    </row>
    <row r="1952" spans="5:8">
      <c r="E1952"/>
      <c r="F1952"/>
      <c r="G1952"/>
      <c r="H1952"/>
    </row>
    <row r="1953" spans="5:8">
      <c r="E1953"/>
      <c r="F1953"/>
      <c r="G1953"/>
      <c r="H1953"/>
    </row>
    <row r="1954" spans="5:8">
      <c r="E1954"/>
      <c r="F1954"/>
      <c r="G1954"/>
      <c r="H1954"/>
    </row>
    <row r="1955" spans="5:8">
      <c r="E1955"/>
      <c r="F1955"/>
      <c r="G1955"/>
      <c r="H1955"/>
    </row>
    <row r="1956" spans="5:8">
      <c r="E1956"/>
      <c r="F1956"/>
      <c r="G1956"/>
      <c r="H1956"/>
    </row>
    <row r="1957" spans="5:8">
      <c r="E1957"/>
      <c r="F1957"/>
      <c r="G1957"/>
      <c r="H1957"/>
    </row>
    <row r="1958" spans="5:8">
      <c r="E1958"/>
      <c r="F1958"/>
      <c r="G1958"/>
      <c r="H1958"/>
    </row>
    <row r="1959" spans="5:8">
      <c r="E1959"/>
      <c r="F1959"/>
      <c r="G1959"/>
      <c r="H1959"/>
    </row>
    <row r="1960" spans="5:8">
      <c r="E1960"/>
      <c r="F1960"/>
      <c r="G1960"/>
      <c r="H1960"/>
    </row>
    <row r="1961" spans="5:8">
      <c r="E1961"/>
      <c r="F1961"/>
      <c r="G1961"/>
      <c r="H1961"/>
    </row>
    <row r="1962" spans="5:8">
      <c r="E1962"/>
      <c r="F1962"/>
      <c r="G1962"/>
      <c r="H1962"/>
    </row>
    <row r="1963" spans="5:8">
      <c r="E1963"/>
      <c r="F1963"/>
      <c r="G1963"/>
      <c r="H1963"/>
    </row>
    <row r="1964" spans="5:8">
      <c r="E1964"/>
      <c r="F1964"/>
      <c r="G1964"/>
      <c r="H1964"/>
    </row>
    <row r="1965" spans="5:8">
      <c r="E1965"/>
      <c r="F1965"/>
      <c r="G1965"/>
      <c r="H1965"/>
    </row>
    <row r="1966" spans="5:8">
      <c r="E1966"/>
      <c r="F1966"/>
      <c r="G1966"/>
      <c r="H1966"/>
    </row>
    <row r="1967" spans="5:8">
      <c r="E1967"/>
      <c r="F1967"/>
      <c r="G1967"/>
      <c r="H1967"/>
    </row>
    <row r="1968" spans="5:8">
      <c r="E1968"/>
      <c r="F1968"/>
      <c r="G1968"/>
      <c r="H1968"/>
    </row>
    <row r="1969" spans="5:8">
      <c r="E1969"/>
      <c r="F1969"/>
      <c r="G1969"/>
      <c r="H1969"/>
    </row>
    <row r="1970" spans="5:8">
      <c r="E1970"/>
      <c r="F1970"/>
      <c r="G1970"/>
      <c r="H1970"/>
    </row>
    <row r="1971" spans="5:8">
      <c r="E1971"/>
      <c r="F1971"/>
      <c r="G1971"/>
      <c r="H1971"/>
    </row>
    <row r="1972" spans="5:8">
      <c r="E1972"/>
      <c r="F1972"/>
      <c r="G1972"/>
      <c r="H1972"/>
    </row>
    <row r="1973" spans="5:8">
      <c r="E1973"/>
      <c r="F1973"/>
      <c r="G1973"/>
      <c r="H1973"/>
    </row>
    <row r="1974" spans="5:8">
      <c r="E1974"/>
      <c r="F1974"/>
      <c r="G1974"/>
      <c r="H1974"/>
    </row>
    <row r="1975" spans="5:8">
      <c r="E1975"/>
      <c r="F1975"/>
      <c r="G1975"/>
      <c r="H1975"/>
    </row>
    <row r="1976" spans="5:8">
      <c r="E1976"/>
      <c r="F1976"/>
      <c r="G1976"/>
      <c r="H1976"/>
    </row>
    <row r="1977" spans="5:8">
      <c r="E1977"/>
      <c r="F1977"/>
      <c r="G1977"/>
      <c r="H1977"/>
    </row>
    <row r="1978" spans="5:8">
      <c r="E1978"/>
      <c r="F1978"/>
      <c r="G1978"/>
      <c r="H1978"/>
    </row>
    <row r="1979" spans="5:8">
      <c r="E1979"/>
      <c r="F1979"/>
      <c r="G1979"/>
      <c r="H1979"/>
    </row>
    <row r="1980" spans="5:8">
      <c r="E1980"/>
      <c r="F1980"/>
      <c r="G1980"/>
      <c r="H1980"/>
    </row>
    <row r="1981" spans="5:8">
      <c r="E1981"/>
      <c r="F1981"/>
      <c r="G1981"/>
      <c r="H1981"/>
    </row>
    <row r="1982" spans="5:8">
      <c r="E1982"/>
      <c r="F1982"/>
      <c r="G1982"/>
      <c r="H1982"/>
    </row>
    <row r="1983" spans="5:8">
      <c r="E1983"/>
      <c r="F1983"/>
      <c r="G1983"/>
      <c r="H1983"/>
    </row>
    <row r="1984" spans="5:8">
      <c r="E1984"/>
      <c r="F1984"/>
      <c r="G1984"/>
      <c r="H1984"/>
    </row>
    <row r="1985" spans="5:8">
      <c r="E1985"/>
      <c r="F1985"/>
      <c r="G1985"/>
      <c r="H1985"/>
    </row>
    <row r="1986" spans="5:8">
      <c r="E1986"/>
      <c r="F1986"/>
      <c r="G1986"/>
      <c r="H1986"/>
    </row>
    <row r="1987" spans="5:8">
      <c r="E1987"/>
      <c r="F1987"/>
      <c r="G1987"/>
      <c r="H1987"/>
    </row>
    <row r="1988" spans="5:8">
      <c r="E1988"/>
      <c r="F1988"/>
      <c r="G1988"/>
      <c r="H1988"/>
    </row>
    <row r="1989" spans="5:8">
      <c r="E1989"/>
      <c r="F1989"/>
      <c r="G1989"/>
      <c r="H1989"/>
    </row>
    <row r="1990" spans="5:8">
      <c r="E1990"/>
      <c r="F1990"/>
      <c r="G1990"/>
      <c r="H1990"/>
    </row>
    <row r="1991" spans="5:8">
      <c r="E1991"/>
      <c r="F1991"/>
      <c r="G1991"/>
      <c r="H1991"/>
    </row>
    <row r="1992" spans="5:8">
      <c r="E1992"/>
      <c r="F1992"/>
      <c r="G1992"/>
      <c r="H1992"/>
    </row>
    <row r="1993" spans="5:8">
      <c r="E1993"/>
      <c r="F1993"/>
      <c r="G1993"/>
      <c r="H1993"/>
    </row>
    <row r="1994" spans="5:8">
      <c r="E1994"/>
      <c r="F1994"/>
      <c r="G1994"/>
      <c r="H1994"/>
    </row>
    <row r="1995" spans="5:8">
      <c r="E1995"/>
      <c r="F1995"/>
      <c r="G1995"/>
      <c r="H1995"/>
    </row>
    <row r="1996" spans="5:8">
      <c r="E1996"/>
      <c r="F1996"/>
      <c r="G1996"/>
      <c r="H1996"/>
    </row>
    <row r="1997" spans="5:8">
      <c r="E1997"/>
      <c r="F1997"/>
      <c r="G1997"/>
      <c r="H1997"/>
    </row>
    <row r="1998" spans="5:8">
      <c r="E1998"/>
      <c r="F1998"/>
      <c r="G1998"/>
      <c r="H1998"/>
    </row>
    <row r="1999" spans="5:8">
      <c r="E1999"/>
      <c r="F1999"/>
      <c r="G1999"/>
      <c r="H1999"/>
    </row>
    <row r="2000" spans="5:8">
      <c r="E2000"/>
      <c r="F2000"/>
      <c r="G2000"/>
      <c r="H2000"/>
    </row>
    <row r="2001" spans="5:8">
      <c r="E2001"/>
      <c r="F2001"/>
      <c r="G2001"/>
      <c r="H2001"/>
    </row>
    <row r="2002" spans="5:8">
      <c r="E2002"/>
      <c r="F2002"/>
      <c r="G2002"/>
      <c r="H2002"/>
    </row>
    <row r="2003" spans="5:8">
      <c r="E2003"/>
      <c r="F2003"/>
      <c r="G2003"/>
      <c r="H2003"/>
    </row>
    <row r="2004" spans="5:8">
      <c r="E2004"/>
      <c r="F2004"/>
      <c r="G2004"/>
      <c r="H2004"/>
    </row>
    <row r="2005" spans="5:8">
      <c r="E2005"/>
      <c r="F2005"/>
      <c r="G2005"/>
      <c r="H2005"/>
    </row>
    <row r="2006" spans="5:8">
      <c r="E2006"/>
      <c r="F2006"/>
      <c r="G2006"/>
      <c r="H2006"/>
    </row>
    <row r="2007" spans="5:8">
      <c r="E2007"/>
      <c r="F2007"/>
      <c r="G2007"/>
      <c r="H2007"/>
    </row>
    <row r="2008" spans="5:8">
      <c r="E2008"/>
      <c r="F2008"/>
      <c r="G2008"/>
      <c r="H2008"/>
    </row>
    <row r="2009" spans="5:8">
      <c r="E2009"/>
      <c r="F2009"/>
      <c r="G2009"/>
      <c r="H2009"/>
    </row>
    <row r="2010" spans="5:8">
      <c r="E2010"/>
      <c r="F2010"/>
      <c r="G2010"/>
      <c r="H2010"/>
    </row>
    <row r="2011" spans="5:8">
      <c r="E2011"/>
      <c r="F2011"/>
      <c r="G2011"/>
      <c r="H2011"/>
    </row>
    <row r="2012" spans="5:8">
      <c r="E2012"/>
      <c r="F2012"/>
      <c r="G2012"/>
      <c r="H2012"/>
    </row>
    <row r="2013" spans="5:8">
      <c r="E2013"/>
      <c r="F2013"/>
      <c r="G2013"/>
      <c r="H2013"/>
    </row>
    <row r="2014" spans="5:8">
      <c r="E2014"/>
      <c r="F2014"/>
      <c r="G2014"/>
      <c r="H2014"/>
    </row>
    <row r="2015" spans="5:8">
      <c r="E2015"/>
      <c r="F2015"/>
      <c r="G2015"/>
      <c r="H2015"/>
    </row>
    <row r="2016" spans="5:8">
      <c r="E2016"/>
      <c r="F2016"/>
      <c r="G2016"/>
      <c r="H2016"/>
    </row>
    <row r="2017" spans="5:8">
      <c r="E2017"/>
      <c r="F2017"/>
      <c r="G2017"/>
      <c r="H2017"/>
    </row>
    <row r="2018" spans="5:8">
      <c r="E2018"/>
      <c r="F2018"/>
      <c r="G2018"/>
      <c r="H2018"/>
    </row>
    <row r="2019" spans="5:8">
      <c r="E2019"/>
      <c r="F2019"/>
      <c r="G2019"/>
      <c r="H2019"/>
    </row>
    <row r="2020" spans="5:8">
      <c r="E2020"/>
      <c r="F2020"/>
      <c r="G2020"/>
      <c r="H2020"/>
    </row>
    <row r="2021" spans="5:8">
      <c r="E2021"/>
      <c r="F2021"/>
      <c r="G2021"/>
      <c r="H2021"/>
    </row>
    <row r="2022" spans="5:8">
      <c r="E2022"/>
      <c r="F2022"/>
      <c r="G2022"/>
      <c r="H2022"/>
    </row>
    <row r="2023" spans="5:8">
      <c r="E2023"/>
      <c r="F2023"/>
      <c r="G2023"/>
      <c r="H2023"/>
    </row>
    <row r="2024" spans="5:8">
      <c r="E2024"/>
      <c r="F2024"/>
      <c r="G2024"/>
      <c r="H2024"/>
    </row>
    <row r="2025" spans="5:8">
      <c r="E2025"/>
      <c r="F2025"/>
      <c r="G2025"/>
      <c r="H2025"/>
    </row>
    <row r="2026" spans="5:8">
      <c r="E2026"/>
      <c r="F2026"/>
      <c r="G2026"/>
      <c r="H2026"/>
    </row>
    <row r="2027" spans="5:8">
      <c r="E2027"/>
      <c r="F2027"/>
      <c r="G2027"/>
      <c r="H2027"/>
    </row>
    <row r="2028" spans="5:8">
      <c r="E2028"/>
      <c r="F2028"/>
      <c r="G2028"/>
      <c r="H2028"/>
    </row>
    <row r="2029" spans="5:8">
      <c r="E2029"/>
      <c r="F2029"/>
      <c r="G2029"/>
      <c r="H2029"/>
    </row>
    <row r="2030" spans="5:8">
      <c r="E2030"/>
      <c r="F2030"/>
      <c r="G2030"/>
      <c r="H2030"/>
    </row>
    <row r="2031" spans="5:8">
      <c r="E2031"/>
      <c r="F2031"/>
      <c r="G2031"/>
      <c r="H2031"/>
    </row>
    <row r="2032" spans="5:8">
      <c r="E2032"/>
      <c r="F2032"/>
      <c r="G2032"/>
      <c r="H2032"/>
    </row>
    <row r="2033" spans="5:8">
      <c r="E2033"/>
      <c r="F2033"/>
      <c r="G2033"/>
      <c r="H2033"/>
    </row>
    <row r="2034" spans="5:8">
      <c r="E2034"/>
      <c r="F2034"/>
      <c r="G2034"/>
      <c r="H2034"/>
    </row>
    <row r="2035" spans="5:8">
      <c r="E2035"/>
      <c r="F2035"/>
      <c r="G2035"/>
      <c r="H2035"/>
    </row>
    <row r="2036" spans="5:8">
      <c r="E2036"/>
      <c r="F2036"/>
      <c r="G2036"/>
      <c r="H2036"/>
    </row>
    <row r="2037" spans="5:8">
      <c r="E2037"/>
      <c r="F2037"/>
      <c r="G2037"/>
      <c r="H2037"/>
    </row>
    <row r="2038" spans="5:8">
      <c r="E2038"/>
      <c r="F2038"/>
      <c r="G2038"/>
      <c r="H2038"/>
    </row>
    <row r="2039" spans="5:8">
      <c r="E2039"/>
      <c r="F2039"/>
      <c r="G2039"/>
      <c r="H2039"/>
    </row>
    <row r="2040" spans="5:8">
      <c r="E2040"/>
      <c r="F2040"/>
      <c r="G2040"/>
      <c r="H2040"/>
    </row>
    <row r="2041" spans="5:8">
      <c r="E2041"/>
      <c r="F2041"/>
      <c r="G2041"/>
      <c r="H2041"/>
    </row>
    <row r="2042" spans="5:8">
      <c r="E2042"/>
      <c r="F2042"/>
      <c r="G2042"/>
      <c r="H2042"/>
    </row>
    <row r="2043" spans="5:8">
      <c r="E2043"/>
      <c r="F2043"/>
      <c r="G2043"/>
      <c r="H2043"/>
    </row>
    <row r="2044" spans="5:8">
      <c r="E2044"/>
      <c r="F2044"/>
      <c r="G2044"/>
      <c r="H2044"/>
    </row>
    <row r="2045" spans="5:8">
      <c r="E2045"/>
      <c r="F2045"/>
      <c r="G2045"/>
      <c r="H2045"/>
    </row>
    <row r="2046" spans="5:8">
      <c r="E2046"/>
      <c r="F2046"/>
      <c r="G2046"/>
      <c r="H2046"/>
    </row>
    <row r="2047" spans="5:8">
      <c r="E2047"/>
      <c r="F2047"/>
      <c r="G2047"/>
      <c r="H2047"/>
    </row>
    <row r="2048" spans="5:8">
      <c r="E2048"/>
      <c r="F2048"/>
      <c r="G2048"/>
      <c r="H2048"/>
    </row>
    <row r="2049" spans="5:8">
      <c r="E2049"/>
      <c r="F2049"/>
      <c r="G2049"/>
      <c r="H2049"/>
    </row>
    <row r="2050" spans="5:8">
      <c r="E2050"/>
      <c r="F2050"/>
      <c r="G2050"/>
      <c r="H2050"/>
    </row>
    <row r="2051" spans="5:8">
      <c r="E2051"/>
      <c r="F2051"/>
      <c r="G2051"/>
      <c r="H2051"/>
    </row>
    <row r="2052" spans="5:8">
      <c r="E2052"/>
      <c r="F2052"/>
      <c r="G2052"/>
      <c r="H2052"/>
    </row>
    <row r="2053" spans="5:8">
      <c r="E2053"/>
      <c r="F2053"/>
      <c r="G2053"/>
      <c r="H2053"/>
    </row>
    <row r="2054" spans="5:8">
      <c r="E2054"/>
      <c r="F2054"/>
      <c r="G2054"/>
      <c r="H2054"/>
    </row>
    <row r="2055" spans="5:8">
      <c r="E2055"/>
      <c r="F2055"/>
      <c r="G2055"/>
      <c r="H2055"/>
    </row>
    <row r="2056" spans="5:8">
      <c r="E2056"/>
      <c r="F2056"/>
      <c r="G2056"/>
      <c r="H2056"/>
    </row>
    <row r="2057" spans="5:8">
      <c r="E2057"/>
      <c r="F2057"/>
      <c r="G2057"/>
      <c r="H2057"/>
    </row>
    <row r="2058" spans="5:8">
      <c r="E2058"/>
      <c r="F2058"/>
      <c r="G2058"/>
      <c r="H2058"/>
    </row>
    <row r="2059" spans="5:8">
      <c r="E2059"/>
      <c r="F2059"/>
      <c r="G2059"/>
      <c r="H2059"/>
    </row>
    <row r="2060" spans="5:8">
      <c r="E2060"/>
      <c r="F2060"/>
      <c r="G2060"/>
      <c r="H2060"/>
    </row>
    <row r="2061" spans="5:8">
      <c r="E2061"/>
      <c r="F2061"/>
      <c r="G2061"/>
      <c r="H2061"/>
    </row>
    <row r="2062" spans="5:8">
      <c r="E2062"/>
      <c r="F2062"/>
      <c r="G2062"/>
      <c r="H2062"/>
    </row>
    <row r="2063" spans="5:8">
      <c r="E2063"/>
      <c r="F2063"/>
      <c r="G2063"/>
      <c r="H2063"/>
    </row>
    <row r="2064" spans="5:8">
      <c r="E2064"/>
      <c r="F2064"/>
      <c r="G2064"/>
      <c r="H2064"/>
    </row>
    <row r="2065" spans="5:8">
      <c r="E2065"/>
      <c r="F2065"/>
      <c r="G2065"/>
      <c r="H2065"/>
    </row>
    <row r="2066" spans="5:8">
      <c r="E2066"/>
      <c r="F2066"/>
      <c r="G2066"/>
      <c r="H2066"/>
    </row>
    <row r="2067" spans="5:8">
      <c r="E2067"/>
      <c r="F2067"/>
      <c r="G2067"/>
      <c r="H2067"/>
    </row>
    <row r="2068" spans="5:8">
      <c r="E2068"/>
      <c r="F2068"/>
      <c r="G2068"/>
      <c r="H2068"/>
    </row>
    <row r="2069" spans="5:8">
      <c r="E2069"/>
      <c r="F2069"/>
      <c r="G2069"/>
      <c r="H2069"/>
    </row>
    <row r="2070" spans="5:8">
      <c r="E2070"/>
      <c r="F2070"/>
      <c r="G2070"/>
      <c r="H2070"/>
    </row>
    <row r="2071" spans="5:8">
      <c r="E2071"/>
      <c r="F2071"/>
      <c r="G2071"/>
      <c r="H2071"/>
    </row>
    <row r="2072" spans="5:8">
      <c r="E2072"/>
      <c r="F2072"/>
      <c r="G2072"/>
      <c r="H2072"/>
    </row>
    <row r="2073" spans="5:8">
      <c r="E2073"/>
      <c r="F2073"/>
      <c r="G2073"/>
      <c r="H2073"/>
    </row>
    <row r="2074" spans="5:8">
      <c r="E2074"/>
      <c r="F2074"/>
      <c r="G2074"/>
      <c r="H2074"/>
    </row>
    <row r="2075" spans="5:8">
      <c r="E2075"/>
      <c r="F2075"/>
      <c r="G2075"/>
      <c r="H2075"/>
    </row>
    <row r="2076" spans="5:8">
      <c r="E2076"/>
      <c r="F2076"/>
      <c r="G2076"/>
      <c r="H2076"/>
    </row>
    <row r="2077" spans="5:8">
      <c r="E2077"/>
      <c r="F2077"/>
      <c r="G2077"/>
      <c r="H2077"/>
    </row>
    <row r="2078" spans="5:8">
      <c r="E2078"/>
      <c r="F2078"/>
      <c r="G2078"/>
      <c r="H2078"/>
    </row>
    <row r="2079" spans="5:8">
      <c r="E2079"/>
      <c r="F2079"/>
      <c r="G2079"/>
      <c r="H2079"/>
    </row>
    <row r="2080" spans="5:8">
      <c r="E2080"/>
      <c r="F2080"/>
      <c r="G2080"/>
      <c r="H2080"/>
    </row>
    <row r="2081" spans="5:8">
      <c r="E2081"/>
      <c r="F2081"/>
      <c r="G2081"/>
      <c r="H2081"/>
    </row>
    <row r="2082" spans="5:8">
      <c r="E2082"/>
      <c r="F2082"/>
      <c r="G2082"/>
      <c r="H2082"/>
    </row>
    <row r="2083" spans="5:8">
      <c r="E2083"/>
      <c r="F2083"/>
      <c r="G2083"/>
      <c r="H2083"/>
    </row>
    <row r="2084" spans="5:8">
      <c r="E2084"/>
      <c r="F2084"/>
      <c r="G2084"/>
      <c r="H2084"/>
    </row>
    <row r="2085" spans="5:8">
      <c r="E2085"/>
      <c r="F2085"/>
      <c r="G2085"/>
      <c r="H2085"/>
    </row>
    <row r="2086" spans="5:8">
      <c r="E2086"/>
      <c r="F2086"/>
      <c r="G2086"/>
      <c r="H2086"/>
    </row>
    <row r="2087" spans="5:8">
      <c r="E2087"/>
      <c r="F2087"/>
      <c r="G2087"/>
      <c r="H2087"/>
    </row>
    <row r="2088" spans="5:8">
      <c r="E2088"/>
      <c r="F2088"/>
      <c r="G2088"/>
      <c r="H2088"/>
    </row>
    <row r="2089" spans="5:8">
      <c r="E2089"/>
      <c r="F2089"/>
      <c r="G2089"/>
      <c r="H2089"/>
    </row>
    <row r="2090" spans="5:8">
      <c r="E2090"/>
      <c r="F2090"/>
      <c r="G2090"/>
      <c r="H2090"/>
    </row>
    <row r="2091" spans="5:8">
      <c r="E2091"/>
      <c r="F2091"/>
      <c r="G2091"/>
      <c r="H2091"/>
    </row>
    <row r="2092" spans="5:8">
      <c r="E2092"/>
      <c r="F2092"/>
      <c r="G2092"/>
      <c r="H2092"/>
    </row>
    <row r="2093" spans="5:8">
      <c r="E2093"/>
      <c r="F2093"/>
      <c r="G2093"/>
      <c r="H2093"/>
    </row>
    <row r="2094" spans="5:8">
      <c r="E2094"/>
      <c r="F2094"/>
      <c r="G2094"/>
      <c r="H2094"/>
    </row>
    <row r="2095" spans="5:8">
      <c r="E2095"/>
      <c r="F2095"/>
      <c r="G2095"/>
      <c r="H2095"/>
    </row>
    <row r="2096" spans="5:8">
      <c r="E2096"/>
      <c r="F2096"/>
      <c r="G2096"/>
      <c r="H2096"/>
    </row>
    <row r="2097" spans="5:8">
      <c r="E2097"/>
      <c r="F2097"/>
      <c r="G2097"/>
      <c r="H2097"/>
    </row>
    <row r="2098" spans="5:8">
      <c r="E2098"/>
      <c r="F2098"/>
      <c r="G2098"/>
      <c r="H2098"/>
    </row>
    <row r="2099" spans="5:8">
      <c r="E2099"/>
      <c r="F2099"/>
      <c r="G2099"/>
      <c r="H2099"/>
    </row>
    <row r="2100" spans="5:8">
      <c r="E2100"/>
      <c r="F2100"/>
      <c r="G2100"/>
      <c r="H2100"/>
    </row>
    <row r="2101" spans="5:8">
      <c r="E2101"/>
      <c r="F2101"/>
      <c r="G2101"/>
      <c r="H2101"/>
    </row>
    <row r="2102" spans="5:8">
      <c r="E2102"/>
      <c r="F2102"/>
      <c r="G2102"/>
      <c r="H2102"/>
    </row>
    <row r="2103" spans="5:8">
      <c r="E2103"/>
      <c r="F2103"/>
      <c r="G2103"/>
      <c r="H2103"/>
    </row>
    <row r="2104" spans="5:8">
      <c r="E2104"/>
      <c r="F2104"/>
      <c r="G2104"/>
      <c r="H2104"/>
    </row>
    <row r="2105" spans="5:8">
      <c r="E2105"/>
      <c r="F2105"/>
      <c r="G2105"/>
      <c r="H2105"/>
    </row>
    <row r="2106" spans="5:8">
      <c r="E2106"/>
      <c r="F2106"/>
      <c r="G2106"/>
      <c r="H2106"/>
    </row>
    <row r="2107" spans="5:8">
      <c r="E2107"/>
      <c r="F2107"/>
      <c r="G2107"/>
      <c r="H2107"/>
    </row>
    <row r="2108" spans="5:8">
      <c r="E2108"/>
      <c r="F2108"/>
      <c r="G2108"/>
      <c r="H2108"/>
    </row>
    <row r="2109" spans="5:8">
      <c r="E2109"/>
      <c r="F2109"/>
      <c r="G2109"/>
      <c r="H2109"/>
    </row>
    <row r="2110" spans="5:8">
      <c r="E2110"/>
      <c r="F2110"/>
      <c r="G2110"/>
      <c r="H2110"/>
    </row>
    <row r="2111" spans="5:8">
      <c r="E2111"/>
      <c r="F2111"/>
      <c r="G2111"/>
      <c r="H2111"/>
    </row>
    <row r="2112" spans="5:8">
      <c r="E2112"/>
      <c r="F2112"/>
      <c r="G2112"/>
      <c r="H2112"/>
    </row>
    <row r="2113" spans="5:8">
      <c r="E2113"/>
      <c r="F2113"/>
      <c r="G2113"/>
      <c r="H2113"/>
    </row>
    <row r="2114" spans="5:8">
      <c r="E2114"/>
      <c r="F2114"/>
      <c r="G2114"/>
      <c r="H2114"/>
    </row>
    <row r="2115" spans="5:8">
      <c r="E2115"/>
      <c r="F2115"/>
      <c r="G2115"/>
      <c r="H2115"/>
    </row>
    <row r="2116" spans="5:8">
      <c r="E2116"/>
      <c r="F2116"/>
      <c r="G2116"/>
      <c r="H2116"/>
    </row>
    <row r="2117" spans="5:8">
      <c r="E2117"/>
      <c r="F2117"/>
      <c r="G2117"/>
      <c r="H2117"/>
    </row>
    <row r="2118" spans="5:8">
      <c r="E2118"/>
      <c r="F2118"/>
      <c r="G2118"/>
      <c r="H2118"/>
    </row>
    <row r="2119" spans="5:8">
      <c r="E2119"/>
      <c r="F2119"/>
      <c r="G2119"/>
      <c r="H2119"/>
    </row>
    <row r="2120" spans="5:8">
      <c r="E2120"/>
      <c r="F2120"/>
      <c r="G2120"/>
      <c r="H2120"/>
    </row>
    <row r="2121" spans="5:8">
      <c r="E2121"/>
      <c r="F2121"/>
      <c r="G2121"/>
      <c r="H2121"/>
    </row>
    <row r="2122" spans="5:8">
      <c r="E2122"/>
      <c r="F2122"/>
      <c r="G2122"/>
      <c r="H2122"/>
    </row>
    <row r="2123" spans="5:8">
      <c r="E2123"/>
      <c r="F2123"/>
      <c r="G2123"/>
      <c r="H2123"/>
    </row>
    <row r="2124" spans="5:8">
      <c r="E2124"/>
      <c r="F2124"/>
      <c r="G2124"/>
      <c r="H2124"/>
    </row>
    <row r="2125" spans="5:8">
      <c r="E2125"/>
      <c r="F2125"/>
      <c r="G2125"/>
      <c r="H2125"/>
    </row>
    <row r="2126" spans="5:8">
      <c r="E2126"/>
      <c r="F2126"/>
      <c r="G2126"/>
      <c r="H2126"/>
    </row>
    <row r="2127" spans="5:8">
      <c r="E2127"/>
      <c r="F2127"/>
      <c r="G2127"/>
      <c r="H2127"/>
    </row>
    <row r="2128" spans="5:8">
      <c r="E2128"/>
      <c r="F2128"/>
      <c r="G2128"/>
      <c r="H2128"/>
    </row>
    <row r="2129" spans="5:8">
      <c r="E2129"/>
      <c r="F2129"/>
      <c r="G2129"/>
      <c r="H2129"/>
    </row>
    <row r="2130" spans="5:8">
      <c r="E2130"/>
      <c r="F2130"/>
      <c r="G2130"/>
      <c r="H2130"/>
    </row>
    <row r="2131" spans="5:8">
      <c r="E2131"/>
      <c r="F2131"/>
      <c r="G2131"/>
      <c r="H2131"/>
    </row>
    <row r="2132" spans="5:8">
      <c r="E2132"/>
      <c r="F2132"/>
      <c r="G2132"/>
      <c r="H2132"/>
    </row>
    <row r="2133" spans="5:8">
      <c r="E2133"/>
      <c r="F2133"/>
      <c r="G2133"/>
      <c r="H2133"/>
    </row>
    <row r="2134" spans="5:8">
      <c r="E2134"/>
      <c r="F2134"/>
      <c r="G2134"/>
      <c r="H2134"/>
    </row>
    <row r="2135" spans="5:8">
      <c r="E2135"/>
      <c r="F2135"/>
      <c r="G2135"/>
      <c r="H2135"/>
    </row>
    <row r="2136" spans="5:8">
      <c r="E2136"/>
      <c r="F2136"/>
      <c r="G2136"/>
      <c r="H2136"/>
    </row>
    <row r="2137" spans="5:8">
      <c r="E2137"/>
      <c r="F2137"/>
      <c r="G2137"/>
      <c r="H2137"/>
    </row>
    <row r="2138" spans="5:8">
      <c r="E2138"/>
      <c r="F2138"/>
      <c r="G2138"/>
      <c r="H2138"/>
    </row>
    <row r="2139" spans="5:8">
      <c r="E2139"/>
      <c r="F2139"/>
      <c r="G2139"/>
      <c r="H2139"/>
    </row>
    <row r="2140" spans="5:8">
      <c r="E2140"/>
      <c r="F2140"/>
      <c r="G2140"/>
      <c r="H2140"/>
    </row>
    <row r="2141" spans="5:8">
      <c r="E2141"/>
      <c r="F2141"/>
      <c r="G2141"/>
      <c r="H2141"/>
    </row>
    <row r="2142" spans="5:8">
      <c r="E2142"/>
      <c r="F2142"/>
      <c r="G2142"/>
      <c r="H2142"/>
    </row>
    <row r="2143" spans="5:8">
      <c r="E2143"/>
      <c r="F2143"/>
      <c r="G2143"/>
      <c r="H2143"/>
    </row>
    <row r="2144" spans="5:8">
      <c r="E2144"/>
      <c r="F2144"/>
      <c r="G2144"/>
      <c r="H2144"/>
    </row>
    <row r="2145" spans="5:8">
      <c r="E2145"/>
      <c r="F2145"/>
      <c r="G2145"/>
      <c r="H2145"/>
    </row>
    <row r="2146" spans="5:8">
      <c r="E2146"/>
      <c r="F2146"/>
      <c r="G2146"/>
      <c r="H2146"/>
    </row>
    <row r="2147" spans="5:8">
      <c r="E2147"/>
      <c r="F2147"/>
      <c r="G2147"/>
      <c r="H2147"/>
    </row>
    <row r="2148" spans="5:8">
      <c r="E2148"/>
      <c r="F2148"/>
      <c r="G2148"/>
      <c r="H2148"/>
    </row>
    <row r="2149" spans="5:8">
      <c r="E2149"/>
      <c r="F2149"/>
      <c r="G2149"/>
      <c r="H2149"/>
    </row>
    <row r="2150" spans="5:8">
      <c r="E2150"/>
      <c r="F2150"/>
      <c r="G2150"/>
      <c r="H2150"/>
    </row>
    <row r="2151" spans="5:8">
      <c r="E2151"/>
      <c r="F2151"/>
      <c r="G2151"/>
      <c r="H2151"/>
    </row>
    <row r="2152" spans="5:8">
      <c r="E2152"/>
      <c r="F2152"/>
      <c r="G2152"/>
      <c r="H2152"/>
    </row>
    <row r="2153" spans="5:8">
      <c r="E2153"/>
      <c r="F2153"/>
      <c r="G2153"/>
      <c r="H2153"/>
    </row>
    <row r="2154" spans="5:8">
      <c r="E2154"/>
      <c r="F2154"/>
      <c r="G2154"/>
      <c r="H2154"/>
    </row>
    <row r="2155" spans="5:8">
      <c r="E2155"/>
      <c r="F2155"/>
      <c r="G2155"/>
      <c r="H2155"/>
    </row>
    <row r="2156" spans="5:8">
      <c r="E2156"/>
      <c r="F2156"/>
      <c r="G2156"/>
      <c r="H2156"/>
    </row>
    <row r="2157" spans="5:8">
      <c r="E2157"/>
      <c r="F2157"/>
      <c r="G2157"/>
      <c r="H2157"/>
    </row>
    <row r="2158" spans="5:8">
      <c r="E2158"/>
      <c r="F2158"/>
      <c r="G2158"/>
      <c r="H2158"/>
    </row>
    <row r="2159" spans="5:8">
      <c r="E2159"/>
      <c r="F2159"/>
      <c r="G2159"/>
      <c r="H2159"/>
    </row>
    <row r="2160" spans="5:8">
      <c r="E2160"/>
      <c r="F2160"/>
      <c r="G2160"/>
      <c r="H2160"/>
    </row>
    <row r="2161" spans="5:8">
      <c r="E2161"/>
      <c r="F2161"/>
      <c r="G2161"/>
      <c r="H2161"/>
    </row>
    <row r="2162" spans="5:8">
      <c r="E2162"/>
      <c r="F2162"/>
      <c r="G2162"/>
      <c r="H2162"/>
    </row>
    <row r="2163" spans="5:8">
      <c r="E2163"/>
      <c r="F2163"/>
      <c r="G2163"/>
      <c r="H2163"/>
    </row>
    <row r="2164" spans="5:8">
      <c r="E2164"/>
      <c r="F2164"/>
      <c r="G2164"/>
      <c r="H2164"/>
    </row>
    <row r="2165" spans="5:8">
      <c r="E2165"/>
      <c r="F2165"/>
      <c r="G2165"/>
      <c r="H2165"/>
    </row>
    <row r="2166" spans="5:8">
      <c r="E2166"/>
      <c r="F2166"/>
      <c r="G2166"/>
      <c r="H2166"/>
    </row>
    <row r="2167" spans="5:8">
      <c r="E2167"/>
      <c r="F2167"/>
      <c r="G2167"/>
      <c r="H2167"/>
    </row>
    <row r="2168" spans="5:8">
      <c r="E2168"/>
      <c r="F2168"/>
      <c r="G2168"/>
      <c r="H2168"/>
    </row>
    <row r="2169" spans="5:8">
      <c r="E2169"/>
      <c r="F2169"/>
      <c r="G2169"/>
      <c r="H2169"/>
    </row>
    <row r="2170" spans="5:8">
      <c r="E2170"/>
      <c r="F2170"/>
      <c r="G2170"/>
      <c r="H2170"/>
    </row>
    <row r="2171" spans="5:8">
      <c r="E2171"/>
      <c r="F2171"/>
      <c r="G2171"/>
      <c r="H2171"/>
    </row>
    <row r="2172" spans="5:8">
      <c r="E2172"/>
      <c r="F2172"/>
      <c r="G2172"/>
      <c r="H2172"/>
    </row>
    <row r="2173" spans="5:8">
      <c r="E2173"/>
      <c r="F2173"/>
      <c r="G2173"/>
      <c r="H2173"/>
    </row>
    <row r="2174" spans="5:8">
      <c r="E2174"/>
      <c r="F2174"/>
      <c r="G2174"/>
      <c r="H2174"/>
    </row>
    <row r="2175" spans="5:8">
      <c r="E2175"/>
      <c r="F2175"/>
      <c r="G2175"/>
      <c r="H2175"/>
    </row>
    <row r="2176" spans="5:8">
      <c r="E2176"/>
      <c r="F2176"/>
      <c r="G2176"/>
      <c r="H2176"/>
    </row>
    <row r="2177" spans="5:8">
      <c r="E2177"/>
      <c r="F2177"/>
      <c r="G2177"/>
      <c r="H2177"/>
    </row>
    <row r="2178" spans="5:8">
      <c r="E2178"/>
      <c r="F2178"/>
      <c r="G2178"/>
      <c r="H2178"/>
    </row>
    <row r="2179" spans="5:8">
      <c r="E2179"/>
      <c r="F2179"/>
      <c r="G2179"/>
      <c r="H2179"/>
    </row>
    <row r="2180" spans="5:8">
      <c r="E2180"/>
      <c r="F2180"/>
      <c r="G2180"/>
      <c r="H2180"/>
    </row>
    <row r="2181" spans="5:8">
      <c r="E2181"/>
      <c r="F2181"/>
      <c r="G2181"/>
      <c r="H2181"/>
    </row>
    <row r="2182" spans="5:8">
      <c r="E2182"/>
      <c r="F2182"/>
      <c r="G2182"/>
      <c r="H2182"/>
    </row>
    <row r="2183" spans="5:8">
      <c r="E2183"/>
      <c r="F2183"/>
      <c r="G2183"/>
      <c r="H2183"/>
    </row>
    <row r="2184" spans="5:8">
      <c r="E2184"/>
      <c r="F2184"/>
      <c r="G2184"/>
      <c r="H2184"/>
    </row>
    <row r="2185" spans="5:8">
      <c r="E2185"/>
      <c r="F2185"/>
      <c r="G2185"/>
      <c r="H2185"/>
    </row>
    <row r="2186" spans="5:8">
      <c r="E2186"/>
      <c r="F2186"/>
      <c r="G2186"/>
      <c r="H2186"/>
    </row>
    <row r="2187" spans="5:8">
      <c r="E2187"/>
      <c r="F2187"/>
      <c r="G2187"/>
      <c r="H2187"/>
    </row>
    <row r="2188" spans="5:8">
      <c r="E2188"/>
      <c r="F2188"/>
      <c r="G2188"/>
      <c r="H2188"/>
    </row>
    <row r="2189" spans="5:8">
      <c r="E2189"/>
      <c r="F2189"/>
      <c r="G2189"/>
      <c r="H2189"/>
    </row>
    <row r="2190" spans="5:8">
      <c r="E2190"/>
      <c r="F2190"/>
      <c r="G2190"/>
      <c r="H2190"/>
    </row>
    <row r="2191" spans="5:8">
      <c r="E2191"/>
      <c r="F2191"/>
      <c r="G2191"/>
      <c r="H2191"/>
    </row>
    <row r="2192" spans="5:8">
      <c r="E2192"/>
      <c r="F2192"/>
      <c r="G2192"/>
      <c r="H2192"/>
    </row>
    <row r="2193" spans="5:8">
      <c r="E2193"/>
      <c r="F2193"/>
      <c r="G2193"/>
      <c r="H2193"/>
    </row>
    <row r="2194" spans="5:8">
      <c r="E2194"/>
      <c r="F2194"/>
      <c r="G2194"/>
      <c r="H2194"/>
    </row>
    <row r="2195" spans="5:8">
      <c r="E2195"/>
      <c r="F2195"/>
      <c r="G2195"/>
      <c r="H2195"/>
    </row>
    <row r="2196" spans="5:8">
      <c r="E2196"/>
      <c r="F2196"/>
      <c r="G2196"/>
      <c r="H2196"/>
    </row>
    <row r="2197" spans="5:8">
      <c r="E2197"/>
      <c r="F2197"/>
      <c r="G2197"/>
      <c r="H2197"/>
    </row>
    <row r="2198" spans="5:8">
      <c r="E2198"/>
      <c r="F2198"/>
      <c r="G2198"/>
      <c r="H2198"/>
    </row>
    <row r="2199" spans="5:8">
      <c r="E2199"/>
      <c r="F2199"/>
      <c r="G2199"/>
      <c r="H2199"/>
    </row>
    <row r="2200" spans="5:8">
      <c r="E2200"/>
      <c r="F2200"/>
      <c r="G2200"/>
      <c r="H2200"/>
    </row>
    <row r="2201" spans="5:8">
      <c r="E2201"/>
      <c r="F2201"/>
      <c r="G2201"/>
      <c r="H2201"/>
    </row>
    <row r="2202" spans="5:8">
      <c r="E2202"/>
      <c r="F2202"/>
      <c r="G2202"/>
      <c r="H2202"/>
    </row>
    <row r="2203" spans="5:8">
      <c r="E2203"/>
      <c r="F2203"/>
      <c r="G2203"/>
      <c r="H2203"/>
    </row>
    <row r="2204" spans="5:8">
      <c r="E2204"/>
      <c r="F2204"/>
      <c r="G2204"/>
      <c r="H2204"/>
    </row>
    <row r="2205" spans="5:8">
      <c r="E2205"/>
      <c r="F2205"/>
      <c r="G2205"/>
      <c r="H2205"/>
    </row>
    <row r="2206" spans="5:8">
      <c r="E2206"/>
      <c r="F2206"/>
      <c r="G2206"/>
      <c r="H2206"/>
    </row>
    <row r="2207" spans="5:8">
      <c r="E2207"/>
      <c r="F2207"/>
      <c r="G2207"/>
      <c r="H2207"/>
    </row>
    <row r="2208" spans="5:8">
      <c r="E2208"/>
      <c r="F2208"/>
      <c r="G2208"/>
      <c r="H2208"/>
    </row>
    <row r="2209" spans="5:8">
      <c r="E2209"/>
      <c r="F2209"/>
      <c r="G2209"/>
      <c r="H2209"/>
    </row>
    <row r="2210" spans="5:8">
      <c r="E2210"/>
      <c r="F2210"/>
      <c r="G2210"/>
      <c r="H2210"/>
    </row>
    <row r="2211" spans="5:8">
      <c r="E2211"/>
      <c r="F2211"/>
      <c r="G2211"/>
      <c r="H2211"/>
    </row>
    <row r="2212" spans="5:8">
      <c r="E2212"/>
      <c r="F2212"/>
      <c r="G2212"/>
      <c r="H2212"/>
    </row>
    <row r="2213" spans="5:8">
      <c r="E2213"/>
      <c r="F2213"/>
      <c r="G2213"/>
      <c r="H2213"/>
    </row>
    <row r="2214" spans="5:8">
      <c r="E2214"/>
      <c r="F2214"/>
      <c r="G2214"/>
      <c r="H2214"/>
    </row>
    <row r="2215" spans="5:8">
      <c r="E2215"/>
      <c r="F2215"/>
      <c r="G2215"/>
      <c r="H2215"/>
    </row>
    <row r="2216" spans="5:8">
      <c r="E2216"/>
      <c r="F2216"/>
      <c r="G2216"/>
      <c r="H2216"/>
    </row>
    <row r="2217" spans="5:8">
      <c r="E2217"/>
      <c r="F2217"/>
      <c r="G2217"/>
      <c r="H2217"/>
    </row>
    <row r="2218" spans="5:8">
      <c r="E2218"/>
      <c r="F2218"/>
      <c r="G2218"/>
      <c r="H2218"/>
    </row>
    <row r="2219" spans="5:8">
      <c r="E2219"/>
      <c r="F2219"/>
      <c r="G2219"/>
      <c r="H2219"/>
    </row>
    <row r="2220" spans="5:8">
      <c r="E2220"/>
      <c r="F2220"/>
      <c r="G2220"/>
      <c r="H2220"/>
    </row>
    <row r="2221" spans="5:8">
      <c r="E2221"/>
      <c r="F2221"/>
      <c r="G2221"/>
      <c r="H2221"/>
    </row>
    <row r="2222" spans="5:8">
      <c r="E2222"/>
      <c r="F2222"/>
      <c r="G2222"/>
      <c r="H2222"/>
    </row>
    <row r="2223" spans="5:8">
      <c r="E2223"/>
      <c r="F2223"/>
      <c r="G2223"/>
      <c r="H2223"/>
    </row>
    <row r="2224" spans="5:8">
      <c r="E2224"/>
      <c r="F2224"/>
      <c r="G2224"/>
      <c r="H2224"/>
    </row>
    <row r="2225" spans="5:8">
      <c r="E2225"/>
      <c r="F2225"/>
      <c r="G2225"/>
      <c r="H2225"/>
    </row>
    <row r="2226" spans="5:8">
      <c r="E2226"/>
      <c r="F2226"/>
      <c r="G2226"/>
      <c r="H2226"/>
    </row>
    <row r="2227" spans="5:8">
      <c r="E2227"/>
      <c r="F2227"/>
      <c r="G2227"/>
      <c r="H2227"/>
    </row>
    <row r="2228" spans="5:8">
      <c r="E2228"/>
      <c r="F2228"/>
      <c r="G2228"/>
      <c r="H2228"/>
    </row>
    <row r="2229" spans="5:8">
      <c r="E2229"/>
      <c r="F2229"/>
      <c r="G2229"/>
      <c r="H2229"/>
    </row>
    <row r="2230" spans="5:8">
      <c r="E2230"/>
      <c r="F2230"/>
      <c r="G2230"/>
      <c r="H2230"/>
    </row>
    <row r="2231" spans="5:8">
      <c r="E2231"/>
      <c r="F2231"/>
      <c r="G2231"/>
      <c r="H2231"/>
    </row>
    <row r="2232" spans="5:8">
      <c r="E2232"/>
      <c r="F2232"/>
      <c r="G2232"/>
      <c r="H2232"/>
    </row>
    <row r="2233" spans="5:8">
      <c r="E2233"/>
      <c r="F2233"/>
      <c r="G2233"/>
      <c r="H2233"/>
    </row>
    <row r="2234" spans="5:8">
      <c r="E2234"/>
      <c r="F2234"/>
      <c r="G2234"/>
      <c r="H2234"/>
    </row>
    <row r="2235" spans="5:8">
      <c r="E2235"/>
      <c r="F2235"/>
      <c r="G2235"/>
      <c r="H2235"/>
    </row>
    <row r="2236" spans="5:8">
      <c r="E2236"/>
      <c r="F2236"/>
      <c r="G2236"/>
      <c r="H2236"/>
    </row>
    <row r="2237" spans="5:8">
      <c r="E2237"/>
      <c r="F2237"/>
      <c r="G2237"/>
      <c r="H2237"/>
    </row>
    <row r="2238" spans="5:8">
      <c r="E2238"/>
      <c r="F2238"/>
      <c r="G2238"/>
      <c r="H2238"/>
    </row>
    <row r="2239" spans="5:8">
      <c r="E2239"/>
      <c r="F2239"/>
      <c r="G2239"/>
      <c r="H2239"/>
    </row>
    <row r="2240" spans="5:8">
      <c r="E2240"/>
      <c r="F2240"/>
      <c r="G2240"/>
      <c r="H2240"/>
    </row>
    <row r="2241" spans="5:8">
      <c r="E2241"/>
      <c r="F2241"/>
      <c r="G2241"/>
      <c r="H2241"/>
    </row>
    <row r="2242" spans="5:8">
      <c r="E2242"/>
      <c r="F2242"/>
      <c r="G2242"/>
      <c r="H2242"/>
    </row>
    <row r="2243" spans="5:8">
      <c r="E2243"/>
      <c r="F2243"/>
      <c r="G2243"/>
      <c r="H2243"/>
    </row>
    <row r="2244" spans="5:8">
      <c r="E2244"/>
      <c r="F2244"/>
      <c r="G2244"/>
      <c r="H2244"/>
    </row>
    <row r="2245" spans="5:8">
      <c r="E2245"/>
      <c r="F2245"/>
      <c r="G2245"/>
      <c r="H2245"/>
    </row>
    <row r="2246" spans="5:8">
      <c r="E2246"/>
      <c r="F2246"/>
      <c r="G2246"/>
      <c r="H2246"/>
    </row>
    <row r="2247" spans="5:8">
      <c r="E2247"/>
      <c r="F2247"/>
      <c r="G2247"/>
      <c r="H2247"/>
    </row>
    <row r="2248" spans="5:8">
      <c r="E2248"/>
      <c r="F2248"/>
      <c r="G2248"/>
      <c r="H2248"/>
    </row>
    <row r="2249" spans="5:8">
      <c r="E2249"/>
      <c r="F2249"/>
      <c r="G2249"/>
      <c r="H2249"/>
    </row>
    <row r="2250" spans="5:8">
      <c r="E2250"/>
      <c r="F2250"/>
      <c r="G2250"/>
      <c r="H2250"/>
    </row>
    <row r="2251" spans="5:8">
      <c r="E2251"/>
      <c r="F2251"/>
      <c r="G2251"/>
      <c r="H2251"/>
    </row>
    <row r="2252" spans="5:8">
      <c r="E2252"/>
      <c r="F2252"/>
      <c r="G2252"/>
      <c r="H2252"/>
    </row>
    <row r="2253" spans="5:8">
      <c r="E2253"/>
      <c r="F2253"/>
      <c r="G2253"/>
      <c r="H2253"/>
    </row>
    <row r="2254" spans="5:8">
      <c r="E2254"/>
      <c r="F2254"/>
      <c r="G2254"/>
      <c r="H2254"/>
    </row>
    <row r="2255" spans="5:8">
      <c r="E2255"/>
      <c r="F2255"/>
      <c r="G2255"/>
      <c r="H2255"/>
    </row>
    <row r="2256" spans="5:8">
      <c r="E2256"/>
      <c r="F2256"/>
      <c r="G2256"/>
      <c r="H2256"/>
    </row>
    <row r="2257" spans="5:8">
      <c r="E2257"/>
      <c r="F2257"/>
      <c r="G2257"/>
      <c r="H2257"/>
    </row>
    <row r="2258" spans="5:8">
      <c r="E2258"/>
      <c r="F2258"/>
      <c r="G2258"/>
      <c r="H2258"/>
    </row>
    <row r="2259" spans="5:8">
      <c r="E2259"/>
      <c r="F2259"/>
      <c r="G2259"/>
      <c r="H2259"/>
    </row>
    <row r="2260" spans="5:8">
      <c r="E2260"/>
      <c r="F2260"/>
      <c r="G2260"/>
      <c r="H2260"/>
    </row>
    <row r="2261" spans="5:8">
      <c r="E2261"/>
      <c r="F2261"/>
      <c r="G2261"/>
      <c r="H2261"/>
    </row>
    <row r="2262" spans="5:8">
      <c r="E2262"/>
      <c r="F2262"/>
      <c r="G2262"/>
      <c r="H2262"/>
    </row>
    <row r="2263" spans="5:8">
      <c r="E2263"/>
      <c r="F2263"/>
      <c r="G2263"/>
      <c r="H2263"/>
    </row>
    <row r="2264" spans="5:8">
      <c r="E2264"/>
      <c r="F2264"/>
      <c r="G2264"/>
      <c r="H2264"/>
    </row>
    <row r="2265" spans="5:8">
      <c r="E2265"/>
      <c r="F2265"/>
      <c r="G2265"/>
      <c r="H2265"/>
    </row>
    <row r="2266" spans="5:8">
      <c r="E2266"/>
      <c r="F2266"/>
      <c r="G2266"/>
      <c r="H2266"/>
    </row>
    <row r="2267" spans="5:8">
      <c r="E2267"/>
      <c r="F2267"/>
      <c r="G2267"/>
      <c r="H2267"/>
    </row>
    <row r="2268" spans="5:8">
      <c r="E2268"/>
      <c r="F2268"/>
      <c r="G2268"/>
      <c r="H2268"/>
    </row>
    <row r="2269" spans="5:8">
      <c r="E2269"/>
      <c r="F2269"/>
      <c r="G2269"/>
      <c r="H2269"/>
    </row>
    <row r="2270" spans="5:8">
      <c r="E2270"/>
      <c r="F2270"/>
      <c r="G2270"/>
      <c r="H2270"/>
    </row>
    <row r="2271" spans="5:8">
      <c r="E2271"/>
      <c r="F2271"/>
      <c r="G2271"/>
      <c r="H2271"/>
    </row>
    <row r="2272" spans="5:8">
      <c r="E2272"/>
      <c r="F2272"/>
      <c r="G2272"/>
      <c r="H2272"/>
    </row>
    <row r="2273" spans="5:8">
      <c r="E2273"/>
      <c r="F2273"/>
      <c r="G2273"/>
      <c r="H2273"/>
    </row>
    <row r="2274" spans="5:8">
      <c r="E2274"/>
      <c r="F2274"/>
      <c r="G2274"/>
      <c r="H2274"/>
    </row>
    <row r="2275" spans="5:8">
      <c r="E2275"/>
      <c r="F2275"/>
      <c r="G2275"/>
      <c r="H2275"/>
    </row>
    <row r="2276" spans="5:8">
      <c r="E2276"/>
      <c r="F2276"/>
      <c r="G2276"/>
      <c r="H2276"/>
    </row>
    <row r="2277" spans="5:8">
      <c r="E2277"/>
      <c r="F2277"/>
      <c r="G2277"/>
      <c r="H2277"/>
    </row>
    <row r="2278" spans="5:8">
      <c r="E2278"/>
      <c r="F2278"/>
      <c r="G2278"/>
      <c r="H2278"/>
    </row>
    <row r="2279" spans="5:8">
      <c r="E2279"/>
      <c r="F2279"/>
      <c r="G2279"/>
      <c r="H2279"/>
    </row>
    <row r="2280" spans="5:8">
      <c r="E2280"/>
      <c r="F2280"/>
      <c r="G2280"/>
      <c r="H2280"/>
    </row>
    <row r="2281" spans="5:8">
      <c r="E2281"/>
      <c r="F2281"/>
      <c r="G2281"/>
      <c r="H2281"/>
    </row>
    <row r="2282" spans="5:8">
      <c r="E2282"/>
      <c r="F2282"/>
      <c r="G2282"/>
      <c r="H2282"/>
    </row>
    <row r="2283" spans="5:8">
      <c r="E2283"/>
      <c r="F2283"/>
      <c r="G2283"/>
      <c r="H2283"/>
    </row>
    <row r="2284" spans="5:8">
      <c r="E2284"/>
      <c r="F2284"/>
      <c r="G2284"/>
      <c r="H2284"/>
    </row>
    <row r="2285" spans="5:8">
      <c r="E2285"/>
      <c r="F2285"/>
      <c r="G2285"/>
      <c r="H2285"/>
    </row>
    <row r="2286" spans="5:8">
      <c r="E2286"/>
      <c r="F2286"/>
      <c r="G2286"/>
      <c r="H2286"/>
    </row>
    <row r="2287" spans="5:8">
      <c r="E2287"/>
      <c r="F2287"/>
      <c r="G2287"/>
      <c r="H2287"/>
    </row>
    <row r="2288" spans="5:8">
      <c r="E2288"/>
      <c r="F2288"/>
      <c r="G2288"/>
      <c r="H2288"/>
    </row>
    <row r="2289" spans="5:8">
      <c r="E2289"/>
      <c r="F2289"/>
      <c r="G2289"/>
      <c r="H2289"/>
    </row>
    <row r="2290" spans="5:8">
      <c r="E2290"/>
      <c r="F2290"/>
      <c r="G2290"/>
      <c r="H2290"/>
    </row>
    <row r="2291" spans="5:8">
      <c r="E2291"/>
      <c r="F2291"/>
      <c r="G2291"/>
      <c r="H2291"/>
    </row>
    <row r="2292" spans="5:8">
      <c r="E2292"/>
      <c r="F2292"/>
      <c r="G2292"/>
      <c r="H2292"/>
    </row>
    <row r="2293" spans="5:8">
      <c r="E2293"/>
      <c r="F2293"/>
      <c r="G2293"/>
      <c r="H2293"/>
    </row>
    <row r="2294" spans="5:8">
      <c r="E2294"/>
      <c r="F2294"/>
      <c r="G2294"/>
      <c r="H2294"/>
    </row>
    <row r="2295" spans="5:8">
      <c r="E2295"/>
      <c r="F2295"/>
      <c r="G2295"/>
      <c r="H2295"/>
    </row>
    <row r="2296" spans="5:8">
      <c r="E2296"/>
      <c r="F2296"/>
      <c r="G2296"/>
      <c r="H2296"/>
    </row>
    <row r="2297" spans="5:8">
      <c r="E2297"/>
      <c r="F2297"/>
      <c r="G2297"/>
      <c r="H2297"/>
    </row>
    <row r="2298" spans="5:8">
      <c r="E2298"/>
      <c r="F2298"/>
      <c r="G2298"/>
      <c r="H2298"/>
    </row>
    <row r="2299" spans="5:8">
      <c r="E2299"/>
      <c r="F2299"/>
      <c r="G2299"/>
      <c r="H2299"/>
    </row>
    <row r="2300" spans="5:8">
      <c r="E2300"/>
      <c r="F2300"/>
      <c r="G2300"/>
      <c r="H2300"/>
    </row>
    <row r="2301" spans="5:8">
      <c r="E2301"/>
      <c r="F2301"/>
      <c r="G2301"/>
      <c r="H2301"/>
    </row>
    <row r="2302" spans="5:8">
      <c r="E2302"/>
      <c r="F2302"/>
      <c r="G2302"/>
      <c r="H2302"/>
    </row>
    <row r="2303" spans="5:8">
      <c r="E2303"/>
      <c r="F2303"/>
      <c r="G2303"/>
      <c r="H2303"/>
    </row>
    <row r="2304" spans="5:8">
      <c r="E2304"/>
      <c r="F2304"/>
      <c r="G2304"/>
      <c r="H2304"/>
    </row>
    <row r="2305" spans="5:8">
      <c r="E2305"/>
      <c r="F2305"/>
      <c r="G2305"/>
      <c r="H2305"/>
    </row>
    <row r="2306" spans="5:8">
      <c r="E2306"/>
      <c r="F2306"/>
      <c r="G2306"/>
      <c r="H2306"/>
    </row>
    <row r="2307" spans="5:8">
      <c r="E2307"/>
      <c r="F2307"/>
      <c r="G2307"/>
      <c r="H2307"/>
    </row>
    <row r="2308" spans="5:8">
      <c r="E2308"/>
      <c r="F2308"/>
      <c r="G2308"/>
      <c r="H2308"/>
    </row>
    <row r="2309" spans="5:8">
      <c r="E2309"/>
      <c r="F2309"/>
      <c r="G2309"/>
      <c r="H2309"/>
    </row>
    <row r="2310" spans="5:8">
      <c r="E2310"/>
      <c r="F2310"/>
      <c r="G2310"/>
      <c r="H2310"/>
    </row>
    <row r="2311" spans="5:8">
      <c r="E2311"/>
      <c r="F2311"/>
      <c r="G2311"/>
      <c r="H2311"/>
    </row>
    <row r="2312" spans="5:8">
      <c r="E2312"/>
      <c r="F2312"/>
      <c r="G2312"/>
      <c r="H2312"/>
    </row>
    <row r="2313" spans="5:8">
      <c r="E2313"/>
      <c r="F2313"/>
      <c r="G2313"/>
      <c r="H2313"/>
    </row>
    <row r="2314" spans="5:8">
      <c r="E2314"/>
      <c r="F2314"/>
      <c r="G2314"/>
      <c r="H2314"/>
    </row>
    <row r="2315" spans="5:8">
      <c r="E2315"/>
      <c r="F2315"/>
      <c r="G2315"/>
      <c r="H2315"/>
    </row>
    <row r="2316" spans="5:8">
      <c r="E2316"/>
      <c r="F2316"/>
      <c r="G2316"/>
      <c r="H2316"/>
    </row>
    <row r="2317" spans="5:8">
      <c r="E2317"/>
      <c r="F2317"/>
      <c r="G2317"/>
      <c r="H2317"/>
    </row>
    <row r="2318" spans="5:8">
      <c r="E2318"/>
      <c r="F2318"/>
      <c r="G2318"/>
      <c r="H2318"/>
    </row>
    <row r="2319" spans="5:8">
      <c r="E2319"/>
      <c r="F2319"/>
      <c r="G2319"/>
      <c r="H2319"/>
    </row>
    <row r="2320" spans="5:8">
      <c r="E2320"/>
      <c r="F2320"/>
      <c r="G2320"/>
      <c r="H2320"/>
    </row>
    <row r="2321" spans="5:8">
      <c r="E2321"/>
      <c r="F2321"/>
      <c r="G2321"/>
      <c r="H2321"/>
    </row>
    <row r="2322" spans="5:8">
      <c r="E2322"/>
      <c r="F2322"/>
      <c r="G2322"/>
      <c r="H2322"/>
    </row>
    <row r="2323" spans="5:8">
      <c r="E2323"/>
      <c r="F2323"/>
      <c r="G2323"/>
      <c r="H2323"/>
    </row>
    <row r="2324" spans="5:8">
      <c r="E2324"/>
      <c r="F2324"/>
      <c r="G2324"/>
      <c r="H2324"/>
    </row>
    <row r="2325" spans="5:8">
      <c r="E2325"/>
      <c r="F2325"/>
      <c r="G2325"/>
      <c r="H2325"/>
    </row>
    <row r="2326" spans="5:8">
      <c r="E2326"/>
      <c r="F2326"/>
      <c r="G2326"/>
      <c r="H2326"/>
    </row>
    <row r="2327" spans="5:8">
      <c r="E2327"/>
      <c r="F2327"/>
      <c r="G2327"/>
      <c r="H2327"/>
    </row>
    <row r="2328" spans="5:8">
      <c r="E2328"/>
      <c r="F2328"/>
      <c r="G2328"/>
      <c r="H2328"/>
    </row>
    <row r="2329" spans="5:8">
      <c r="E2329"/>
      <c r="F2329"/>
      <c r="G2329"/>
      <c r="H2329"/>
    </row>
    <row r="2330" spans="5:8">
      <c r="E2330"/>
      <c r="F2330"/>
      <c r="G2330"/>
      <c r="H2330"/>
    </row>
    <row r="2331" spans="5:8">
      <c r="E2331"/>
      <c r="F2331"/>
      <c r="G2331"/>
      <c r="H2331"/>
    </row>
    <row r="2332" spans="5:8">
      <c r="E2332"/>
      <c r="F2332"/>
      <c r="G2332"/>
      <c r="H2332"/>
    </row>
    <row r="2333" spans="5:8">
      <c r="E2333"/>
      <c r="F2333"/>
      <c r="G2333"/>
      <c r="H2333"/>
    </row>
    <row r="2334" spans="5:8">
      <c r="E2334"/>
      <c r="F2334"/>
      <c r="G2334"/>
      <c r="H2334"/>
    </row>
    <row r="2335" spans="5:8">
      <c r="E2335"/>
      <c r="F2335"/>
      <c r="G2335"/>
      <c r="H2335"/>
    </row>
    <row r="2336" spans="5:8">
      <c r="E2336"/>
      <c r="F2336"/>
      <c r="G2336"/>
      <c r="H2336"/>
    </row>
    <row r="2337" spans="5:8">
      <c r="E2337"/>
      <c r="F2337"/>
      <c r="G2337"/>
      <c r="H2337"/>
    </row>
    <row r="2338" spans="5:8">
      <c r="E2338"/>
      <c r="F2338"/>
      <c r="G2338"/>
      <c r="H2338"/>
    </row>
    <row r="2339" spans="5:8">
      <c r="E2339"/>
      <c r="F2339"/>
      <c r="G2339"/>
      <c r="H2339"/>
    </row>
    <row r="2340" spans="5:8">
      <c r="E2340"/>
      <c r="F2340"/>
      <c r="G2340"/>
      <c r="H2340"/>
    </row>
    <row r="2341" spans="5:8">
      <c r="E2341"/>
      <c r="F2341"/>
      <c r="G2341"/>
      <c r="H2341"/>
    </row>
    <row r="2342" spans="5:8">
      <c r="E2342"/>
      <c r="F2342"/>
      <c r="G2342"/>
      <c r="H2342"/>
    </row>
    <row r="2343" spans="5:8">
      <c r="E2343"/>
      <c r="F2343"/>
      <c r="G2343"/>
      <c r="H2343"/>
    </row>
    <row r="2344" spans="5:8">
      <c r="E2344"/>
      <c r="F2344"/>
      <c r="G2344"/>
      <c r="H2344"/>
    </row>
    <row r="2345" spans="5:8">
      <c r="E2345"/>
      <c r="F2345"/>
      <c r="G2345"/>
      <c r="H2345"/>
    </row>
    <row r="2346" spans="5:8">
      <c r="E2346"/>
      <c r="F2346"/>
      <c r="G2346"/>
      <c r="H2346"/>
    </row>
    <row r="2347" spans="5:8">
      <c r="E2347"/>
      <c r="F2347"/>
      <c r="G2347"/>
      <c r="H2347"/>
    </row>
    <row r="2348" spans="5:8">
      <c r="E2348"/>
      <c r="F2348"/>
      <c r="G2348"/>
      <c r="H2348"/>
    </row>
    <row r="2349" spans="5:8">
      <c r="E2349"/>
      <c r="F2349"/>
      <c r="G2349"/>
      <c r="H2349"/>
    </row>
    <row r="2350" spans="5:8">
      <c r="E2350"/>
      <c r="F2350"/>
      <c r="G2350"/>
      <c r="H2350"/>
    </row>
    <row r="2351" spans="5:8">
      <c r="E2351"/>
      <c r="F2351"/>
      <c r="G2351"/>
      <c r="H2351"/>
    </row>
    <row r="2352" spans="5:8">
      <c r="E2352"/>
      <c r="F2352"/>
      <c r="G2352"/>
      <c r="H2352"/>
    </row>
    <row r="2353" spans="5:8">
      <c r="E2353"/>
      <c r="F2353"/>
      <c r="G2353"/>
      <c r="H2353"/>
    </row>
    <row r="2354" spans="5:8">
      <c r="E2354"/>
      <c r="F2354"/>
      <c r="G2354"/>
      <c r="H2354"/>
    </row>
    <row r="2355" spans="5:8">
      <c r="E2355"/>
      <c r="F2355"/>
      <c r="G2355"/>
      <c r="H2355"/>
    </row>
    <row r="2356" spans="5:8">
      <c r="E2356"/>
      <c r="F2356"/>
      <c r="G2356"/>
      <c r="H2356"/>
    </row>
    <row r="2357" spans="5:8">
      <c r="E2357"/>
      <c r="F2357"/>
      <c r="G2357"/>
      <c r="H2357"/>
    </row>
    <row r="2358" spans="5:8">
      <c r="E2358"/>
      <c r="F2358"/>
      <c r="G2358"/>
      <c r="H2358"/>
    </row>
    <row r="2359" spans="5:8">
      <c r="E2359"/>
      <c r="F2359"/>
      <c r="G2359"/>
      <c r="H2359"/>
    </row>
    <row r="2360" spans="5:8">
      <c r="E2360"/>
      <c r="F2360"/>
      <c r="G2360"/>
      <c r="H2360"/>
    </row>
    <row r="2361" spans="5:8">
      <c r="E2361"/>
      <c r="F2361"/>
      <c r="G2361"/>
      <c r="H2361"/>
    </row>
    <row r="2362" spans="5:8">
      <c r="E2362"/>
      <c r="F2362"/>
      <c r="G2362"/>
      <c r="H2362"/>
    </row>
    <row r="2363" spans="5:8">
      <c r="E2363"/>
      <c r="F2363"/>
      <c r="G2363"/>
      <c r="H2363"/>
    </row>
    <row r="2364" spans="5:8">
      <c r="E2364"/>
      <c r="F2364"/>
      <c r="G2364"/>
      <c r="H2364"/>
    </row>
    <row r="2365" spans="5:8">
      <c r="E2365"/>
      <c r="F2365"/>
      <c r="G2365"/>
      <c r="H2365"/>
    </row>
    <row r="2366" spans="5:8">
      <c r="E2366"/>
      <c r="F2366"/>
      <c r="G2366"/>
      <c r="H2366"/>
    </row>
    <row r="2367" spans="5:8">
      <c r="E2367"/>
      <c r="F2367"/>
      <c r="G2367"/>
      <c r="H2367"/>
    </row>
    <row r="2368" spans="5:8">
      <c r="E2368"/>
      <c r="F2368"/>
      <c r="G2368"/>
      <c r="H2368"/>
    </row>
    <row r="2369" spans="5:8">
      <c r="E2369"/>
      <c r="F2369"/>
      <c r="G2369"/>
      <c r="H2369"/>
    </row>
    <row r="2370" spans="5:8">
      <c r="E2370"/>
      <c r="F2370"/>
      <c r="G2370"/>
      <c r="H2370"/>
    </row>
    <row r="2371" spans="5:8">
      <c r="E2371"/>
      <c r="F2371"/>
      <c r="G2371"/>
      <c r="H2371"/>
    </row>
    <row r="2372" spans="5:8">
      <c r="E2372"/>
      <c r="F2372"/>
      <c r="G2372"/>
      <c r="H2372"/>
    </row>
    <row r="2373" spans="5:8">
      <c r="E2373"/>
      <c r="F2373"/>
      <c r="G2373"/>
      <c r="H2373"/>
    </row>
    <row r="2374" spans="5:8">
      <c r="E2374"/>
      <c r="F2374"/>
      <c r="G2374"/>
      <c r="H2374"/>
    </row>
    <row r="2375" spans="5:8">
      <c r="E2375"/>
      <c r="F2375"/>
      <c r="G2375"/>
      <c r="H2375"/>
    </row>
    <row r="2376" spans="5:8">
      <c r="E2376"/>
      <c r="F2376"/>
      <c r="G2376"/>
      <c r="H2376"/>
    </row>
    <row r="2377" spans="5:8">
      <c r="E2377"/>
      <c r="F2377"/>
      <c r="G2377"/>
      <c r="H2377"/>
    </row>
    <row r="2378" spans="5:8">
      <c r="E2378"/>
      <c r="F2378"/>
      <c r="G2378"/>
      <c r="H2378"/>
    </row>
    <row r="2379" spans="5:8">
      <c r="E2379"/>
      <c r="F2379"/>
      <c r="G2379"/>
      <c r="H2379"/>
    </row>
    <row r="2380" spans="5:8">
      <c r="E2380"/>
      <c r="F2380"/>
      <c r="G2380"/>
      <c r="H2380"/>
    </row>
    <row r="2381" spans="5:8">
      <c r="E2381"/>
      <c r="F2381"/>
      <c r="G2381"/>
      <c r="H2381"/>
    </row>
    <row r="2382" spans="5:8">
      <c r="E2382"/>
      <c r="F2382"/>
      <c r="G2382"/>
      <c r="H2382"/>
    </row>
    <row r="2383" spans="5:8">
      <c r="E2383"/>
      <c r="F2383"/>
      <c r="G2383"/>
      <c r="H2383"/>
    </row>
    <row r="2384" spans="5:8">
      <c r="E2384"/>
      <c r="F2384"/>
      <c r="G2384"/>
      <c r="H2384"/>
    </row>
    <row r="2385" spans="5:8">
      <c r="E2385"/>
      <c r="F2385"/>
      <c r="G2385"/>
      <c r="H2385"/>
    </row>
    <row r="2386" spans="5:8">
      <c r="E2386"/>
      <c r="F2386"/>
      <c r="G2386"/>
      <c r="H2386"/>
    </row>
    <row r="2387" spans="5:8">
      <c r="E2387"/>
      <c r="F2387"/>
      <c r="G2387"/>
      <c r="H2387"/>
    </row>
    <row r="2388" spans="5:8">
      <c r="E2388"/>
      <c r="F2388"/>
      <c r="G2388"/>
      <c r="H2388"/>
    </row>
    <row r="2389" spans="5:8">
      <c r="E2389"/>
      <c r="F2389"/>
      <c r="G2389"/>
      <c r="H2389"/>
    </row>
    <row r="2390" spans="5:8">
      <c r="E2390"/>
      <c r="F2390"/>
      <c r="G2390"/>
      <c r="H2390"/>
    </row>
    <row r="2391" spans="5:8">
      <c r="E2391"/>
      <c r="F2391"/>
      <c r="G2391"/>
      <c r="H2391"/>
    </row>
    <row r="2392" spans="5:8">
      <c r="E2392"/>
      <c r="F2392"/>
      <c r="G2392"/>
      <c r="H2392"/>
    </row>
    <row r="2393" spans="5:8">
      <c r="E2393"/>
      <c r="F2393"/>
      <c r="G2393"/>
      <c r="H2393"/>
    </row>
    <row r="2394" spans="5:8">
      <c r="E2394"/>
      <c r="F2394"/>
      <c r="G2394"/>
      <c r="H2394"/>
    </row>
    <row r="2395" spans="5:8">
      <c r="E2395"/>
      <c r="F2395"/>
      <c r="G2395"/>
      <c r="H2395"/>
    </row>
    <row r="2396" spans="5:8">
      <c r="E2396"/>
      <c r="F2396"/>
      <c r="G2396"/>
      <c r="H2396"/>
    </row>
    <row r="2397" spans="5:8">
      <c r="E2397"/>
      <c r="F2397"/>
      <c r="G2397"/>
      <c r="H2397"/>
    </row>
    <row r="2398" spans="5:8">
      <c r="E2398"/>
      <c r="F2398"/>
      <c r="G2398"/>
      <c r="H2398"/>
    </row>
    <row r="2399" spans="5:8">
      <c r="E2399"/>
      <c r="F2399"/>
      <c r="G2399"/>
      <c r="H2399"/>
    </row>
    <row r="2400" spans="5:8">
      <c r="E2400"/>
      <c r="F2400"/>
      <c r="G2400"/>
      <c r="H2400"/>
    </row>
    <row r="2401" spans="5:8">
      <c r="E2401"/>
      <c r="F2401"/>
      <c r="G2401"/>
      <c r="H2401"/>
    </row>
    <row r="2402" spans="5:8">
      <c r="E2402"/>
      <c r="F2402"/>
      <c r="G2402"/>
      <c r="H2402"/>
    </row>
    <row r="2403" spans="5:8">
      <c r="E2403"/>
      <c r="F2403"/>
      <c r="G2403"/>
      <c r="H2403"/>
    </row>
    <row r="2404" spans="5:8">
      <c r="E2404"/>
      <c r="F2404"/>
      <c r="G2404"/>
      <c r="H2404"/>
    </row>
    <row r="2405" spans="5:8">
      <c r="E2405"/>
      <c r="F2405"/>
      <c r="G2405"/>
      <c r="H2405"/>
    </row>
    <row r="2406" spans="5:8">
      <c r="E2406"/>
      <c r="F2406"/>
      <c r="G2406"/>
      <c r="H2406"/>
    </row>
    <row r="2407" spans="5:8">
      <c r="E2407"/>
      <c r="F2407"/>
      <c r="G2407"/>
      <c r="H2407"/>
    </row>
    <row r="2408" spans="5:8">
      <c r="E2408"/>
      <c r="F2408"/>
      <c r="G2408"/>
      <c r="H2408"/>
    </row>
    <row r="2409" spans="5:8">
      <c r="E2409"/>
      <c r="F2409"/>
      <c r="G2409"/>
      <c r="H2409"/>
    </row>
    <row r="2410" spans="5:8">
      <c r="E2410"/>
      <c r="F2410"/>
      <c r="G2410"/>
      <c r="H2410"/>
    </row>
    <row r="2411" spans="5:8">
      <c r="E2411"/>
      <c r="F2411"/>
      <c r="G2411"/>
      <c r="H2411"/>
    </row>
    <row r="2412" spans="5:8">
      <c r="E2412"/>
      <c r="F2412"/>
      <c r="G2412"/>
      <c r="H2412"/>
    </row>
    <row r="2413" spans="5:8">
      <c r="E2413"/>
      <c r="F2413"/>
      <c r="G2413"/>
      <c r="H2413"/>
    </row>
    <row r="2414" spans="5:8">
      <c r="E2414"/>
      <c r="F2414"/>
      <c r="G2414"/>
      <c r="H2414"/>
    </row>
    <row r="2415" spans="5:8">
      <c r="E2415"/>
      <c r="F2415"/>
      <c r="G2415"/>
      <c r="H2415"/>
    </row>
    <row r="2416" spans="5:8">
      <c r="E2416"/>
      <c r="F2416"/>
      <c r="G2416"/>
      <c r="H2416"/>
    </row>
    <row r="2417" spans="5:8">
      <c r="E2417"/>
      <c r="F2417"/>
      <c r="G2417"/>
      <c r="H2417"/>
    </row>
    <row r="2418" spans="5:8">
      <c r="E2418"/>
      <c r="F2418"/>
      <c r="G2418"/>
      <c r="H2418"/>
    </row>
    <row r="2419" spans="5:8">
      <c r="E2419"/>
      <c r="F2419"/>
      <c r="G2419"/>
      <c r="H2419"/>
    </row>
    <row r="2420" spans="5:8">
      <c r="E2420"/>
      <c r="F2420"/>
      <c r="G2420"/>
      <c r="H2420"/>
    </row>
    <row r="2421" spans="5:8">
      <c r="E2421"/>
      <c r="F2421"/>
      <c r="G2421"/>
      <c r="H2421"/>
    </row>
    <row r="2422" spans="5:8">
      <c r="E2422"/>
      <c r="F2422"/>
      <c r="G2422"/>
      <c r="H2422"/>
    </row>
    <row r="2423" spans="5:8">
      <c r="E2423"/>
      <c r="F2423"/>
      <c r="G2423"/>
      <c r="H2423"/>
    </row>
    <row r="2424" spans="5:8">
      <c r="E2424"/>
      <c r="F2424"/>
      <c r="G2424"/>
      <c r="H2424"/>
    </row>
    <row r="2425" spans="5:8">
      <c r="E2425"/>
      <c r="F2425"/>
      <c r="G2425"/>
      <c r="H2425"/>
    </row>
    <row r="2426" spans="5:8">
      <c r="E2426"/>
      <c r="F2426"/>
      <c r="G2426"/>
      <c r="H2426"/>
    </row>
    <row r="2427" spans="5:8">
      <c r="E2427"/>
      <c r="F2427"/>
      <c r="G2427"/>
      <c r="H2427"/>
    </row>
    <row r="2428" spans="5:8">
      <c r="E2428"/>
      <c r="F2428"/>
      <c r="G2428"/>
      <c r="H2428"/>
    </row>
    <row r="2429" spans="5:8">
      <c r="E2429"/>
      <c r="F2429"/>
      <c r="G2429"/>
      <c r="H2429"/>
    </row>
    <row r="2430" spans="5:8">
      <c r="E2430"/>
      <c r="F2430"/>
      <c r="G2430"/>
      <c r="H2430"/>
    </row>
    <row r="2431" spans="5:8">
      <c r="E2431"/>
      <c r="F2431"/>
      <c r="G2431"/>
      <c r="H2431"/>
    </row>
    <row r="2432" spans="5:8">
      <c r="E2432"/>
      <c r="F2432"/>
      <c r="G2432"/>
      <c r="H2432"/>
    </row>
    <row r="2433" spans="5:8">
      <c r="E2433"/>
      <c r="F2433"/>
      <c r="G2433"/>
      <c r="H2433"/>
    </row>
    <row r="2434" spans="5:8">
      <c r="E2434"/>
      <c r="F2434"/>
      <c r="G2434"/>
      <c r="H2434"/>
    </row>
    <row r="2435" spans="5:8">
      <c r="E2435"/>
      <c r="F2435"/>
      <c r="G2435"/>
      <c r="H2435"/>
    </row>
    <row r="2436" spans="5:8">
      <c r="E2436"/>
      <c r="F2436"/>
      <c r="G2436"/>
      <c r="H2436"/>
    </row>
    <row r="2437" spans="5:8">
      <c r="E2437"/>
      <c r="F2437"/>
      <c r="G2437"/>
      <c r="H2437"/>
    </row>
    <row r="2438" spans="5:8">
      <c r="E2438"/>
      <c r="F2438"/>
      <c r="G2438"/>
      <c r="H2438"/>
    </row>
    <row r="2439" spans="5:8">
      <c r="E2439"/>
      <c r="F2439"/>
      <c r="G2439"/>
      <c r="H2439"/>
    </row>
    <row r="2440" spans="5:8">
      <c r="E2440"/>
      <c r="F2440"/>
      <c r="G2440"/>
      <c r="H2440"/>
    </row>
    <row r="2441" spans="5:8">
      <c r="E2441"/>
      <c r="F2441"/>
      <c r="G2441"/>
      <c r="H2441"/>
    </row>
    <row r="2442" spans="5:8">
      <c r="E2442"/>
      <c r="F2442"/>
      <c r="G2442"/>
      <c r="H2442"/>
    </row>
    <row r="2443" spans="5:8">
      <c r="E2443"/>
      <c r="F2443"/>
      <c r="G2443"/>
      <c r="H2443"/>
    </row>
    <row r="2444" spans="5:8">
      <c r="E2444"/>
      <c r="F2444"/>
      <c r="G2444"/>
      <c r="H2444"/>
    </row>
    <row r="2445" spans="5:8">
      <c r="E2445"/>
      <c r="F2445"/>
      <c r="G2445"/>
      <c r="H2445"/>
    </row>
    <row r="2446" spans="5:8">
      <c r="E2446"/>
      <c r="F2446"/>
      <c r="G2446"/>
      <c r="H2446"/>
    </row>
    <row r="2447" spans="5:8">
      <c r="E2447"/>
      <c r="F2447"/>
      <c r="G2447"/>
      <c r="H2447"/>
    </row>
    <row r="2448" spans="5:8">
      <c r="E2448"/>
      <c r="F2448"/>
      <c r="G2448"/>
      <c r="H2448"/>
    </row>
    <row r="2449" spans="5:8">
      <c r="E2449"/>
      <c r="F2449"/>
      <c r="G2449"/>
      <c r="H2449"/>
    </row>
    <row r="2450" spans="5:8">
      <c r="E2450"/>
      <c r="F2450"/>
      <c r="G2450"/>
      <c r="H2450"/>
    </row>
    <row r="2451" spans="5:8">
      <c r="E2451"/>
      <c r="F2451"/>
      <c r="G2451"/>
      <c r="H2451"/>
    </row>
    <row r="2452" spans="5:8">
      <c r="E2452"/>
      <c r="F2452"/>
      <c r="G2452"/>
      <c r="H2452"/>
    </row>
    <row r="2453" spans="5:8">
      <c r="E2453"/>
      <c r="F2453"/>
      <c r="G2453"/>
      <c r="H2453"/>
    </row>
    <row r="2454" spans="5:8">
      <c r="E2454"/>
      <c r="F2454"/>
      <c r="G2454"/>
      <c r="H2454"/>
    </row>
    <row r="2455" spans="5:8">
      <c r="E2455"/>
      <c r="F2455"/>
      <c r="G2455"/>
      <c r="H2455"/>
    </row>
    <row r="2456" spans="5:8">
      <c r="E2456"/>
      <c r="F2456"/>
      <c r="G2456"/>
      <c r="H2456"/>
    </row>
    <row r="2457" spans="5:8">
      <c r="E2457"/>
      <c r="F2457"/>
      <c r="G2457"/>
      <c r="H2457"/>
    </row>
    <row r="2458" spans="5:8">
      <c r="E2458"/>
      <c r="F2458"/>
      <c r="G2458"/>
      <c r="H2458"/>
    </row>
    <row r="2459" spans="5:8">
      <c r="E2459"/>
      <c r="F2459"/>
      <c r="G2459"/>
      <c r="H2459"/>
    </row>
    <row r="2460" spans="5:8">
      <c r="E2460"/>
      <c r="F2460"/>
      <c r="G2460"/>
      <c r="H2460"/>
    </row>
    <row r="2461" spans="5:8">
      <c r="E2461"/>
      <c r="F2461"/>
      <c r="G2461"/>
      <c r="H2461"/>
    </row>
    <row r="2462" spans="5:8">
      <c r="E2462"/>
      <c r="F2462"/>
      <c r="G2462"/>
      <c r="H2462"/>
    </row>
    <row r="2463" spans="5:8">
      <c r="E2463"/>
      <c r="F2463"/>
      <c r="G2463"/>
      <c r="H2463"/>
    </row>
    <row r="2464" spans="5:8">
      <c r="E2464"/>
      <c r="F2464"/>
      <c r="G2464"/>
      <c r="H2464"/>
    </row>
    <row r="2465" spans="5:8">
      <c r="E2465"/>
      <c r="F2465"/>
      <c r="G2465"/>
      <c r="H2465"/>
    </row>
    <row r="2466" spans="5:8">
      <c r="E2466"/>
      <c r="F2466"/>
      <c r="G2466"/>
      <c r="H2466"/>
    </row>
    <row r="2467" spans="5:8">
      <c r="E2467"/>
      <c r="F2467"/>
      <c r="G2467"/>
      <c r="H2467"/>
    </row>
    <row r="2468" spans="5:8">
      <c r="E2468"/>
      <c r="F2468"/>
      <c r="G2468"/>
      <c r="H2468"/>
    </row>
    <row r="2469" spans="5:8">
      <c r="E2469"/>
      <c r="F2469"/>
      <c r="G2469"/>
      <c r="H2469"/>
    </row>
    <row r="2470" spans="5:8">
      <c r="E2470"/>
      <c r="F2470"/>
      <c r="G2470"/>
      <c r="H2470"/>
    </row>
    <row r="2471" spans="5:8">
      <c r="E2471"/>
      <c r="F2471"/>
      <c r="G2471"/>
      <c r="H2471"/>
    </row>
    <row r="2472" spans="5:8">
      <c r="E2472"/>
      <c r="F2472"/>
      <c r="G2472"/>
      <c r="H2472"/>
    </row>
    <row r="2473" spans="5:8">
      <c r="E2473"/>
      <c r="F2473"/>
      <c r="G2473"/>
      <c r="H2473"/>
    </row>
    <row r="2474" spans="5:8">
      <c r="E2474"/>
      <c r="F2474"/>
      <c r="G2474"/>
      <c r="H2474"/>
    </row>
    <row r="2475" spans="5:8">
      <c r="E2475"/>
      <c r="F2475"/>
      <c r="G2475"/>
      <c r="H2475"/>
    </row>
    <row r="2476" spans="5:8">
      <c r="E2476"/>
      <c r="F2476"/>
      <c r="G2476"/>
      <c r="H2476"/>
    </row>
    <row r="2477" spans="5:8">
      <c r="E2477"/>
      <c r="F2477"/>
      <c r="G2477"/>
      <c r="H2477"/>
    </row>
    <row r="2478" spans="5:8">
      <c r="E2478"/>
      <c r="F2478"/>
      <c r="G2478"/>
      <c r="H2478"/>
    </row>
    <row r="2479" spans="5:8">
      <c r="E2479"/>
      <c r="F2479"/>
      <c r="G2479"/>
      <c r="H2479"/>
    </row>
    <row r="2480" spans="5:8">
      <c r="E2480"/>
      <c r="F2480"/>
      <c r="G2480"/>
      <c r="H2480"/>
    </row>
    <row r="2481" spans="5:8">
      <c r="E2481"/>
      <c r="F2481"/>
      <c r="G2481"/>
      <c r="H2481"/>
    </row>
    <row r="2482" spans="5:8">
      <c r="E2482"/>
      <c r="F2482"/>
      <c r="G2482"/>
      <c r="H2482"/>
    </row>
    <row r="2483" spans="5:8">
      <c r="E2483"/>
      <c r="F2483"/>
      <c r="G2483"/>
      <c r="H2483"/>
    </row>
    <row r="2484" spans="5:8">
      <c r="E2484"/>
      <c r="F2484"/>
      <c r="G2484"/>
      <c r="H2484"/>
    </row>
    <row r="2485" spans="5:8">
      <c r="E2485"/>
      <c r="F2485"/>
      <c r="G2485"/>
      <c r="H2485"/>
    </row>
    <row r="2486" spans="5:8">
      <c r="E2486"/>
      <c r="F2486"/>
      <c r="G2486"/>
      <c r="H2486"/>
    </row>
    <row r="2487" spans="5:8">
      <c r="E2487"/>
      <c r="F2487"/>
      <c r="G2487"/>
      <c r="H2487"/>
    </row>
    <row r="2488" spans="5:8">
      <c r="E2488"/>
      <c r="F2488"/>
      <c r="G2488"/>
      <c r="H2488"/>
    </row>
    <row r="2489" spans="5:8">
      <c r="E2489"/>
      <c r="F2489"/>
      <c r="G2489"/>
      <c r="H2489"/>
    </row>
    <row r="2490" spans="5:8">
      <c r="E2490"/>
      <c r="F2490"/>
      <c r="G2490"/>
      <c r="H2490"/>
    </row>
    <row r="2491" spans="5:8">
      <c r="E2491"/>
      <c r="F2491"/>
      <c r="G2491"/>
      <c r="H2491"/>
    </row>
    <row r="2492" spans="5:8">
      <c r="E2492"/>
      <c r="F2492"/>
      <c r="G2492"/>
      <c r="H2492"/>
    </row>
    <row r="2493" spans="5:8">
      <c r="E2493"/>
      <c r="F2493"/>
      <c r="G2493"/>
      <c r="H2493"/>
    </row>
    <row r="2494" spans="5:8">
      <c r="E2494"/>
      <c r="F2494"/>
      <c r="G2494"/>
      <c r="H2494"/>
    </row>
    <row r="2495" spans="5:8">
      <c r="E2495"/>
      <c r="F2495"/>
      <c r="G2495"/>
      <c r="H2495"/>
    </row>
    <row r="2496" spans="5:8">
      <c r="E2496"/>
      <c r="F2496"/>
      <c r="G2496"/>
      <c r="H2496"/>
    </row>
    <row r="2497" spans="5:8">
      <c r="E2497"/>
      <c r="F2497"/>
      <c r="G2497"/>
      <c r="H2497"/>
    </row>
    <row r="2498" spans="5:8">
      <c r="E2498"/>
      <c r="F2498"/>
      <c r="G2498"/>
      <c r="H2498"/>
    </row>
    <row r="2499" spans="5:8">
      <c r="E2499"/>
      <c r="F2499"/>
      <c r="G2499"/>
      <c r="H2499"/>
    </row>
    <row r="2500" spans="5:8">
      <c r="E2500"/>
      <c r="F2500"/>
      <c r="G2500"/>
      <c r="H2500"/>
    </row>
    <row r="2501" spans="5:8">
      <c r="E2501"/>
      <c r="F2501"/>
      <c r="G2501"/>
      <c r="H2501"/>
    </row>
    <row r="2502" spans="5:8">
      <c r="E2502"/>
      <c r="F2502"/>
      <c r="G2502"/>
      <c r="H2502"/>
    </row>
    <row r="2503" spans="5:8">
      <c r="E2503"/>
      <c r="F2503"/>
      <c r="G2503"/>
      <c r="H2503"/>
    </row>
    <row r="2504" spans="5:8">
      <c r="E2504"/>
      <c r="F2504"/>
      <c r="G2504"/>
      <c r="H2504"/>
    </row>
    <row r="2505" spans="5:8">
      <c r="E2505"/>
      <c r="F2505"/>
      <c r="G2505"/>
      <c r="H2505"/>
    </row>
    <row r="2506" spans="5:8">
      <c r="E2506"/>
      <c r="F2506"/>
      <c r="G2506"/>
      <c r="H2506"/>
    </row>
    <row r="2507" spans="5:8">
      <c r="E2507"/>
      <c r="F2507"/>
      <c r="G2507"/>
      <c r="H2507"/>
    </row>
    <row r="2508" spans="5:8">
      <c r="E2508"/>
      <c r="F2508"/>
      <c r="G2508"/>
      <c r="H2508"/>
    </row>
    <row r="2509" spans="5:8">
      <c r="E2509"/>
      <c r="F2509"/>
      <c r="G2509"/>
      <c r="H2509"/>
    </row>
    <row r="2510" spans="5:8">
      <c r="E2510"/>
      <c r="F2510"/>
      <c r="G2510"/>
      <c r="H2510"/>
    </row>
    <row r="2511" spans="5:8">
      <c r="E2511"/>
      <c r="F2511"/>
      <c r="G2511"/>
      <c r="H2511"/>
    </row>
    <row r="2512" spans="5:8">
      <c r="E2512"/>
      <c r="F2512"/>
      <c r="G2512"/>
      <c r="H2512"/>
    </row>
    <row r="2513" spans="5:8">
      <c r="E2513"/>
      <c r="F2513"/>
      <c r="G2513"/>
      <c r="H2513"/>
    </row>
    <row r="2514" spans="5:8">
      <c r="E2514"/>
      <c r="F2514"/>
      <c r="G2514"/>
      <c r="H2514"/>
    </row>
    <row r="2515" spans="5:8">
      <c r="E2515"/>
      <c r="F2515"/>
      <c r="G2515"/>
      <c r="H2515"/>
    </row>
    <row r="2516" spans="5:8">
      <c r="E2516"/>
      <c r="F2516"/>
      <c r="G2516"/>
      <c r="H2516"/>
    </row>
    <row r="2517" spans="5:8">
      <c r="E2517"/>
      <c r="F2517"/>
      <c r="G2517"/>
      <c r="H2517"/>
    </row>
    <row r="2518" spans="5:8">
      <c r="E2518"/>
      <c r="F2518"/>
      <c r="G2518"/>
      <c r="H2518"/>
    </row>
    <row r="2519" spans="5:8">
      <c r="E2519"/>
      <c r="F2519"/>
      <c r="G2519"/>
      <c r="H2519"/>
    </row>
    <row r="2520" spans="5:8">
      <c r="E2520"/>
      <c r="F2520"/>
      <c r="G2520"/>
      <c r="H2520"/>
    </row>
    <row r="2521" spans="5:8">
      <c r="E2521"/>
      <c r="F2521"/>
      <c r="G2521"/>
      <c r="H2521"/>
    </row>
    <row r="2522" spans="5:8">
      <c r="E2522"/>
      <c r="F2522"/>
      <c r="G2522"/>
      <c r="H2522"/>
    </row>
    <row r="2523" spans="5:8">
      <c r="E2523"/>
      <c r="F2523"/>
      <c r="G2523"/>
      <c r="H2523"/>
    </row>
    <row r="2524" spans="5:8">
      <c r="E2524"/>
      <c r="F2524"/>
      <c r="G2524"/>
      <c r="H2524"/>
    </row>
    <row r="2525" spans="5:8">
      <c r="E2525"/>
      <c r="F2525"/>
      <c r="G2525"/>
      <c r="H2525"/>
    </row>
    <row r="2526" spans="5:8">
      <c r="E2526"/>
      <c r="F2526"/>
      <c r="G2526"/>
      <c r="H2526"/>
    </row>
    <row r="2527" spans="5:8">
      <c r="E2527"/>
      <c r="F2527"/>
      <c r="G2527"/>
      <c r="H2527"/>
    </row>
    <row r="2528" spans="5:8">
      <c r="E2528"/>
      <c r="F2528"/>
      <c r="G2528"/>
      <c r="H2528"/>
    </row>
    <row r="2529" spans="5:8">
      <c r="E2529"/>
      <c r="F2529"/>
      <c r="G2529"/>
      <c r="H2529"/>
    </row>
    <row r="2530" spans="5:8">
      <c r="E2530"/>
      <c r="F2530"/>
      <c r="G2530"/>
      <c r="H2530"/>
    </row>
    <row r="2531" spans="5:8">
      <c r="E2531"/>
      <c r="F2531"/>
      <c r="G2531"/>
      <c r="H2531"/>
    </row>
    <row r="2532" spans="5:8">
      <c r="E2532"/>
      <c r="F2532"/>
      <c r="G2532"/>
      <c r="H2532"/>
    </row>
    <row r="2533" spans="5:8">
      <c r="E2533"/>
      <c r="F2533"/>
      <c r="G2533"/>
      <c r="H2533"/>
    </row>
    <row r="2534" spans="5:8">
      <c r="E2534"/>
      <c r="F2534"/>
      <c r="G2534"/>
      <c r="H2534"/>
    </row>
    <row r="2535" spans="5:8">
      <c r="E2535"/>
      <c r="F2535"/>
      <c r="G2535"/>
      <c r="H2535"/>
    </row>
    <row r="2536" spans="5:8">
      <c r="E2536"/>
      <c r="F2536"/>
      <c r="G2536"/>
      <c r="H2536"/>
    </row>
    <row r="2537" spans="5:8">
      <c r="E2537"/>
      <c r="F2537"/>
      <c r="G2537"/>
      <c r="H2537"/>
    </row>
    <row r="2538" spans="5:8">
      <c r="E2538"/>
      <c r="F2538"/>
      <c r="G2538"/>
      <c r="H2538"/>
    </row>
    <row r="2539" spans="5:8">
      <c r="E2539"/>
      <c r="F2539"/>
      <c r="G2539"/>
      <c r="H2539"/>
    </row>
    <row r="2540" spans="5:8">
      <c r="E2540"/>
      <c r="F2540"/>
      <c r="G2540"/>
      <c r="H2540"/>
    </row>
    <row r="2541" spans="5:8">
      <c r="E2541"/>
      <c r="F2541"/>
      <c r="G2541"/>
      <c r="H2541"/>
    </row>
    <row r="2542" spans="5:8">
      <c r="E2542"/>
      <c r="F2542"/>
      <c r="G2542"/>
      <c r="H2542"/>
    </row>
    <row r="2543" spans="5:8">
      <c r="E2543"/>
      <c r="F2543"/>
      <c r="G2543"/>
      <c r="H2543"/>
    </row>
    <row r="2544" spans="5:8">
      <c r="E2544"/>
      <c r="F2544"/>
      <c r="G2544"/>
      <c r="H2544"/>
    </row>
    <row r="2545" spans="5:8">
      <c r="E2545"/>
      <c r="F2545"/>
      <c r="G2545"/>
      <c r="H2545"/>
    </row>
    <row r="2546" spans="5:8">
      <c r="E2546"/>
      <c r="F2546"/>
      <c r="G2546"/>
      <c r="H2546"/>
    </row>
    <row r="2547" spans="5:8">
      <c r="E2547"/>
      <c r="F2547"/>
      <c r="G2547"/>
      <c r="H2547"/>
    </row>
    <row r="2548" spans="5:8">
      <c r="E2548"/>
      <c r="F2548"/>
      <c r="G2548"/>
      <c r="H2548"/>
    </row>
    <row r="2549" spans="5:8">
      <c r="E2549"/>
      <c r="F2549"/>
      <c r="G2549"/>
      <c r="H2549"/>
    </row>
    <row r="2550" spans="5:8">
      <c r="E2550"/>
      <c r="F2550"/>
      <c r="G2550"/>
      <c r="H2550"/>
    </row>
    <row r="2551" spans="5:8">
      <c r="E2551"/>
      <c r="F2551"/>
      <c r="G2551"/>
      <c r="H2551"/>
    </row>
    <row r="2552" spans="5:8">
      <c r="E2552"/>
      <c r="F2552"/>
      <c r="G2552"/>
      <c r="H2552"/>
    </row>
    <row r="2553" spans="5:8">
      <c r="E2553"/>
      <c r="F2553"/>
      <c r="G2553"/>
      <c r="H2553"/>
    </row>
    <row r="2554" spans="5:8">
      <c r="E2554"/>
      <c r="F2554"/>
      <c r="G2554"/>
      <c r="H2554"/>
    </row>
    <row r="2555" spans="5:8">
      <c r="E2555"/>
      <c r="F2555"/>
      <c r="G2555"/>
      <c r="H2555"/>
    </row>
    <row r="2556" spans="5:8">
      <c r="E2556"/>
      <c r="F2556"/>
      <c r="G2556"/>
      <c r="H2556"/>
    </row>
    <row r="2557" spans="5:8">
      <c r="E2557"/>
      <c r="F2557"/>
      <c r="G2557"/>
      <c r="H2557"/>
    </row>
    <row r="2558" spans="5:8">
      <c r="E2558"/>
      <c r="F2558"/>
      <c r="G2558"/>
      <c r="H2558"/>
    </row>
    <row r="2559" spans="5:8">
      <c r="E2559"/>
      <c r="F2559"/>
      <c r="G2559"/>
      <c r="H2559"/>
    </row>
    <row r="2560" spans="5:8">
      <c r="E2560"/>
      <c r="F2560"/>
      <c r="G2560"/>
      <c r="H2560"/>
    </row>
    <row r="2561" spans="5:8">
      <c r="E2561"/>
      <c r="F2561"/>
      <c r="G2561"/>
      <c r="H2561"/>
    </row>
    <row r="2562" spans="5:8">
      <c r="E2562"/>
      <c r="F2562"/>
      <c r="G2562"/>
      <c r="H2562"/>
    </row>
    <row r="2563" spans="5:8">
      <c r="E2563"/>
      <c r="F2563"/>
      <c r="G2563"/>
      <c r="H2563"/>
    </row>
    <row r="2564" spans="5:8">
      <c r="E2564"/>
      <c r="F2564"/>
      <c r="G2564"/>
      <c r="H2564"/>
    </row>
    <row r="2565" spans="5:8">
      <c r="E2565"/>
      <c r="F2565"/>
      <c r="G2565"/>
      <c r="H2565"/>
    </row>
    <row r="2566" spans="5:8">
      <c r="E2566"/>
      <c r="F2566"/>
      <c r="G2566"/>
      <c r="H2566"/>
    </row>
    <row r="2567" spans="5:8">
      <c r="E2567"/>
      <c r="F2567"/>
      <c r="G2567"/>
      <c r="H2567"/>
    </row>
    <row r="2568" spans="5:8">
      <c r="E2568"/>
      <c r="F2568"/>
      <c r="G2568"/>
      <c r="H2568"/>
    </row>
    <row r="2569" spans="5:8">
      <c r="E2569"/>
      <c r="F2569"/>
      <c r="G2569"/>
      <c r="H2569"/>
    </row>
    <row r="2570" spans="5:8">
      <c r="E2570"/>
      <c r="F2570"/>
      <c r="G2570"/>
      <c r="H2570"/>
    </row>
    <row r="2571" spans="5:8">
      <c r="E2571"/>
      <c r="F2571"/>
      <c r="G2571"/>
      <c r="H2571"/>
    </row>
    <row r="2572" spans="5:8">
      <c r="E2572"/>
      <c r="F2572"/>
      <c r="G2572"/>
      <c r="H2572"/>
    </row>
    <row r="2573" spans="5:8">
      <c r="E2573"/>
      <c r="F2573"/>
      <c r="G2573"/>
      <c r="H2573"/>
    </row>
    <row r="2574" spans="5:8">
      <c r="E2574"/>
      <c r="F2574"/>
      <c r="G2574"/>
      <c r="H2574"/>
    </row>
    <row r="2575" spans="5:8">
      <c r="E2575"/>
      <c r="F2575"/>
      <c r="G2575"/>
      <c r="H2575"/>
    </row>
    <row r="2576" spans="5:8">
      <c r="E2576"/>
      <c r="F2576"/>
      <c r="G2576"/>
      <c r="H2576"/>
    </row>
    <row r="2577" spans="5:8">
      <c r="E2577"/>
      <c r="F2577"/>
      <c r="G2577"/>
      <c r="H2577"/>
    </row>
    <row r="2578" spans="5:8">
      <c r="E2578"/>
      <c r="F2578"/>
      <c r="G2578"/>
      <c r="H2578"/>
    </row>
    <row r="2579" spans="5:8">
      <c r="E2579"/>
      <c r="F2579"/>
      <c r="G2579"/>
      <c r="H2579"/>
    </row>
    <row r="2580" spans="5:8">
      <c r="E2580"/>
      <c r="F2580"/>
      <c r="G2580"/>
      <c r="H2580"/>
    </row>
    <row r="2581" spans="5:8">
      <c r="E2581"/>
      <c r="F2581"/>
      <c r="G2581"/>
      <c r="H2581"/>
    </row>
    <row r="2582" spans="5:8">
      <c r="E2582"/>
      <c r="F2582"/>
      <c r="G2582"/>
      <c r="H2582"/>
    </row>
    <row r="2583" spans="5:8">
      <c r="E2583"/>
      <c r="F2583"/>
      <c r="G2583"/>
      <c r="H2583"/>
    </row>
    <row r="2584" spans="5:8">
      <c r="E2584"/>
      <c r="F2584"/>
      <c r="G2584"/>
      <c r="H2584"/>
    </row>
    <row r="2585" spans="5:8">
      <c r="E2585"/>
      <c r="F2585"/>
      <c r="G2585"/>
      <c r="H2585"/>
    </row>
    <row r="2586" spans="5:8">
      <c r="E2586"/>
      <c r="F2586"/>
      <c r="G2586"/>
      <c r="H2586"/>
    </row>
    <row r="2587" spans="5:8">
      <c r="E2587"/>
      <c r="F2587"/>
      <c r="G2587"/>
      <c r="H2587"/>
    </row>
    <row r="2588" spans="5:8">
      <c r="E2588"/>
      <c r="F2588"/>
      <c r="G2588"/>
      <c r="H2588"/>
    </row>
    <row r="2589" spans="5:8">
      <c r="E2589"/>
      <c r="F2589"/>
      <c r="G2589"/>
      <c r="H2589"/>
    </row>
    <row r="2590" spans="5:8">
      <c r="E2590"/>
      <c r="F2590"/>
      <c r="G2590"/>
      <c r="H2590"/>
    </row>
    <row r="2591" spans="5:8">
      <c r="E2591"/>
      <c r="F2591"/>
      <c r="G2591"/>
      <c r="H2591"/>
    </row>
    <row r="2592" spans="5:8">
      <c r="E2592"/>
      <c r="F2592"/>
      <c r="G2592"/>
      <c r="H2592"/>
    </row>
    <row r="2593" spans="5:8">
      <c r="E2593"/>
      <c r="F2593"/>
      <c r="G2593"/>
      <c r="H2593"/>
    </row>
    <row r="2594" spans="5:8">
      <c r="E2594"/>
      <c r="F2594"/>
      <c r="G2594"/>
      <c r="H2594"/>
    </row>
    <row r="2595" spans="5:8">
      <c r="E2595"/>
      <c r="F2595"/>
      <c r="G2595"/>
      <c r="H2595"/>
    </row>
    <row r="2596" spans="5:8">
      <c r="E2596"/>
      <c r="F2596"/>
      <c r="G2596"/>
      <c r="H2596"/>
    </row>
    <row r="2597" spans="5:8">
      <c r="E2597"/>
      <c r="F2597"/>
      <c r="G2597"/>
      <c r="H2597"/>
    </row>
    <row r="2598" spans="5:8">
      <c r="E2598"/>
      <c r="F2598"/>
      <c r="G2598"/>
      <c r="H2598"/>
    </row>
    <row r="2599" spans="5:8">
      <c r="E2599"/>
      <c r="F2599"/>
      <c r="G2599"/>
      <c r="H2599"/>
    </row>
    <row r="2600" spans="5:8">
      <c r="E2600"/>
      <c r="F2600"/>
      <c r="G2600"/>
      <c r="H2600"/>
    </row>
    <row r="2601" spans="5:8">
      <c r="E2601"/>
      <c r="F2601"/>
      <c r="G2601"/>
      <c r="H2601"/>
    </row>
    <row r="2602" spans="5:8">
      <c r="E2602"/>
      <c r="F2602"/>
      <c r="G2602"/>
      <c r="H2602"/>
    </row>
    <row r="2603" spans="5:8">
      <c r="E2603"/>
      <c r="F2603"/>
      <c r="G2603"/>
      <c r="H2603"/>
    </row>
    <row r="2604" spans="5:8">
      <c r="E2604"/>
      <c r="F2604"/>
      <c r="G2604"/>
      <c r="H2604"/>
    </row>
    <row r="2605" spans="5:8">
      <c r="E2605"/>
      <c r="F2605"/>
      <c r="G2605"/>
      <c r="H2605"/>
    </row>
    <row r="2606" spans="5:8">
      <c r="E2606"/>
      <c r="F2606"/>
      <c r="G2606"/>
      <c r="H2606"/>
    </row>
    <row r="2607" spans="5:8">
      <c r="E2607"/>
      <c r="F2607"/>
      <c r="G2607"/>
      <c r="H2607"/>
    </row>
    <row r="2608" spans="5:8">
      <c r="E2608"/>
      <c r="F2608"/>
      <c r="G2608"/>
      <c r="H2608"/>
    </row>
    <row r="2609" spans="5:8">
      <c r="E2609"/>
      <c r="F2609"/>
      <c r="G2609"/>
      <c r="H2609"/>
    </row>
    <row r="2610" spans="5:8">
      <c r="E2610"/>
      <c r="F2610"/>
      <c r="G2610"/>
      <c r="H2610"/>
    </row>
    <row r="2611" spans="5:8">
      <c r="E2611"/>
      <c r="F2611"/>
      <c r="G2611"/>
      <c r="H2611"/>
    </row>
    <row r="2612" spans="5:8">
      <c r="E2612"/>
      <c r="F2612"/>
      <c r="G2612"/>
      <c r="H2612"/>
    </row>
    <row r="2613" spans="5:8">
      <c r="E2613"/>
      <c r="F2613"/>
      <c r="G2613"/>
      <c r="H2613"/>
    </row>
    <row r="2614" spans="5:8">
      <c r="E2614"/>
      <c r="F2614"/>
      <c r="G2614"/>
      <c r="H2614"/>
    </row>
    <row r="2615" spans="5:8">
      <c r="E2615"/>
      <c r="F2615"/>
      <c r="G2615"/>
      <c r="H2615"/>
    </row>
    <row r="2616" spans="5:8">
      <c r="E2616"/>
      <c r="F2616"/>
      <c r="G2616"/>
      <c r="H2616"/>
    </row>
    <row r="2617" spans="5:8">
      <c r="E2617"/>
      <c r="F2617"/>
      <c r="G2617"/>
      <c r="H2617"/>
    </row>
    <row r="2618" spans="5:8">
      <c r="E2618"/>
      <c r="F2618"/>
      <c r="G2618"/>
      <c r="H2618"/>
    </row>
    <row r="2619" spans="5:8">
      <c r="E2619"/>
      <c r="F2619"/>
      <c r="G2619"/>
      <c r="H2619"/>
    </row>
    <row r="2620" spans="5:8">
      <c r="E2620"/>
      <c r="F2620"/>
      <c r="G2620"/>
      <c r="H2620"/>
    </row>
    <row r="2621" spans="5:8">
      <c r="E2621"/>
      <c r="F2621"/>
      <c r="G2621"/>
      <c r="H2621"/>
    </row>
    <row r="2622" spans="5:8">
      <c r="E2622"/>
      <c r="F2622"/>
      <c r="G2622"/>
      <c r="H2622"/>
    </row>
    <row r="2623" spans="5:8">
      <c r="E2623"/>
      <c r="F2623"/>
      <c r="G2623"/>
      <c r="H2623"/>
    </row>
    <row r="2624" spans="5:8">
      <c r="E2624"/>
      <c r="F2624"/>
      <c r="G2624"/>
      <c r="H2624"/>
    </row>
    <row r="2625" spans="5:8">
      <c r="E2625"/>
      <c r="F2625"/>
      <c r="G2625"/>
      <c r="H2625"/>
    </row>
    <row r="2626" spans="5:8">
      <c r="E2626"/>
      <c r="F2626"/>
      <c r="G2626"/>
      <c r="H2626"/>
    </row>
    <row r="2627" spans="5:8">
      <c r="E2627"/>
      <c r="F2627"/>
      <c r="G2627"/>
      <c r="H2627"/>
    </row>
    <row r="2628" spans="5:8">
      <c r="E2628"/>
      <c r="F2628"/>
      <c r="G2628"/>
      <c r="H2628"/>
    </row>
    <row r="2629" spans="5:8">
      <c r="E2629"/>
      <c r="F2629"/>
      <c r="G2629"/>
      <c r="H2629"/>
    </row>
    <row r="2630" spans="5:8">
      <c r="E2630"/>
      <c r="F2630"/>
      <c r="G2630"/>
      <c r="H2630"/>
    </row>
    <row r="2631" spans="5:8">
      <c r="E2631"/>
      <c r="F2631"/>
      <c r="G2631"/>
      <c r="H2631"/>
    </row>
    <row r="2632" spans="5:8">
      <c r="E2632"/>
      <c r="F2632"/>
      <c r="G2632"/>
      <c r="H2632"/>
    </row>
    <row r="2633" spans="5:8">
      <c r="E2633"/>
      <c r="F2633"/>
      <c r="G2633"/>
      <c r="H2633"/>
    </row>
    <row r="2634" spans="5:8">
      <c r="E2634"/>
      <c r="F2634"/>
      <c r="G2634"/>
      <c r="H2634"/>
    </row>
    <row r="2635" spans="5:8">
      <c r="E2635"/>
      <c r="F2635"/>
      <c r="G2635"/>
      <c r="H2635"/>
    </row>
    <row r="2636" spans="5:8">
      <c r="E2636"/>
      <c r="F2636"/>
      <c r="G2636"/>
      <c r="H2636"/>
    </row>
    <row r="2637" spans="5:8">
      <c r="E2637"/>
      <c r="F2637"/>
      <c r="G2637"/>
      <c r="H2637"/>
    </row>
    <row r="2638" spans="5:8">
      <c r="E2638"/>
      <c r="F2638"/>
      <c r="G2638"/>
      <c r="H2638"/>
    </row>
    <row r="2639" spans="5:8">
      <c r="E2639"/>
      <c r="F2639"/>
      <c r="G2639"/>
      <c r="H2639"/>
    </row>
    <row r="2640" spans="5:8">
      <c r="E2640"/>
      <c r="F2640"/>
      <c r="G2640"/>
      <c r="H2640"/>
    </row>
    <row r="2641" spans="5:8">
      <c r="E2641"/>
      <c r="F2641"/>
      <c r="G2641"/>
      <c r="H2641"/>
    </row>
    <row r="2642" spans="5:8">
      <c r="E2642"/>
      <c r="F2642"/>
      <c r="G2642"/>
      <c r="H2642"/>
    </row>
    <row r="2643" spans="5:8">
      <c r="E2643"/>
      <c r="F2643"/>
      <c r="G2643"/>
      <c r="H2643"/>
    </row>
    <row r="2644" spans="5:8">
      <c r="E2644"/>
      <c r="F2644"/>
      <c r="G2644"/>
      <c r="H2644"/>
    </row>
    <row r="2645" spans="5:8">
      <c r="E2645"/>
      <c r="F2645"/>
      <c r="G2645"/>
      <c r="H2645"/>
    </row>
    <row r="2646" spans="5:8">
      <c r="E2646"/>
      <c r="F2646"/>
      <c r="G2646"/>
      <c r="H2646"/>
    </row>
    <row r="2647" spans="5:8">
      <c r="E2647"/>
      <c r="F2647"/>
      <c r="G2647"/>
      <c r="H2647"/>
    </row>
    <row r="2648" spans="5:8">
      <c r="E2648"/>
      <c r="F2648"/>
      <c r="G2648"/>
      <c r="H2648"/>
    </row>
    <row r="2649" spans="5:8">
      <c r="E2649"/>
      <c r="F2649"/>
      <c r="G2649"/>
      <c r="H2649"/>
    </row>
    <row r="2650" spans="5:8">
      <c r="E2650"/>
      <c r="F2650"/>
      <c r="G2650"/>
      <c r="H2650"/>
    </row>
    <row r="2651" spans="5:8">
      <c r="E2651"/>
      <c r="F2651"/>
      <c r="G2651"/>
      <c r="H2651"/>
    </row>
    <row r="2652" spans="5:8">
      <c r="E2652"/>
      <c r="F2652"/>
      <c r="G2652"/>
      <c r="H2652"/>
    </row>
    <row r="2653" spans="5:8">
      <c r="E2653"/>
      <c r="F2653"/>
      <c r="G2653"/>
      <c r="H2653"/>
    </row>
    <row r="2654" spans="5:8">
      <c r="E2654"/>
      <c r="F2654"/>
      <c r="G2654"/>
      <c r="H2654"/>
    </row>
    <row r="2655" spans="5:8">
      <c r="E2655"/>
      <c r="F2655"/>
      <c r="G2655"/>
      <c r="H2655"/>
    </row>
    <row r="2656" spans="5:8">
      <c r="E2656"/>
      <c r="F2656"/>
      <c r="G2656"/>
      <c r="H2656"/>
    </row>
    <row r="2657" spans="5:8">
      <c r="E2657"/>
      <c r="F2657"/>
      <c r="G2657"/>
      <c r="H2657"/>
    </row>
    <row r="2658" spans="5:8">
      <c r="E2658"/>
      <c r="F2658"/>
      <c r="G2658"/>
      <c r="H2658"/>
    </row>
    <row r="2659" spans="5:8">
      <c r="E2659"/>
      <c r="F2659"/>
      <c r="G2659"/>
      <c r="H2659"/>
    </row>
    <row r="2660" spans="5:8">
      <c r="E2660"/>
      <c r="F2660"/>
      <c r="G2660"/>
      <c r="H2660"/>
    </row>
    <row r="2661" spans="5:8">
      <c r="E2661"/>
      <c r="F2661"/>
      <c r="G2661"/>
      <c r="H2661"/>
    </row>
    <row r="2662" spans="5:8">
      <c r="E2662"/>
      <c r="F2662"/>
      <c r="G2662"/>
      <c r="H2662"/>
    </row>
    <row r="2663" spans="5:8">
      <c r="E2663"/>
      <c r="F2663"/>
      <c r="G2663"/>
      <c r="H2663"/>
    </row>
    <row r="2664" spans="5:8">
      <c r="E2664"/>
      <c r="F2664"/>
      <c r="G2664"/>
      <c r="H2664"/>
    </row>
    <row r="2665" spans="5:8">
      <c r="E2665"/>
      <c r="F2665"/>
      <c r="G2665"/>
      <c r="H2665"/>
    </row>
    <row r="2666" spans="5:8">
      <c r="E2666"/>
      <c r="F2666"/>
      <c r="G2666"/>
      <c r="H2666"/>
    </row>
    <row r="2667" spans="5:8">
      <c r="E2667"/>
      <c r="F2667"/>
      <c r="G2667"/>
      <c r="H2667"/>
    </row>
    <row r="2668" spans="5:8">
      <c r="E2668"/>
      <c r="F2668"/>
      <c r="G2668"/>
      <c r="H2668"/>
    </row>
    <row r="2669" spans="5:8">
      <c r="E2669"/>
      <c r="F2669"/>
      <c r="G2669"/>
      <c r="H2669"/>
    </row>
    <row r="2670" spans="5:8">
      <c r="E2670"/>
      <c r="F2670"/>
      <c r="G2670"/>
      <c r="H2670"/>
    </row>
    <row r="2671" spans="5:8">
      <c r="E2671"/>
      <c r="F2671"/>
      <c r="G2671"/>
      <c r="H2671"/>
    </row>
    <row r="2672" spans="5:8">
      <c r="E2672"/>
      <c r="F2672"/>
      <c r="G2672"/>
      <c r="H2672"/>
    </row>
    <row r="2673" spans="5:8">
      <c r="E2673"/>
      <c r="F2673"/>
      <c r="G2673"/>
      <c r="H2673"/>
    </row>
    <row r="2674" spans="5:8">
      <c r="E2674"/>
      <c r="F2674"/>
      <c r="G2674"/>
      <c r="H2674"/>
    </row>
    <row r="2675" spans="5:8">
      <c r="E2675"/>
      <c r="F2675"/>
      <c r="G2675"/>
      <c r="H2675"/>
    </row>
    <row r="2676" spans="5:8">
      <c r="E2676"/>
      <c r="F2676"/>
      <c r="G2676"/>
      <c r="H2676"/>
    </row>
    <row r="2677" spans="5:8">
      <c r="E2677"/>
      <c r="F2677"/>
      <c r="G2677"/>
      <c r="H2677"/>
    </row>
    <row r="2678" spans="5:8">
      <c r="E2678"/>
      <c r="F2678"/>
      <c r="G2678"/>
      <c r="H2678"/>
    </row>
    <row r="2679" spans="5:8">
      <c r="E2679"/>
      <c r="F2679"/>
      <c r="G2679"/>
      <c r="H2679"/>
    </row>
    <row r="2680" spans="5:8">
      <c r="E2680"/>
      <c r="F2680"/>
      <c r="G2680"/>
      <c r="H2680"/>
    </row>
    <row r="2681" spans="5:8">
      <c r="E2681"/>
      <c r="F2681"/>
      <c r="G2681"/>
      <c r="H2681"/>
    </row>
    <row r="2682" spans="5:8">
      <c r="E2682"/>
      <c r="F2682"/>
      <c r="G2682"/>
      <c r="H2682"/>
    </row>
    <row r="2683" spans="5:8">
      <c r="E2683"/>
      <c r="F2683"/>
      <c r="G2683"/>
      <c r="H2683"/>
    </row>
    <row r="2684" spans="5:8">
      <c r="E2684"/>
      <c r="F2684"/>
      <c r="G2684"/>
      <c r="H2684"/>
    </row>
    <row r="2685" spans="5:8">
      <c r="E2685"/>
      <c r="F2685"/>
      <c r="G2685"/>
      <c r="H2685"/>
    </row>
    <row r="2686" spans="5:8">
      <c r="E2686"/>
      <c r="F2686"/>
      <c r="G2686"/>
      <c r="H2686"/>
    </row>
    <row r="2687" spans="5:8">
      <c r="E2687"/>
      <c r="F2687"/>
      <c r="G2687"/>
      <c r="H2687"/>
    </row>
    <row r="2688" spans="5:8">
      <c r="E2688"/>
      <c r="F2688"/>
      <c r="G2688"/>
      <c r="H2688"/>
    </row>
    <row r="2689" spans="5:8">
      <c r="E2689"/>
      <c r="F2689"/>
      <c r="G2689"/>
      <c r="H2689"/>
    </row>
    <row r="2690" spans="5:8">
      <c r="E2690"/>
      <c r="F2690"/>
      <c r="G2690"/>
      <c r="H2690"/>
    </row>
    <row r="2691" spans="5:8">
      <c r="E2691"/>
      <c r="F2691"/>
      <c r="G2691"/>
      <c r="H2691"/>
    </row>
    <row r="2692" spans="5:8">
      <c r="E2692"/>
      <c r="F2692"/>
      <c r="G2692"/>
      <c r="H2692"/>
    </row>
    <row r="2693" spans="5:8">
      <c r="E2693"/>
      <c r="F2693"/>
      <c r="G2693"/>
      <c r="H2693"/>
    </row>
    <row r="2694" spans="5:8">
      <c r="E2694"/>
      <c r="F2694"/>
      <c r="G2694"/>
      <c r="H2694"/>
    </row>
    <row r="2695" spans="5:8">
      <c r="E2695"/>
      <c r="F2695"/>
      <c r="G2695"/>
      <c r="H2695"/>
    </row>
    <row r="2696" spans="5:8">
      <c r="E2696"/>
      <c r="F2696"/>
      <c r="G2696"/>
      <c r="H2696"/>
    </row>
    <row r="2697" spans="5:8">
      <c r="E2697"/>
      <c r="F2697"/>
      <c r="G2697"/>
      <c r="H2697"/>
    </row>
    <row r="2698" spans="5:8">
      <c r="E2698"/>
      <c r="F2698"/>
      <c r="G2698"/>
      <c r="H2698"/>
    </row>
    <row r="2699" spans="5:8">
      <c r="E2699"/>
      <c r="F2699"/>
      <c r="G2699"/>
      <c r="H2699"/>
    </row>
    <row r="2700" spans="5:8">
      <c r="E2700"/>
      <c r="F2700"/>
      <c r="G2700"/>
      <c r="H2700"/>
    </row>
    <row r="2701" spans="5:8">
      <c r="E2701"/>
      <c r="F2701"/>
      <c r="G2701"/>
      <c r="H2701"/>
    </row>
    <row r="2702" spans="5:8">
      <c r="E2702"/>
      <c r="F2702"/>
      <c r="G2702"/>
      <c r="H2702"/>
    </row>
    <row r="2703" spans="5:8">
      <c r="E2703"/>
      <c r="F2703"/>
      <c r="G2703"/>
      <c r="H2703"/>
    </row>
    <row r="2704" spans="5:8">
      <c r="E2704"/>
      <c r="F2704"/>
      <c r="G2704"/>
      <c r="H2704"/>
    </row>
    <row r="2705" spans="5:8">
      <c r="E2705"/>
      <c r="F2705"/>
      <c r="G2705"/>
      <c r="H2705"/>
    </row>
    <row r="2706" spans="5:8">
      <c r="E2706"/>
      <c r="F2706"/>
      <c r="G2706"/>
      <c r="H2706"/>
    </row>
    <row r="2707" spans="5:8">
      <c r="E2707"/>
      <c r="F2707"/>
      <c r="G2707"/>
      <c r="H2707"/>
    </row>
    <row r="2708" spans="5:8">
      <c r="E2708"/>
      <c r="F2708"/>
      <c r="G2708"/>
      <c r="H2708"/>
    </row>
    <row r="2709" spans="5:8">
      <c r="E2709"/>
      <c r="F2709"/>
      <c r="G2709"/>
      <c r="H2709"/>
    </row>
    <row r="2710" spans="5:8">
      <c r="E2710"/>
      <c r="F2710"/>
      <c r="G2710"/>
      <c r="H2710"/>
    </row>
    <row r="2711" spans="5:8">
      <c r="E2711"/>
      <c r="F2711"/>
      <c r="G2711"/>
      <c r="H2711"/>
    </row>
    <row r="2712" spans="5:8">
      <c r="E2712"/>
      <c r="F2712"/>
      <c r="G2712"/>
      <c r="H2712"/>
    </row>
    <row r="2713" spans="5:8">
      <c r="E2713"/>
      <c r="F2713"/>
      <c r="G2713"/>
      <c r="H2713"/>
    </row>
    <row r="2714" spans="5:8">
      <c r="E2714"/>
      <c r="F2714"/>
      <c r="G2714"/>
      <c r="H2714"/>
    </row>
    <row r="2715" spans="5:8">
      <c r="E2715"/>
      <c r="F2715"/>
      <c r="G2715"/>
      <c r="H2715"/>
    </row>
    <row r="2716" spans="5:8">
      <c r="E2716"/>
      <c r="F2716"/>
      <c r="G2716"/>
      <c r="H2716"/>
    </row>
    <row r="2717" spans="5:8">
      <c r="E2717"/>
      <c r="F2717"/>
      <c r="G2717"/>
      <c r="H2717"/>
    </row>
    <row r="2718" spans="5:8">
      <c r="E2718"/>
      <c r="F2718"/>
      <c r="G2718"/>
      <c r="H2718"/>
    </row>
    <row r="2719" spans="5:8">
      <c r="E2719"/>
      <c r="F2719"/>
      <c r="G2719"/>
      <c r="H2719"/>
    </row>
    <row r="2720" spans="5:8">
      <c r="E2720"/>
      <c r="F2720"/>
      <c r="G2720"/>
      <c r="H2720"/>
    </row>
    <row r="2721" spans="5:8">
      <c r="E2721"/>
      <c r="F2721"/>
      <c r="G2721"/>
      <c r="H2721"/>
    </row>
    <row r="2722" spans="5:8">
      <c r="E2722"/>
      <c r="F2722"/>
      <c r="G2722"/>
      <c r="H2722"/>
    </row>
    <row r="2723" spans="5:8">
      <c r="E2723"/>
      <c r="F2723"/>
      <c r="G2723"/>
      <c r="H2723"/>
    </row>
    <row r="2724" spans="5:8">
      <c r="E2724"/>
      <c r="F2724"/>
      <c r="G2724"/>
      <c r="H2724"/>
    </row>
    <row r="2725" spans="5:8">
      <c r="E2725"/>
      <c r="F2725"/>
      <c r="G2725"/>
      <c r="H2725"/>
    </row>
    <row r="2726" spans="5:8">
      <c r="E2726"/>
      <c r="F2726"/>
      <c r="G2726"/>
      <c r="H2726"/>
    </row>
    <row r="2727" spans="5:8">
      <c r="E2727"/>
      <c r="F2727"/>
      <c r="G2727"/>
      <c r="H2727"/>
    </row>
    <row r="2728" spans="5:8">
      <c r="E2728"/>
      <c r="F2728"/>
      <c r="G2728"/>
      <c r="H2728"/>
    </row>
    <row r="2729" spans="5:8">
      <c r="E2729"/>
      <c r="F2729"/>
      <c r="G2729"/>
      <c r="H2729"/>
    </row>
    <row r="2730" spans="5:8">
      <c r="E2730"/>
      <c r="F2730"/>
      <c r="G2730"/>
      <c r="H2730"/>
    </row>
    <row r="2731" spans="5:8">
      <c r="E2731"/>
      <c r="F2731"/>
      <c r="G2731"/>
      <c r="H2731"/>
    </row>
    <row r="2732" spans="5:8">
      <c r="E2732"/>
      <c r="F2732"/>
      <c r="G2732"/>
      <c r="H2732"/>
    </row>
    <row r="2733" spans="5:8">
      <c r="E2733"/>
      <c r="F2733"/>
      <c r="G2733"/>
      <c r="H2733"/>
    </row>
    <row r="2734" spans="5:8">
      <c r="E2734"/>
      <c r="F2734"/>
      <c r="G2734"/>
      <c r="H2734"/>
    </row>
    <row r="2735" spans="5:8">
      <c r="E2735"/>
      <c r="F2735"/>
      <c r="G2735"/>
      <c r="H2735"/>
    </row>
    <row r="2736" spans="5:8">
      <c r="E2736"/>
      <c r="F2736"/>
      <c r="G2736"/>
      <c r="H2736"/>
    </row>
    <row r="2737" spans="5:8">
      <c r="E2737"/>
      <c r="F2737"/>
      <c r="G2737"/>
      <c r="H2737"/>
    </row>
    <row r="2738" spans="5:8">
      <c r="E2738"/>
      <c r="F2738"/>
      <c r="G2738"/>
      <c r="H2738"/>
    </row>
    <row r="2739" spans="5:8">
      <c r="E2739"/>
      <c r="F2739"/>
      <c r="G2739"/>
      <c r="H2739"/>
    </row>
    <row r="2740" spans="5:8">
      <c r="E2740"/>
      <c r="F2740"/>
      <c r="G2740"/>
      <c r="H2740"/>
    </row>
    <row r="2741" spans="5:8">
      <c r="E2741"/>
      <c r="F2741"/>
      <c r="G2741"/>
      <c r="H2741"/>
    </row>
    <row r="2742" spans="5:8">
      <c r="E2742"/>
      <c r="F2742"/>
      <c r="G2742"/>
      <c r="H2742"/>
    </row>
    <row r="2743" spans="5:8">
      <c r="E2743"/>
      <c r="F2743"/>
      <c r="G2743"/>
      <c r="H2743"/>
    </row>
    <row r="2744" spans="5:8">
      <c r="E2744"/>
      <c r="F2744"/>
      <c r="G2744"/>
      <c r="H2744"/>
    </row>
    <row r="2745" spans="5:8">
      <c r="E2745"/>
      <c r="F2745"/>
      <c r="G2745"/>
      <c r="H2745"/>
    </row>
    <row r="2746" spans="5:8">
      <c r="E2746"/>
      <c r="F2746"/>
      <c r="G2746"/>
      <c r="H2746"/>
    </row>
    <row r="2747" spans="5:8">
      <c r="E2747"/>
      <c r="F2747"/>
      <c r="G2747"/>
      <c r="H2747"/>
    </row>
    <row r="2748" spans="5:8">
      <c r="E2748"/>
      <c r="F2748"/>
      <c r="G2748"/>
      <c r="H2748"/>
    </row>
    <row r="2749" spans="5:8">
      <c r="E2749"/>
      <c r="F2749"/>
      <c r="G2749"/>
      <c r="H2749"/>
    </row>
    <row r="2750" spans="5:8">
      <c r="E2750"/>
      <c r="F2750"/>
      <c r="G2750"/>
      <c r="H2750"/>
    </row>
    <row r="2751" spans="5:8">
      <c r="E2751"/>
      <c r="F2751"/>
      <c r="G2751"/>
      <c r="H2751"/>
    </row>
    <row r="2752" spans="5:8">
      <c r="E2752"/>
      <c r="F2752"/>
      <c r="G2752"/>
      <c r="H2752"/>
    </row>
    <row r="2753" spans="5:8">
      <c r="E2753"/>
      <c r="F2753"/>
      <c r="G2753"/>
      <c r="H2753"/>
    </row>
    <row r="2754" spans="5:8">
      <c r="E2754"/>
      <c r="F2754"/>
      <c r="G2754"/>
      <c r="H2754"/>
    </row>
    <row r="2755" spans="5:8">
      <c r="E2755"/>
      <c r="F2755"/>
      <c r="G2755"/>
      <c r="H2755"/>
    </row>
    <row r="2756" spans="5:8">
      <c r="E2756"/>
      <c r="F2756"/>
      <c r="G2756"/>
      <c r="H2756"/>
    </row>
    <row r="2757" spans="5:8">
      <c r="E2757"/>
      <c r="F2757"/>
      <c r="G2757"/>
      <c r="H2757"/>
    </row>
    <row r="2758" spans="5:8">
      <c r="E2758"/>
      <c r="F2758"/>
      <c r="G2758"/>
      <c r="H2758"/>
    </row>
    <row r="2759" spans="5:8">
      <c r="E2759"/>
      <c r="F2759"/>
      <c r="G2759"/>
      <c r="H2759"/>
    </row>
    <row r="2760" spans="5:8">
      <c r="E2760"/>
      <c r="F2760"/>
      <c r="G2760"/>
      <c r="H2760"/>
    </row>
    <row r="2761" spans="5:8">
      <c r="E2761"/>
      <c r="F2761"/>
      <c r="G2761"/>
      <c r="H2761"/>
    </row>
    <row r="2762" spans="5:8">
      <c r="E2762"/>
      <c r="F2762"/>
      <c r="G2762"/>
      <c r="H2762"/>
    </row>
    <row r="2763" spans="5:8">
      <c r="E2763"/>
      <c r="F2763"/>
      <c r="G2763"/>
      <c r="H2763"/>
    </row>
    <row r="2764" spans="5:8">
      <c r="E2764"/>
      <c r="F2764"/>
      <c r="G2764"/>
      <c r="H2764"/>
    </row>
    <row r="2765" spans="5:8">
      <c r="E2765"/>
      <c r="F2765"/>
      <c r="G2765"/>
      <c r="H2765"/>
    </row>
    <row r="2766" spans="5:8">
      <c r="E2766"/>
      <c r="F2766"/>
      <c r="G2766"/>
      <c r="H2766"/>
    </row>
    <row r="2767" spans="5:8">
      <c r="E2767"/>
      <c r="F2767"/>
      <c r="G2767"/>
      <c r="H2767"/>
    </row>
    <row r="2768" spans="5:8">
      <c r="E2768"/>
      <c r="F2768"/>
      <c r="G2768"/>
      <c r="H2768"/>
    </row>
    <row r="2769" spans="5:8">
      <c r="E2769"/>
      <c r="F2769"/>
      <c r="G2769"/>
      <c r="H2769"/>
    </row>
    <row r="2770" spans="5:8">
      <c r="E2770"/>
      <c r="F2770"/>
      <c r="G2770"/>
      <c r="H2770"/>
    </row>
    <row r="2771" spans="5:8">
      <c r="E2771"/>
      <c r="F2771"/>
      <c r="G2771"/>
      <c r="H2771"/>
    </row>
    <row r="2772" spans="5:8">
      <c r="E2772"/>
      <c r="F2772"/>
      <c r="G2772"/>
      <c r="H2772"/>
    </row>
    <row r="2773" spans="5:8">
      <c r="E2773"/>
      <c r="F2773"/>
      <c r="G2773"/>
      <c r="H2773"/>
    </row>
    <row r="2774" spans="5:8">
      <c r="E2774"/>
      <c r="F2774"/>
      <c r="G2774"/>
      <c r="H2774"/>
    </row>
    <row r="2775" spans="5:8">
      <c r="E2775"/>
      <c r="F2775"/>
      <c r="G2775"/>
      <c r="H2775"/>
    </row>
    <row r="2776" spans="5:8">
      <c r="E2776"/>
      <c r="F2776"/>
      <c r="G2776"/>
      <c r="H2776"/>
    </row>
    <row r="2777" spans="5:8">
      <c r="E2777"/>
      <c r="F2777"/>
      <c r="G2777"/>
      <c r="H2777"/>
    </row>
    <row r="2778" spans="5:8">
      <c r="E2778"/>
      <c r="F2778"/>
      <c r="G2778"/>
      <c r="H2778"/>
    </row>
    <row r="2779" spans="5:8">
      <c r="E2779"/>
      <c r="F2779"/>
      <c r="G2779"/>
      <c r="H2779"/>
    </row>
    <row r="2780" spans="5:8">
      <c r="E2780"/>
      <c r="F2780"/>
      <c r="G2780"/>
      <c r="H2780"/>
    </row>
    <row r="2781" spans="5:8">
      <c r="E2781"/>
      <c r="F2781"/>
      <c r="G2781"/>
      <c r="H2781"/>
    </row>
    <row r="2782" spans="5:8">
      <c r="E2782"/>
      <c r="F2782"/>
      <c r="G2782"/>
      <c r="H2782"/>
    </row>
    <row r="2783" spans="5:8">
      <c r="E2783"/>
      <c r="F2783"/>
      <c r="G2783"/>
      <c r="H2783"/>
    </row>
    <row r="2784" spans="5:8">
      <c r="E2784"/>
      <c r="F2784"/>
      <c r="G2784"/>
      <c r="H2784"/>
    </row>
    <row r="2785" spans="5:8">
      <c r="E2785"/>
      <c r="F2785"/>
      <c r="G2785"/>
      <c r="H2785"/>
    </row>
    <row r="2786" spans="5:8">
      <c r="E2786"/>
      <c r="F2786"/>
      <c r="G2786"/>
      <c r="H2786"/>
    </row>
    <row r="2787" spans="5:8">
      <c r="E2787"/>
      <c r="F2787"/>
      <c r="G2787"/>
      <c r="H2787"/>
    </row>
    <row r="2788" spans="5:8">
      <c r="E2788"/>
      <c r="F2788"/>
      <c r="G2788"/>
      <c r="H2788"/>
    </row>
    <row r="2789" spans="5:8">
      <c r="E2789"/>
      <c r="F2789"/>
      <c r="G2789"/>
      <c r="H2789"/>
    </row>
    <row r="2790" spans="5:8">
      <c r="E2790"/>
      <c r="F2790"/>
      <c r="G2790"/>
      <c r="H2790"/>
    </row>
    <row r="2791" spans="5:8">
      <c r="E2791"/>
      <c r="F2791"/>
      <c r="G2791"/>
      <c r="H2791"/>
    </row>
    <row r="2792" spans="5:8">
      <c r="E2792"/>
      <c r="F2792"/>
      <c r="G2792"/>
      <c r="H2792"/>
    </row>
    <row r="2793" spans="5:8">
      <c r="E2793"/>
      <c r="F2793"/>
      <c r="G2793"/>
      <c r="H2793"/>
    </row>
    <row r="2794" spans="5:8">
      <c r="E2794"/>
      <c r="F2794"/>
      <c r="G2794"/>
      <c r="H2794"/>
    </row>
    <row r="2795" spans="5:8">
      <c r="E2795"/>
      <c r="F2795"/>
      <c r="G2795"/>
      <c r="H2795"/>
    </row>
    <row r="2796" spans="5:8">
      <c r="E2796"/>
      <c r="F2796"/>
      <c r="G2796"/>
      <c r="H2796"/>
    </row>
    <row r="2797" spans="5:8">
      <c r="E2797"/>
      <c r="F2797"/>
      <c r="G2797"/>
      <c r="H2797"/>
    </row>
    <row r="2798" spans="5:8">
      <c r="E2798"/>
      <c r="F2798"/>
      <c r="G2798"/>
      <c r="H2798"/>
    </row>
    <row r="2799" spans="5:8">
      <c r="E2799"/>
      <c r="F2799"/>
      <c r="G2799"/>
      <c r="H2799"/>
    </row>
    <row r="2800" spans="5:8">
      <c r="E2800"/>
      <c r="F2800"/>
      <c r="G2800"/>
      <c r="H2800"/>
    </row>
    <row r="2801" spans="5:8">
      <c r="E2801"/>
      <c r="F2801"/>
      <c r="G2801"/>
      <c r="H2801"/>
    </row>
    <row r="2802" spans="5:8">
      <c r="E2802"/>
      <c r="F2802"/>
      <c r="G2802"/>
      <c r="H2802"/>
    </row>
    <row r="2803" spans="5:8">
      <c r="E2803"/>
      <c r="F2803"/>
      <c r="G2803"/>
      <c r="H2803"/>
    </row>
    <row r="2804" spans="5:8">
      <c r="E2804"/>
      <c r="F2804"/>
      <c r="G2804"/>
      <c r="H2804"/>
    </row>
    <row r="2805" spans="5:8">
      <c r="E2805"/>
      <c r="F2805"/>
      <c r="G2805"/>
      <c r="H2805"/>
    </row>
    <row r="2806" spans="5:8">
      <c r="E2806"/>
      <c r="F2806"/>
      <c r="G2806"/>
      <c r="H2806"/>
    </row>
    <row r="2807" spans="5:8">
      <c r="E2807"/>
      <c r="F2807"/>
      <c r="G2807"/>
      <c r="H2807"/>
    </row>
    <row r="2808" spans="5:8">
      <c r="E2808"/>
      <c r="F2808"/>
      <c r="G2808"/>
      <c r="H2808"/>
    </row>
    <row r="2809" spans="5:8">
      <c r="E2809"/>
      <c r="F2809"/>
      <c r="G2809"/>
      <c r="H2809"/>
    </row>
    <row r="2810" spans="5:8">
      <c r="E2810"/>
      <c r="F2810"/>
      <c r="G2810"/>
      <c r="H2810"/>
    </row>
    <row r="2811" spans="5:8">
      <c r="E2811"/>
      <c r="F2811"/>
      <c r="G2811"/>
      <c r="H2811"/>
    </row>
    <row r="2812" spans="5:8">
      <c r="E2812"/>
      <c r="F2812"/>
      <c r="G2812"/>
      <c r="H2812"/>
    </row>
    <row r="2813" spans="5:8">
      <c r="E2813"/>
      <c r="F2813"/>
      <c r="G2813"/>
      <c r="H2813"/>
    </row>
    <row r="2814" spans="5:8">
      <c r="E2814"/>
      <c r="F2814"/>
      <c r="G2814"/>
      <c r="H2814"/>
    </row>
    <row r="2815" spans="5:8">
      <c r="E2815"/>
      <c r="F2815"/>
      <c r="G2815"/>
      <c r="H2815"/>
    </row>
    <row r="2816" spans="5:8">
      <c r="E2816"/>
      <c r="F2816"/>
      <c r="G2816"/>
      <c r="H2816"/>
    </row>
    <row r="2817" spans="5:8">
      <c r="E2817"/>
      <c r="F2817"/>
      <c r="G2817"/>
      <c r="H2817"/>
    </row>
    <row r="2818" spans="5:8">
      <c r="E2818"/>
      <c r="F2818"/>
      <c r="G2818"/>
      <c r="H2818"/>
    </row>
    <row r="2819" spans="5:8">
      <c r="E2819"/>
      <c r="F2819"/>
      <c r="G2819"/>
      <c r="H2819"/>
    </row>
    <row r="2820" spans="5:8">
      <c r="E2820"/>
      <c r="F2820"/>
      <c r="G2820"/>
      <c r="H2820"/>
    </row>
    <row r="2821" spans="5:8">
      <c r="E2821"/>
      <c r="F2821"/>
      <c r="G2821"/>
      <c r="H2821"/>
    </row>
    <row r="2822" spans="5:8">
      <c r="E2822"/>
      <c r="F2822"/>
      <c r="G2822"/>
      <c r="H2822"/>
    </row>
    <row r="2823" spans="5:8">
      <c r="E2823"/>
      <c r="F2823"/>
      <c r="G2823"/>
      <c r="H2823"/>
    </row>
    <row r="2824" spans="5:8">
      <c r="E2824"/>
      <c r="F2824"/>
      <c r="G2824"/>
      <c r="H2824"/>
    </row>
    <row r="2825" spans="5:8">
      <c r="E2825"/>
      <c r="F2825"/>
      <c r="G2825"/>
      <c r="H2825"/>
    </row>
    <row r="2826" spans="5:8">
      <c r="E2826"/>
      <c r="F2826"/>
      <c r="G2826"/>
      <c r="H2826"/>
    </row>
    <row r="2827" spans="5:8">
      <c r="E2827"/>
      <c r="F2827"/>
      <c r="G2827"/>
      <c r="H2827"/>
    </row>
    <row r="2828" spans="5:8">
      <c r="E2828"/>
      <c r="F2828"/>
      <c r="G2828"/>
      <c r="H2828"/>
    </row>
    <row r="2829" spans="5:8">
      <c r="E2829"/>
      <c r="F2829"/>
      <c r="G2829"/>
      <c r="H2829"/>
    </row>
    <row r="2830" spans="5:8">
      <c r="E2830"/>
      <c r="F2830"/>
      <c r="G2830"/>
      <c r="H2830"/>
    </row>
    <row r="2831" spans="5:8">
      <c r="E2831"/>
      <c r="F2831"/>
      <c r="G2831"/>
      <c r="H2831"/>
    </row>
    <row r="2832" spans="5:8">
      <c r="E2832"/>
      <c r="F2832"/>
      <c r="G2832"/>
      <c r="H2832"/>
    </row>
    <row r="2833" spans="5:8">
      <c r="E2833"/>
      <c r="F2833"/>
      <c r="G2833"/>
      <c r="H2833"/>
    </row>
    <row r="2834" spans="5:8">
      <c r="E2834"/>
      <c r="F2834"/>
      <c r="G2834"/>
      <c r="H2834"/>
    </row>
    <row r="2835" spans="5:8">
      <c r="E2835"/>
      <c r="F2835"/>
      <c r="G2835"/>
      <c r="H2835"/>
    </row>
    <row r="2836" spans="5:8">
      <c r="E2836"/>
      <c r="F2836"/>
      <c r="G2836"/>
      <c r="H2836"/>
    </row>
    <row r="2837" spans="5:8">
      <c r="E2837"/>
      <c r="F2837"/>
      <c r="G2837"/>
      <c r="H2837"/>
    </row>
    <row r="2838" spans="5:8">
      <c r="E2838"/>
      <c r="F2838"/>
      <c r="G2838"/>
      <c r="H2838"/>
    </row>
    <row r="2839" spans="5:8">
      <c r="E2839"/>
      <c r="F2839"/>
      <c r="G2839"/>
      <c r="H2839"/>
    </row>
    <row r="2840" spans="5:8">
      <c r="E2840"/>
      <c r="F2840"/>
      <c r="G2840"/>
      <c r="H2840"/>
    </row>
    <row r="2841" spans="5:8">
      <c r="E2841"/>
      <c r="F2841"/>
      <c r="G2841"/>
      <c r="H2841"/>
    </row>
    <row r="2842" spans="5:8">
      <c r="E2842"/>
      <c r="F2842"/>
      <c r="G2842"/>
      <c r="H2842"/>
    </row>
    <row r="2843" spans="5:8">
      <c r="E2843"/>
      <c r="F2843"/>
      <c r="G2843"/>
      <c r="H2843"/>
    </row>
    <row r="2844" spans="5:8">
      <c r="E2844"/>
      <c r="F2844"/>
      <c r="G2844"/>
      <c r="H2844"/>
    </row>
    <row r="2845" spans="5:8">
      <c r="E2845"/>
      <c r="F2845"/>
      <c r="G2845"/>
      <c r="H2845"/>
    </row>
    <row r="2846" spans="5:8">
      <c r="E2846"/>
      <c r="F2846"/>
      <c r="G2846"/>
      <c r="H2846"/>
    </row>
    <row r="2847" spans="5:8">
      <c r="E2847"/>
      <c r="F2847"/>
      <c r="G2847"/>
      <c r="H2847"/>
    </row>
    <row r="2848" spans="5:8">
      <c r="E2848"/>
      <c r="F2848"/>
      <c r="G2848"/>
      <c r="H2848"/>
    </row>
    <row r="2849" spans="5:8">
      <c r="E2849"/>
      <c r="F2849"/>
      <c r="G2849"/>
      <c r="H2849"/>
    </row>
    <row r="2850" spans="5:8">
      <c r="E2850"/>
      <c r="F2850"/>
      <c r="G2850"/>
      <c r="H2850"/>
    </row>
    <row r="2851" spans="5:8">
      <c r="E2851"/>
      <c r="F2851"/>
      <c r="G2851"/>
      <c r="H2851"/>
    </row>
    <row r="2852" spans="5:8">
      <c r="E2852"/>
      <c r="F2852"/>
      <c r="G2852"/>
      <c r="H2852"/>
    </row>
    <row r="2853" spans="5:8">
      <c r="E2853"/>
      <c r="F2853"/>
      <c r="G2853"/>
      <c r="H2853"/>
    </row>
    <row r="2854" spans="5:8">
      <c r="E2854"/>
      <c r="F2854"/>
      <c r="G2854"/>
      <c r="H2854"/>
    </row>
    <row r="2855" spans="5:8">
      <c r="E2855"/>
      <c r="F2855"/>
      <c r="G2855"/>
      <c r="H2855"/>
    </row>
    <row r="2856" spans="5:8">
      <c r="E2856"/>
      <c r="F2856"/>
      <c r="G2856"/>
      <c r="H2856"/>
    </row>
    <row r="2857" spans="5:8">
      <c r="E2857"/>
      <c r="F2857"/>
      <c r="G2857"/>
      <c r="H2857"/>
    </row>
    <row r="2858" spans="5:8">
      <c r="E2858"/>
      <c r="F2858"/>
      <c r="G2858"/>
      <c r="H2858"/>
    </row>
    <row r="2859" spans="5:8">
      <c r="E2859"/>
      <c r="F2859"/>
      <c r="G2859"/>
      <c r="H2859"/>
    </row>
    <row r="2860" spans="5:8">
      <c r="E2860"/>
      <c r="F2860"/>
      <c r="G2860"/>
      <c r="H2860"/>
    </row>
    <row r="2861" spans="5:8">
      <c r="E2861"/>
      <c r="F2861"/>
      <c r="G2861"/>
      <c r="H2861"/>
    </row>
    <row r="2862" spans="5:8">
      <c r="E2862"/>
      <c r="F2862"/>
      <c r="G2862"/>
      <c r="H2862"/>
    </row>
    <row r="2863" spans="5:8">
      <c r="E2863"/>
      <c r="F2863"/>
      <c r="G2863"/>
      <c r="H2863"/>
    </row>
    <row r="2864" spans="5:8">
      <c r="E2864"/>
      <c r="F2864"/>
      <c r="G2864"/>
      <c r="H2864"/>
    </row>
    <row r="2865" spans="5:8">
      <c r="E2865"/>
      <c r="F2865"/>
      <c r="G2865"/>
      <c r="H2865"/>
    </row>
    <row r="2866" spans="5:8">
      <c r="E2866"/>
      <c r="F2866"/>
      <c r="G2866"/>
      <c r="H2866"/>
    </row>
    <row r="2867" spans="5:8">
      <c r="E2867"/>
      <c r="F2867"/>
      <c r="G2867"/>
      <c r="H2867"/>
    </row>
    <row r="2868" spans="5:8">
      <c r="E2868"/>
      <c r="F2868"/>
      <c r="G2868"/>
      <c r="H2868"/>
    </row>
    <row r="2869" spans="5:8">
      <c r="E2869"/>
      <c r="F2869"/>
      <c r="G2869"/>
      <c r="H2869"/>
    </row>
    <row r="2870" spans="5:8">
      <c r="E2870"/>
      <c r="F2870"/>
      <c r="G2870"/>
      <c r="H2870"/>
    </row>
    <row r="2871" spans="5:8">
      <c r="E2871"/>
      <c r="F2871"/>
      <c r="G2871"/>
      <c r="H2871"/>
    </row>
    <row r="2872" spans="5:8">
      <c r="E2872"/>
      <c r="F2872"/>
      <c r="G2872"/>
      <c r="H2872"/>
    </row>
    <row r="2873" spans="5:8">
      <c r="E2873"/>
      <c r="F2873"/>
      <c r="G2873"/>
      <c r="H2873"/>
    </row>
    <row r="2874" spans="5:8">
      <c r="E2874"/>
      <c r="F2874"/>
      <c r="G2874"/>
      <c r="H2874"/>
    </row>
    <row r="2875" spans="5:8">
      <c r="E2875"/>
      <c r="F2875"/>
      <c r="G2875"/>
      <c r="H2875"/>
    </row>
    <row r="2876" spans="5:8">
      <c r="E2876"/>
      <c r="F2876"/>
      <c r="G2876"/>
      <c r="H2876"/>
    </row>
    <row r="2877" spans="5:8">
      <c r="E2877"/>
      <c r="F2877"/>
      <c r="G2877"/>
      <c r="H2877"/>
    </row>
    <row r="2878" spans="5:8">
      <c r="E2878"/>
      <c r="F2878"/>
      <c r="G2878"/>
      <c r="H2878"/>
    </row>
    <row r="2879" spans="5:8">
      <c r="E2879"/>
      <c r="F2879"/>
      <c r="G2879"/>
      <c r="H2879"/>
    </row>
    <row r="2880" spans="5:8">
      <c r="E2880"/>
      <c r="F2880"/>
      <c r="G2880"/>
      <c r="H2880"/>
    </row>
    <row r="2881" spans="5:8">
      <c r="E2881"/>
      <c r="F2881"/>
      <c r="G2881"/>
      <c r="H2881"/>
    </row>
    <row r="2882" spans="5:8">
      <c r="E2882"/>
      <c r="F2882"/>
      <c r="G2882"/>
      <c r="H2882"/>
    </row>
    <row r="2883" spans="5:8">
      <c r="E2883"/>
      <c r="F2883"/>
      <c r="G2883"/>
      <c r="H2883"/>
    </row>
    <row r="2884" spans="5:8">
      <c r="E2884"/>
      <c r="F2884"/>
      <c r="G2884"/>
      <c r="H2884"/>
    </row>
    <row r="2885" spans="5:8">
      <c r="E2885"/>
      <c r="F2885"/>
      <c r="G2885"/>
      <c r="H2885"/>
    </row>
    <row r="2886" spans="5:8">
      <c r="E2886"/>
      <c r="F2886"/>
      <c r="G2886"/>
      <c r="H2886"/>
    </row>
    <row r="2887" spans="5:8">
      <c r="E2887"/>
      <c r="F2887"/>
      <c r="G2887"/>
      <c r="H2887"/>
    </row>
    <row r="2888" spans="5:8">
      <c r="E2888"/>
      <c r="F2888"/>
      <c r="G2888"/>
      <c r="H2888"/>
    </row>
    <row r="2889" spans="5:8">
      <c r="E2889"/>
      <c r="F2889"/>
      <c r="G2889"/>
      <c r="H2889"/>
    </row>
    <row r="2890" spans="5:8">
      <c r="E2890"/>
      <c r="F2890"/>
      <c r="G2890"/>
      <c r="H2890"/>
    </row>
    <row r="2891" spans="5:8">
      <c r="E2891"/>
      <c r="F2891"/>
      <c r="G2891"/>
      <c r="H2891"/>
    </row>
    <row r="2892" spans="5:8">
      <c r="E2892"/>
      <c r="F2892"/>
      <c r="G2892"/>
      <c r="H2892"/>
    </row>
    <row r="2893" spans="5:8">
      <c r="E2893"/>
      <c r="F2893"/>
      <c r="G2893"/>
      <c r="H2893"/>
    </row>
    <row r="2894" spans="5:8">
      <c r="E2894"/>
      <c r="F2894"/>
      <c r="G2894"/>
      <c r="H2894"/>
    </row>
    <row r="2895" spans="5:8">
      <c r="E2895"/>
      <c r="F2895"/>
      <c r="G2895"/>
      <c r="H2895"/>
    </row>
    <row r="2896" spans="5:8">
      <c r="E2896"/>
      <c r="F2896"/>
      <c r="G2896"/>
      <c r="H2896"/>
    </row>
    <row r="2897" spans="5:8">
      <c r="E2897"/>
      <c r="F2897"/>
      <c r="G2897"/>
      <c r="H2897"/>
    </row>
    <row r="2898" spans="5:8">
      <c r="E2898"/>
      <c r="F2898"/>
      <c r="G2898"/>
      <c r="H2898"/>
    </row>
    <row r="2899" spans="5:8">
      <c r="E2899"/>
      <c r="F2899"/>
      <c r="G2899"/>
      <c r="H2899"/>
    </row>
    <row r="2900" spans="5:8">
      <c r="E2900"/>
      <c r="F2900"/>
      <c r="G2900"/>
      <c r="H2900"/>
    </row>
    <row r="2901" spans="5:8">
      <c r="E2901"/>
      <c r="F2901"/>
      <c r="G2901"/>
      <c r="H2901"/>
    </row>
    <row r="2902" spans="5:8">
      <c r="E2902"/>
      <c r="F2902"/>
      <c r="G2902"/>
      <c r="H2902"/>
    </row>
    <row r="2903" spans="5:8">
      <c r="E2903"/>
      <c r="F2903"/>
      <c r="G2903"/>
      <c r="H2903"/>
    </row>
    <row r="2904" spans="5:8">
      <c r="E2904"/>
      <c r="F2904"/>
      <c r="G2904"/>
      <c r="H2904"/>
    </row>
    <row r="2905" spans="5:8">
      <c r="E2905"/>
      <c r="F2905"/>
      <c r="G2905"/>
      <c r="H2905"/>
    </row>
    <row r="2906" spans="5:8">
      <c r="E2906"/>
      <c r="F2906"/>
      <c r="G2906"/>
      <c r="H2906"/>
    </row>
    <row r="2907" spans="5:8">
      <c r="E2907"/>
      <c r="F2907"/>
      <c r="G2907"/>
      <c r="H2907"/>
    </row>
    <row r="2908" spans="5:8">
      <c r="E2908"/>
      <c r="F2908"/>
      <c r="G2908"/>
      <c r="H2908"/>
    </row>
    <row r="2909" spans="5:8">
      <c r="E2909"/>
      <c r="F2909"/>
      <c r="G2909"/>
      <c r="H2909"/>
    </row>
    <row r="2910" spans="5:8">
      <c r="E2910"/>
      <c r="F2910"/>
      <c r="G2910"/>
      <c r="H2910"/>
    </row>
    <row r="2911" spans="5:8">
      <c r="E2911"/>
      <c r="F2911"/>
      <c r="G2911"/>
      <c r="H2911"/>
    </row>
    <row r="2912" spans="5:8">
      <c r="E2912"/>
      <c r="F2912"/>
      <c r="G2912"/>
      <c r="H2912"/>
    </row>
    <row r="2913" spans="5:8">
      <c r="E2913"/>
      <c r="F2913"/>
      <c r="G2913"/>
      <c r="H2913"/>
    </row>
    <row r="2914" spans="5:8">
      <c r="E2914"/>
      <c r="F2914"/>
      <c r="G2914"/>
      <c r="H2914"/>
    </row>
    <row r="2915" spans="5:8">
      <c r="E2915"/>
      <c r="F2915"/>
      <c r="G2915"/>
      <c r="H2915"/>
    </row>
    <row r="2916" spans="5:8">
      <c r="E2916"/>
      <c r="F2916"/>
      <c r="G2916"/>
      <c r="H2916"/>
    </row>
    <row r="2917" spans="5:8">
      <c r="E2917"/>
      <c r="F2917"/>
      <c r="G2917"/>
      <c r="H2917"/>
    </row>
    <row r="2918" spans="5:8">
      <c r="E2918"/>
      <c r="F2918"/>
      <c r="G2918"/>
      <c r="H2918"/>
    </row>
    <row r="2919" spans="5:8">
      <c r="E2919"/>
      <c r="F2919"/>
      <c r="G2919"/>
      <c r="H2919"/>
    </row>
    <row r="2920" spans="5:8">
      <c r="E2920"/>
      <c r="F2920"/>
      <c r="G2920"/>
      <c r="H2920"/>
    </row>
    <row r="2921" spans="5:8">
      <c r="E2921"/>
      <c r="F2921"/>
      <c r="G2921"/>
      <c r="H2921"/>
    </row>
    <row r="2922" spans="5:8">
      <c r="E2922"/>
      <c r="F2922"/>
      <c r="G2922"/>
      <c r="H2922"/>
    </row>
    <row r="2923" spans="5:8">
      <c r="E2923"/>
      <c r="F2923"/>
      <c r="G2923"/>
      <c r="H2923"/>
    </row>
    <row r="2924" spans="5:8">
      <c r="E2924"/>
      <c r="F2924"/>
      <c r="G2924"/>
      <c r="H2924"/>
    </row>
    <row r="2925" spans="5:8">
      <c r="E2925"/>
      <c r="F2925"/>
      <c r="G2925"/>
      <c r="H2925"/>
    </row>
    <row r="2926" spans="5:8">
      <c r="E2926"/>
      <c r="F2926"/>
      <c r="G2926"/>
      <c r="H2926"/>
    </row>
    <row r="2927" spans="5:8">
      <c r="E2927"/>
      <c r="F2927"/>
      <c r="G2927"/>
      <c r="H2927"/>
    </row>
    <row r="2928" spans="5:8">
      <c r="E2928"/>
      <c r="F2928"/>
      <c r="G2928"/>
      <c r="H2928"/>
    </row>
    <row r="2929" spans="5:8">
      <c r="E2929"/>
      <c r="F2929"/>
      <c r="G2929"/>
      <c r="H2929"/>
    </row>
    <row r="2930" spans="5:8">
      <c r="E2930"/>
      <c r="F2930"/>
      <c r="G2930"/>
      <c r="H2930"/>
    </row>
    <row r="2931" spans="5:8">
      <c r="E2931"/>
      <c r="F2931"/>
      <c r="G2931"/>
      <c r="H2931"/>
    </row>
    <row r="2932" spans="5:8">
      <c r="E2932"/>
      <c r="F2932"/>
      <c r="G2932"/>
      <c r="H2932"/>
    </row>
    <row r="2933" spans="5:8">
      <c r="E2933"/>
      <c r="F2933"/>
      <c r="G2933"/>
      <c r="H2933"/>
    </row>
    <row r="2934" spans="5:8">
      <c r="E2934"/>
      <c r="F2934"/>
      <c r="G2934"/>
      <c r="H2934"/>
    </row>
    <row r="2935" spans="5:8">
      <c r="E2935"/>
      <c r="F2935"/>
      <c r="G2935"/>
      <c r="H2935"/>
    </row>
    <row r="2936" spans="5:8">
      <c r="E2936"/>
      <c r="F2936"/>
      <c r="G2936"/>
      <c r="H2936"/>
    </row>
    <row r="2937" spans="5:8">
      <c r="E2937"/>
      <c r="F2937"/>
      <c r="G2937"/>
      <c r="H2937"/>
    </row>
    <row r="2938" spans="5:8">
      <c r="E2938"/>
      <c r="F2938"/>
      <c r="G2938"/>
      <c r="H2938"/>
    </row>
    <row r="2939" spans="5:8">
      <c r="E2939"/>
      <c r="F2939"/>
      <c r="G2939"/>
      <c r="H2939"/>
    </row>
    <row r="2940" spans="5:8">
      <c r="E2940"/>
      <c r="F2940"/>
      <c r="G2940"/>
      <c r="H2940"/>
    </row>
    <row r="2941" spans="5:8">
      <c r="E2941"/>
      <c r="F2941"/>
      <c r="G2941"/>
      <c r="H2941"/>
    </row>
    <row r="2942" spans="5:8">
      <c r="E2942"/>
      <c r="F2942"/>
      <c r="G2942"/>
      <c r="H2942"/>
    </row>
    <row r="2943" spans="5:8">
      <c r="E2943"/>
      <c r="F2943"/>
      <c r="G2943"/>
      <c r="H2943"/>
    </row>
    <row r="2944" spans="5:8">
      <c r="E2944"/>
      <c r="F2944"/>
      <c r="G2944"/>
      <c r="H2944"/>
    </row>
    <row r="2945" spans="5:8">
      <c r="E2945"/>
      <c r="F2945"/>
      <c r="G2945"/>
      <c r="H2945"/>
    </row>
    <row r="2946" spans="5:8">
      <c r="E2946"/>
      <c r="F2946"/>
      <c r="G2946"/>
      <c r="H2946"/>
    </row>
    <row r="2947" spans="5:8">
      <c r="E2947"/>
      <c r="F2947"/>
      <c r="G2947"/>
      <c r="H2947"/>
    </row>
    <row r="2948" spans="5:8">
      <c r="E2948"/>
      <c r="F2948"/>
      <c r="G2948"/>
      <c r="H2948"/>
    </row>
    <row r="2949" spans="5:8">
      <c r="E2949"/>
      <c r="F2949"/>
      <c r="G2949"/>
      <c r="H2949"/>
    </row>
    <row r="2950" spans="5:8">
      <c r="E2950"/>
      <c r="F2950"/>
      <c r="G2950"/>
      <c r="H2950"/>
    </row>
    <row r="2951" spans="5:8">
      <c r="E2951"/>
      <c r="F2951"/>
      <c r="G2951"/>
      <c r="H2951"/>
    </row>
    <row r="2952" spans="5:8">
      <c r="E2952"/>
      <c r="F2952"/>
      <c r="G2952"/>
      <c r="H2952"/>
    </row>
    <row r="2953" spans="5:8">
      <c r="E2953"/>
      <c r="F2953"/>
      <c r="G2953"/>
      <c r="H2953"/>
    </row>
    <row r="2954" spans="5:8">
      <c r="E2954"/>
      <c r="F2954"/>
      <c r="G2954"/>
      <c r="H2954"/>
    </row>
    <row r="2955" spans="5:8">
      <c r="E2955"/>
      <c r="F2955"/>
      <c r="G2955"/>
      <c r="H2955"/>
    </row>
    <row r="2956" spans="5:8">
      <c r="E2956"/>
      <c r="F2956"/>
      <c r="G2956"/>
      <c r="H2956"/>
    </row>
    <row r="2957" spans="5:8">
      <c r="E2957"/>
      <c r="F2957"/>
      <c r="G2957"/>
      <c r="H2957"/>
    </row>
    <row r="2958" spans="5:8">
      <c r="E2958"/>
      <c r="F2958"/>
      <c r="G2958"/>
      <c r="H2958"/>
    </row>
    <row r="2959" spans="5:8">
      <c r="E2959"/>
      <c r="F2959"/>
      <c r="G2959"/>
      <c r="H2959"/>
    </row>
    <row r="2960" spans="5:8">
      <c r="E2960"/>
      <c r="F2960"/>
      <c r="G2960"/>
      <c r="H2960"/>
    </row>
    <row r="2961" spans="5:8">
      <c r="E2961"/>
      <c r="F2961"/>
      <c r="G2961"/>
      <c r="H2961"/>
    </row>
    <row r="2962" spans="5:8">
      <c r="E2962"/>
      <c r="F2962"/>
      <c r="G2962"/>
      <c r="H2962"/>
    </row>
    <row r="2963" spans="5:8">
      <c r="E2963"/>
      <c r="F2963"/>
      <c r="G2963"/>
      <c r="H2963"/>
    </row>
    <row r="2964" spans="5:8">
      <c r="E2964"/>
      <c r="F2964"/>
      <c r="G2964"/>
      <c r="H2964"/>
    </row>
    <row r="2965" spans="5:8">
      <c r="E2965"/>
      <c r="F2965"/>
      <c r="G2965"/>
      <c r="H2965"/>
    </row>
    <row r="2966" spans="5:8">
      <c r="E2966"/>
      <c r="F2966"/>
      <c r="G2966"/>
      <c r="H2966"/>
    </row>
    <row r="2967" spans="5:8">
      <c r="E2967"/>
      <c r="F2967"/>
      <c r="G2967"/>
      <c r="H2967"/>
    </row>
    <row r="2968" spans="5:8">
      <c r="E2968"/>
      <c r="F2968"/>
      <c r="G2968"/>
      <c r="H2968"/>
    </row>
    <row r="2969" spans="5:8">
      <c r="E2969"/>
      <c r="F2969"/>
      <c r="G2969"/>
      <c r="H2969"/>
    </row>
    <row r="2970" spans="5:8">
      <c r="E2970"/>
      <c r="F2970"/>
      <c r="G2970"/>
      <c r="H2970"/>
    </row>
    <row r="2971" spans="5:8">
      <c r="E2971"/>
      <c r="F2971"/>
      <c r="G2971"/>
      <c r="H2971"/>
    </row>
    <row r="2972" spans="5:8">
      <c r="E2972"/>
      <c r="F2972"/>
      <c r="G2972"/>
      <c r="H2972"/>
    </row>
    <row r="2973" spans="5:8">
      <c r="E2973"/>
      <c r="F2973"/>
      <c r="G2973"/>
      <c r="H2973"/>
    </row>
    <row r="2974" spans="5:8">
      <c r="E2974"/>
      <c r="F2974"/>
      <c r="G2974"/>
      <c r="H2974"/>
    </row>
    <row r="2975" spans="5:8">
      <c r="E2975"/>
      <c r="F2975"/>
      <c r="G2975"/>
      <c r="H2975"/>
    </row>
    <row r="2976" spans="5:8">
      <c r="E2976"/>
      <c r="F2976"/>
      <c r="G2976"/>
      <c r="H2976"/>
    </row>
    <row r="2977" spans="5:8">
      <c r="E2977"/>
      <c r="F2977"/>
      <c r="G2977"/>
      <c r="H2977"/>
    </row>
    <row r="2978" spans="5:8">
      <c r="E2978"/>
      <c r="F2978"/>
      <c r="G2978"/>
      <c r="H2978"/>
    </row>
    <row r="2979" spans="5:8">
      <c r="E2979"/>
      <c r="F2979"/>
      <c r="G2979"/>
      <c r="H2979"/>
    </row>
    <row r="2980" spans="5:8">
      <c r="E2980"/>
      <c r="F2980"/>
      <c r="G2980"/>
      <c r="H2980"/>
    </row>
    <row r="2981" spans="5:8">
      <c r="E2981"/>
      <c r="F2981"/>
      <c r="G2981"/>
      <c r="H2981"/>
    </row>
    <row r="2982" spans="5:8">
      <c r="E2982"/>
      <c r="F2982"/>
      <c r="G2982"/>
      <c r="H2982"/>
    </row>
    <row r="2983" spans="5:8">
      <c r="E2983"/>
      <c r="F2983"/>
      <c r="G2983"/>
      <c r="H2983"/>
    </row>
    <row r="2984" spans="5:8">
      <c r="E2984"/>
      <c r="F2984"/>
      <c r="G2984"/>
      <c r="H2984"/>
    </row>
    <row r="2985" spans="5:8">
      <c r="E2985"/>
      <c r="F2985"/>
      <c r="G2985"/>
      <c r="H2985"/>
    </row>
    <row r="2986" spans="5:8">
      <c r="E2986"/>
      <c r="F2986"/>
      <c r="G2986"/>
      <c r="H2986"/>
    </row>
    <row r="2987" spans="5:8">
      <c r="E2987"/>
      <c r="F2987"/>
      <c r="G2987"/>
      <c r="H2987"/>
    </row>
    <row r="2988" spans="5:8">
      <c r="E2988"/>
      <c r="F2988"/>
      <c r="G2988"/>
      <c r="H2988"/>
    </row>
    <row r="2989" spans="5:8">
      <c r="E2989"/>
      <c r="F2989"/>
      <c r="G2989"/>
      <c r="H2989"/>
    </row>
    <row r="2990" spans="5:8">
      <c r="E2990"/>
      <c r="F2990"/>
      <c r="G2990"/>
      <c r="H2990"/>
    </row>
    <row r="2991" spans="5:8">
      <c r="E2991"/>
      <c r="F2991"/>
      <c r="G2991"/>
      <c r="H2991"/>
    </row>
    <row r="2992" spans="5:8">
      <c r="E2992"/>
      <c r="F2992"/>
      <c r="G2992"/>
      <c r="H2992"/>
    </row>
    <row r="2993" spans="5:8">
      <c r="E2993"/>
      <c r="F2993"/>
      <c r="G2993"/>
      <c r="H2993"/>
    </row>
    <row r="2994" spans="5:8">
      <c r="E2994"/>
      <c r="F2994"/>
      <c r="G2994"/>
      <c r="H2994"/>
    </row>
    <row r="2995" spans="5:8">
      <c r="E2995"/>
      <c r="F2995"/>
      <c r="G2995"/>
      <c r="H2995"/>
    </row>
    <row r="2996" spans="5:8">
      <c r="E2996"/>
      <c r="F2996"/>
      <c r="G2996"/>
      <c r="H2996"/>
    </row>
    <row r="2997" spans="5:8">
      <c r="E2997"/>
      <c r="F2997"/>
      <c r="G2997"/>
      <c r="H2997"/>
    </row>
    <row r="2998" spans="5:8">
      <c r="E2998"/>
      <c r="F2998"/>
      <c r="G2998"/>
      <c r="H2998"/>
    </row>
    <row r="2999" spans="5:8">
      <c r="E2999"/>
      <c r="F2999"/>
      <c r="G2999"/>
      <c r="H2999"/>
    </row>
    <row r="3000" spans="5:8">
      <c r="E3000"/>
      <c r="F3000"/>
      <c r="G3000"/>
      <c r="H3000"/>
    </row>
    <row r="3001" spans="5:8">
      <c r="E3001"/>
      <c r="F3001"/>
      <c r="G3001"/>
      <c r="H3001"/>
    </row>
    <row r="3002" spans="5:8">
      <c r="E3002"/>
      <c r="F3002"/>
      <c r="G3002"/>
      <c r="H3002"/>
    </row>
    <row r="3003" spans="5:8">
      <c r="E3003"/>
      <c r="F3003"/>
      <c r="G3003"/>
      <c r="H3003"/>
    </row>
    <row r="3004" spans="5:8">
      <c r="E3004"/>
      <c r="F3004"/>
      <c r="G3004"/>
      <c r="H3004"/>
    </row>
    <row r="3005" spans="5:8">
      <c r="E3005"/>
      <c r="F3005"/>
      <c r="G3005"/>
      <c r="H3005"/>
    </row>
    <row r="3006" spans="5:8">
      <c r="E3006"/>
      <c r="F3006"/>
      <c r="G3006"/>
      <c r="H3006"/>
    </row>
    <row r="3007" spans="5:8">
      <c r="E3007"/>
      <c r="F3007"/>
      <c r="G3007"/>
      <c r="H3007"/>
    </row>
    <row r="3008" spans="5:8">
      <c r="E3008"/>
      <c r="F3008"/>
      <c r="G3008"/>
      <c r="H3008"/>
    </row>
    <row r="3009" spans="5:8">
      <c r="E3009"/>
      <c r="F3009"/>
      <c r="G3009"/>
      <c r="H3009"/>
    </row>
    <row r="3010" spans="5:8">
      <c r="E3010"/>
      <c r="F3010"/>
      <c r="G3010"/>
      <c r="H3010"/>
    </row>
    <row r="3011" spans="5:8">
      <c r="E3011"/>
      <c r="F3011"/>
      <c r="G3011"/>
      <c r="H3011"/>
    </row>
    <row r="3012" spans="5:8">
      <c r="E3012"/>
      <c r="F3012"/>
      <c r="G3012"/>
      <c r="H3012"/>
    </row>
    <row r="3013" spans="5:8">
      <c r="E3013"/>
      <c r="F3013"/>
      <c r="G3013"/>
      <c r="H3013"/>
    </row>
    <row r="3014" spans="5:8">
      <c r="E3014"/>
      <c r="F3014"/>
      <c r="G3014"/>
      <c r="H3014"/>
    </row>
    <row r="3015" spans="5:8">
      <c r="E3015"/>
      <c r="F3015"/>
      <c r="G3015"/>
      <c r="H3015"/>
    </row>
    <row r="3016" spans="5:8">
      <c r="E3016"/>
      <c r="F3016"/>
      <c r="G3016"/>
      <c r="H3016"/>
    </row>
    <row r="3017" spans="5:8">
      <c r="E3017"/>
      <c r="F3017"/>
      <c r="G3017"/>
      <c r="H3017"/>
    </row>
    <row r="3018" spans="5:8">
      <c r="E3018"/>
      <c r="F3018"/>
      <c r="G3018"/>
      <c r="H3018"/>
    </row>
    <row r="3019" spans="5:8">
      <c r="E3019"/>
      <c r="F3019"/>
      <c r="G3019"/>
      <c r="H3019"/>
    </row>
    <row r="3020" spans="5:8">
      <c r="E3020"/>
      <c r="F3020"/>
      <c r="G3020"/>
      <c r="H3020"/>
    </row>
    <row r="3021" spans="5:8">
      <c r="E3021"/>
      <c r="F3021"/>
      <c r="G3021"/>
      <c r="H3021"/>
    </row>
    <row r="3022" spans="5:8">
      <c r="E3022"/>
      <c r="F3022"/>
      <c r="G3022"/>
      <c r="H3022"/>
    </row>
    <row r="3023" spans="5:8">
      <c r="E3023"/>
      <c r="F3023"/>
      <c r="G3023"/>
      <c r="H3023"/>
    </row>
    <row r="3024" spans="5:8">
      <c r="E3024"/>
      <c r="F3024"/>
      <c r="G3024"/>
      <c r="H3024"/>
    </row>
    <row r="3025" spans="5:8">
      <c r="E3025"/>
      <c r="F3025"/>
      <c r="G3025"/>
      <c r="H3025"/>
    </row>
    <row r="3026" spans="5:8">
      <c r="E3026"/>
      <c r="F3026"/>
      <c r="G3026"/>
      <c r="H3026"/>
    </row>
    <row r="3027" spans="5:8">
      <c r="E3027"/>
      <c r="F3027"/>
      <c r="G3027"/>
      <c r="H3027"/>
    </row>
    <row r="3028" spans="5:8">
      <c r="E3028"/>
      <c r="F3028"/>
      <c r="G3028"/>
      <c r="H3028"/>
    </row>
    <row r="3029" spans="5:8">
      <c r="E3029"/>
      <c r="F3029"/>
      <c r="G3029"/>
      <c r="H3029"/>
    </row>
    <row r="3030" spans="5:8">
      <c r="E3030"/>
      <c r="F3030"/>
      <c r="G3030"/>
      <c r="H3030"/>
    </row>
    <row r="3031" spans="5:8">
      <c r="E3031"/>
      <c r="F3031"/>
      <c r="G3031"/>
      <c r="H3031"/>
    </row>
    <row r="3032" spans="5:8">
      <c r="E3032"/>
      <c r="F3032"/>
      <c r="G3032"/>
      <c r="H3032"/>
    </row>
    <row r="3033" spans="5:8">
      <c r="E3033"/>
      <c r="F3033"/>
      <c r="G3033"/>
      <c r="H3033"/>
    </row>
    <row r="3034" spans="5:8">
      <c r="E3034"/>
      <c r="F3034"/>
      <c r="G3034"/>
      <c r="H3034"/>
    </row>
    <row r="3035" spans="5:8">
      <c r="E3035"/>
      <c r="F3035"/>
      <c r="G3035"/>
      <c r="H3035"/>
    </row>
    <row r="3036" spans="5:8">
      <c r="E3036"/>
      <c r="F3036"/>
      <c r="G3036"/>
      <c r="H3036"/>
    </row>
    <row r="3037" spans="5:8">
      <c r="E3037"/>
      <c r="F3037"/>
      <c r="G3037"/>
      <c r="H3037"/>
    </row>
    <row r="3038" spans="5:8">
      <c r="E3038"/>
      <c r="F3038"/>
      <c r="G3038"/>
      <c r="H3038"/>
    </row>
    <row r="3039" spans="5:8">
      <c r="E3039"/>
      <c r="F3039"/>
      <c r="G3039"/>
      <c r="H3039"/>
    </row>
    <row r="3040" spans="5:8">
      <c r="E3040"/>
      <c r="F3040"/>
      <c r="G3040"/>
      <c r="H3040"/>
    </row>
    <row r="3041" spans="5:8">
      <c r="E3041"/>
      <c r="F3041"/>
      <c r="G3041"/>
      <c r="H3041"/>
    </row>
    <row r="3042" spans="5:8">
      <c r="E3042"/>
      <c r="F3042"/>
      <c r="G3042"/>
      <c r="H3042"/>
    </row>
    <row r="3043" spans="5:8">
      <c r="E3043"/>
      <c r="F3043"/>
      <c r="G3043"/>
      <c r="H3043"/>
    </row>
    <row r="3044" spans="5:8">
      <c r="E3044"/>
      <c r="F3044"/>
      <c r="G3044"/>
      <c r="H3044"/>
    </row>
    <row r="3045" spans="5:8">
      <c r="E3045"/>
      <c r="F3045"/>
      <c r="G3045"/>
      <c r="H3045"/>
    </row>
    <row r="3046" spans="5:8">
      <c r="E3046"/>
      <c r="F3046"/>
      <c r="G3046"/>
      <c r="H3046"/>
    </row>
    <row r="3047" spans="5:8">
      <c r="E3047"/>
      <c r="F3047"/>
      <c r="G3047"/>
      <c r="H3047"/>
    </row>
    <row r="3048" spans="5:8">
      <c r="E3048"/>
      <c r="F3048"/>
      <c r="G3048"/>
      <c r="H3048"/>
    </row>
    <row r="3049" spans="5:8">
      <c r="E3049"/>
      <c r="F3049"/>
      <c r="G3049"/>
      <c r="H3049"/>
    </row>
    <row r="3050" spans="5:8">
      <c r="E3050"/>
      <c r="F3050"/>
      <c r="G3050"/>
      <c r="H3050"/>
    </row>
    <row r="3051" spans="5:8">
      <c r="E3051"/>
      <c r="F3051"/>
      <c r="G3051"/>
      <c r="H3051"/>
    </row>
    <row r="3052" spans="5:8">
      <c r="E3052"/>
      <c r="F3052"/>
      <c r="G3052"/>
      <c r="H3052"/>
    </row>
    <row r="3053" spans="5:8">
      <c r="E3053"/>
      <c r="F3053"/>
      <c r="G3053"/>
      <c r="H3053"/>
    </row>
    <row r="3054" spans="5:8">
      <c r="E3054"/>
      <c r="F3054"/>
      <c r="G3054"/>
      <c r="H3054"/>
    </row>
    <row r="3055" spans="5:8">
      <c r="E3055"/>
      <c r="F3055"/>
      <c r="G3055"/>
      <c r="H3055"/>
    </row>
    <row r="3056" spans="5:8">
      <c r="E3056"/>
      <c r="F3056"/>
      <c r="G3056"/>
      <c r="H3056"/>
    </row>
    <row r="3057" spans="5:8">
      <c r="E3057"/>
      <c r="F3057"/>
      <c r="G3057"/>
      <c r="H3057"/>
    </row>
    <row r="3058" spans="5:8">
      <c r="E3058"/>
      <c r="F3058"/>
      <c r="G3058"/>
      <c r="H3058"/>
    </row>
    <row r="3059" spans="5:8">
      <c r="E3059"/>
      <c r="F3059"/>
      <c r="G3059"/>
      <c r="H3059"/>
    </row>
    <row r="3060" spans="5:8">
      <c r="E3060"/>
      <c r="F3060"/>
      <c r="G3060"/>
      <c r="H3060"/>
    </row>
    <row r="3061" spans="5:8">
      <c r="E3061"/>
      <c r="F3061"/>
      <c r="G3061"/>
      <c r="H3061"/>
    </row>
    <row r="3062" spans="5:8">
      <c r="E3062"/>
      <c r="F3062"/>
      <c r="G3062"/>
      <c r="H3062"/>
    </row>
    <row r="3063" spans="5:8">
      <c r="E3063"/>
      <c r="F3063"/>
      <c r="G3063"/>
      <c r="H3063"/>
    </row>
    <row r="3064" spans="5:8">
      <c r="E3064"/>
      <c r="F3064"/>
      <c r="G3064"/>
      <c r="H3064"/>
    </row>
    <row r="3065" spans="5:8">
      <c r="E3065"/>
      <c r="F3065"/>
      <c r="G3065"/>
      <c r="H3065"/>
    </row>
    <row r="3066" spans="5:8">
      <c r="E3066"/>
      <c r="F3066"/>
      <c r="G3066"/>
      <c r="H3066"/>
    </row>
    <row r="3067" spans="5:8">
      <c r="E3067"/>
      <c r="F3067"/>
      <c r="G3067"/>
      <c r="H3067"/>
    </row>
    <row r="3068" spans="5:8">
      <c r="E3068"/>
      <c r="F3068"/>
      <c r="G3068"/>
      <c r="H3068"/>
    </row>
    <row r="3069" spans="5:8">
      <c r="E3069"/>
      <c r="F3069"/>
      <c r="G3069"/>
      <c r="H3069"/>
    </row>
    <row r="3070" spans="5:8">
      <c r="E3070"/>
      <c r="F3070"/>
      <c r="G3070"/>
      <c r="H3070"/>
    </row>
    <row r="3071" spans="5:8">
      <c r="E3071"/>
      <c r="F3071"/>
      <c r="G3071"/>
      <c r="H3071"/>
    </row>
    <row r="3072" spans="5:8">
      <c r="E3072"/>
      <c r="F3072"/>
      <c r="G3072"/>
      <c r="H3072"/>
    </row>
    <row r="3073" spans="5:8">
      <c r="E3073"/>
      <c r="F3073"/>
      <c r="G3073"/>
      <c r="H3073"/>
    </row>
    <row r="3074" spans="5:8">
      <c r="E3074"/>
      <c r="F3074"/>
      <c r="G3074"/>
      <c r="H3074"/>
    </row>
    <row r="3075" spans="5:8">
      <c r="E3075"/>
      <c r="F3075"/>
      <c r="G3075"/>
      <c r="H3075"/>
    </row>
    <row r="3076" spans="5:8">
      <c r="E3076"/>
      <c r="F3076"/>
      <c r="G3076"/>
      <c r="H3076"/>
    </row>
    <row r="3077" spans="5:8">
      <c r="E3077"/>
      <c r="F3077"/>
      <c r="G3077"/>
      <c r="H3077"/>
    </row>
    <row r="3078" spans="5:8">
      <c r="E3078"/>
      <c r="F3078"/>
      <c r="G3078"/>
      <c r="H3078"/>
    </row>
    <row r="3079" spans="5:8">
      <c r="E3079"/>
      <c r="F3079"/>
      <c r="G3079"/>
      <c r="H3079"/>
    </row>
    <row r="3080" spans="5:8">
      <c r="E3080"/>
      <c r="F3080"/>
      <c r="G3080"/>
      <c r="H3080"/>
    </row>
    <row r="3081" spans="5:8">
      <c r="E3081"/>
      <c r="F3081"/>
      <c r="G3081"/>
      <c r="H3081"/>
    </row>
    <row r="3082" spans="5:8">
      <c r="E3082"/>
      <c r="F3082"/>
      <c r="G3082"/>
      <c r="H3082"/>
    </row>
    <row r="3083" spans="5:8">
      <c r="E3083"/>
      <c r="F3083"/>
      <c r="G3083"/>
      <c r="H3083"/>
    </row>
    <row r="3084" spans="5:8">
      <c r="E3084"/>
      <c r="F3084"/>
      <c r="G3084"/>
      <c r="H3084"/>
    </row>
    <row r="3085" spans="5:8">
      <c r="E3085"/>
      <c r="F3085"/>
      <c r="G3085"/>
      <c r="H3085"/>
    </row>
    <row r="3086" spans="5:8">
      <c r="E3086"/>
      <c r="F3086"/>
      <c r="G3086"/>
      <c r="H3086"/>
    </row>
    <row r="3087" spans="5:8">
      <c r="E3087"/>
      <c r="F3087"/>
      <c r="G3087"/>
      <c r="H3087"/>
    </row>
    <row r="3088" spans="5:8">
      <c r="E3088"/>
      <c r="F3088"/>
      <c r="G3088"/>
      <c r="H3088"/>
    </row>
    <row r="3089" spans="5:8">
      <c r="E3089"/>
      <c r="F3089"/>
      <c r="G3089"/>
      <c r="H3089"/>
    </row>
    <row r="3090" spans="5:8">
      <c r="E3090"/>
      <c r="F3090"/>
      <c r="G3090"/>
      <c r="H3090"/>
    </row>
    <row r="3091" spans="5:8">
      <c r="E3091"/>
      <c r="F3091"/>
      <c r="G3091"/>
      <c r="H3091"/>
    </row>
    <row r="3092" spans="5:8">
      <c r="E3092"/>
      <c r="F3092"/>
      <c r="G3092"/>
      <c r="H3092"/>
    </row>
    <row r="3093" spans="5:8">
      <c r="E3093"/>
      <c r="F3093"/>
      <c r="G3093"/>
      <c r="H3093"/>
    </row>
    <row r="3094" spans="5:8">
      <c r="E3094"/>
      <c r="F3094"/>
      <c r="G3094"/>
      <c r="H3094"/>
    </row>
    <row r="3095" spans="5:8">
      <c r="E3095"/>
      <c r="F3095"/>
      <c r="G3095"/>
      <c r="H3095"/>
    </row>
    <row r="3096" spans="5:8">
      <c r="E3096"/>
      <c r="F3096"/>
      <c r="G3096"/>
      <c r="H3096"/>
    </row>
    <row r="3097" spans="5:8">
      <c r="E3097"/>
      <c r="F3097"/>
      <c r="G3097"/>
      <c r="H3097"/>
    </row>
    <row r="3098" spans="5:8">
      <c r="E3098"/>
      <c r="F3098"/>
      <c r="G3098"/>
      <c r="H3098"/>
    </row>
    <row r="3099" spans="5:8">
      <c r="E3099"/>
      <c r="F3099"/>
      <c r="G3099"/>
      <c r="H3099"/>
    </row>
    <row r="3100" spans="5:8">
      <c r="E3100"/>
      <c r="F3100"/>
      <c r="G3100"/>
      <c r="H3100"/>
    </row>
    <row r="3101" spans="5:8">
      <c r="E3101"/>
      <c r="F3101"/>
      <c r="G3101"/>
      <c r="H3101"/>
    </row>
    <row r="3102" spans="5:8">
      <c r="E3102"/>
      <c r="F3102"/>
      <c r="G3102"/>
      <c r="H3102"/>
    </row>
    <row r="3103" spans="5:8">
      <c r="E3103"/>
      <c r="F3103"/>
      <c r="G3103"/>
      <c r="H3103"/>
    </row>
    <row r="3104" spans="5:8">
      <c r="E3104"/>
      <c r="F3104"/>
      <c r="G3104"/>
      <c r="H3104"/>
    </row>
    <row r="3105" spans="5:8">
      <c r="E3105"/>
      <c r="F3105"/>
      <c r="G3105"/>
      <c r="H3105"/>
    </row>
    <row r="3106" spans="5:8">
      <c r="E3106"/>
      <c r="F3106"/>
      <c r="G3106"/>
      <c r="H3106"/>
    </row>
    <row r="3107" spans="5:8">
      <c r="E3107"/>
      <c r="F3107"/>
      <c r="G3107"/>
      <c r="H3107"/>
    </row>
    <row r="3108" spans="5:8">
      <c r="E3108"/>
      <c r="F3108"/>
      <c r="G3108"/>
      <c r="H3108"/>
    </row>
    <row r="3109" spans="5:8">
      <c r="E3109"/>
      <c r="F3109"/>
      <c r="G3109"/>
      <c r="H3109"/>
    </row>
    <row r="3110" spans="5:8">
      <c r="E3110"/>
      <c r="F3110"/>
      <c r="G3110"/>
      <c r="H3110"/>
    </row>
    <row r="3111" spans="5:8">
      <c r="E3111"/>
      <c r="F3111"/>
      <c r="G3111"/>
      <c r="H3111"/>
    </row>
    <row r="3112" spans="5:8">
      <c r="E3112"/>
      <c r="F3112"/>
      <c r="G3112"/>
      <c r="H3112"/>
    </row>
    <row r="3113" spans="5:8">
      <c r="E3113"/>
      <c r="F3113"/>
      <c r="G3113"/>
      <c r="H3113"/>
    </row>
    <row r="3114" spans="5:8">
      <c r="E3114"/>
      <c r="F3114"/>
      <c r="G3114"/>
      <c r="H3114"/>
    </row>
    <row r="3115" spans="5:8">
      <c r="E3115"/>
      <c r="F3115"/>
      <c r="G3115"/>
      <c r="H3115"/>
    </row>
    <row r="3116" spans="5:8">
      <c r="E3116"/>
      <c r="F3116"/>
      <c r="G3116"/>
      <c r="H3116"/>
    </row>
    <row r="3117" spans="5:8">
      <c r="E3117"/>
      <c r="F3117"/>
      <c r="G3117"/>
      <c r="H3117"/>
    </row>
    <row r="3118" spans="5:8">
      <c r="E3118"/>
      <c r="F3118"/>
      <c r="G3118"/>
      <c r="H3118"/>
    </row>
    <row r="3119" spans="5:8">
      <c r="E3119"/>
      <c r="F3119"/>
      <c r="G3119"/>
      <c r="H3119"/>
    </row>
    <row r="3120" spans="5:8">
      <c r="E3120"/>
      <c r="F3120"/>
      <c r="G3120"/>
      <c r="H3120"/>
    </row>
    <row r="3121" spans="5:8">
      <c r="E3121"/>
      <c r="F3121"/>
      <c r="G3121"/>
      <c r="H3121"/>
    </row>
    <row r="3122" spans="5:8">
      <c r="E3122"/>
      <c r="F3122"/>
      <c r="G3122"/>
      <c r="H3122"/>
    </row>
    <row r="3123" spans="5:8">
      <c r="E3123"/>
      <c r="F3123"/>
      <c r="G3123"/>
      <c r="H3123"/>
    </row>
    <row r="3124" spans="5:8">
      <c r="E3124"/>
      <c r="F3124"/>
      <c r="G3124"/>
      <c r="H3124"/>
    </row>
    <row r="3125" spans="5:8">
      <c r="E3125"/>
      <c r="F3125"/>
      <c r="G3125"/>
      <c r="H3125"/>
    </row>
    <row r="3126" spans="5:8">
      <c r="E3126"/>
      <c r="F3126"/>
      <c r="G3126"/>
      <c r="H3126"/>
    </row>
    <row r="3127" spans="5:8">
      <c r="E3127"/>
      <c r="F3127"/>
      <c r="G3127"/>
      <c r="H3127"/>
    </row>
    <row r="3128" spans="5:8">
      <c r="E3128"/>
      <c r="F3128"/>
      <c r="G3128"/>
      <c r="H3128"/>
    </row>
    <row r="3129" spans="5:8">
      <c r="E3129"/>
      <c r="F3129"/>
      <c r="G3129"/>
      <c r="H3129"/>
    </row>
    <row r="3130" spans="5:8">
      <c r="E3130"/>
      <c r="F3130"/>
      <c r="G3130"/>
      <c r="H3130"/>
    </row>
    <row r="3131" spans="5:8">
      <c r="E3131"/>
      <c r="F3131"/>
      <c r="G3131"/>
      <c r="H3131"/>
    </row>
    <row r="3132" spans="5:8">
      <c r="E3132"/>
      <c r="F3132"/>
      <c r="G3132"/>
      <c r="H3132"/>
    </row>
    <row r="3133" spans="5:8">
      <c r="E3133"/>
      <c r="F3133"/>
      <c r="G3133"/>
      <c r="H3133"/>
    </row>
    <row r="3134" spans="5:8">
      <c r="E3134"/>
      <c r="F3134"/>
      <c r="G3134"/>
      <c r="H3134"/>
    </row>
    <row r="3135" spans="5:8">
      <c r="E3135"/>
      <c r="F3135"/>
      <c r="G3135"/>
      <c r="H3135"/>
    </row>
    <row r="3136" spans="5:8">
      <c r="E3136"/>
      <c r="F3136"/>
      <c r="G3136"/>
      <c r="H3136"/>
    </row>
    <row r="3137" spans="5:8">
      <c r="E3137"/>
      <c r="F3137"/>
      <c r="G3137"/>
      <c r="H3137"/>
    </row>
    <row r="3138" spans="5:8">
      <c r="E3138"/>
      <c r="F3138"/>
      <c r="G3138"/>
      <c r="H3138"/>
    </row>
    <row r="3139" spans="5:8">
      <c r="E3139"/>
      <c r="F3139"/>
      <c r="G3139"/>
      <c r="H3139"/>
    </row>
    <row r="3140" spans="5:8">
      <c r="E3140"/>
      <c r="F3140"/>
      <c r="G3140"/>
      <c r="H3140"/>
    </row>
    <row r="3141" spans="5:8">
      <c r="E3141"/>
      <c r="F3141"/>
      <c r="G3141"/>
      <c r="H3141"/>
    </row>
    <row r="3142" spans="5:8">
      <c r="E3142"/>
      <c r="F3142"/>
      <c r="G3142"/>
      <c r="H3142"/>
    </row>
    <row r="3143" spans="5:8">
      <c r="E3143"/>
      <c r="F3143"/>
      <c r="G3143"/>
      <c r="H3143"/>
    </row>
    <row r="3144" spans="5:8">
      <c r="E3144"/>
      <c r="F3144"/>
      <c r="G3144"/>
      <c r="H3144"/>
    </row>
    <row r="3145" spans="5:8">
      <c r="E3145"/>
      <c r="F3145"/>
      <c r="G3145"/>
      <c r="H3145"/>
    </row>
    <row r="3146" spans="5:8">
      <c r="E3146"/>
      <c r="F3146"/>
      <c r="G3146"/>
      <c r="H3146"/>
    </row>
    <row r="3147" spans="5:8">
      <c r="E3147"/>
      <c r="F3147"/>
      <c r="G3147"/>
      <c r="H3147"/>
    </row>
    <row r="3148" spans="5:8">
      <c r="E3148"/>
      <c r="F3148"/>
      <c r="G3148"/>
      <c r="H3148"/>
    </row>
    <row r="3149" spans="5:8">
      <c r="E3149"/>
      <c r="F3149"/>
      <c r="G3149"/>
      <c r="H3149"/>
    </row>
    <row r="3150" spans="5:8">
      <c r="E3150"/>
      <c r="F3150"/>
      <c r="G3150"/>
      <c r="H3150"/>
    </row>
    <row r="3151" spans="5:8">
      <c r="E3151"/>
      <c r="F3151"/>
      <c r="G3151"/>
      <c r="H3151"/>
    </row>
    <row r="3152" spans="5:8">
      <c r="E3152"/>
      <c r="F3152"/>
      <c r="G3152"/>
      <c r="H3152"/>
    </row>
    <row r="3153" spans="5:8">
      <c r="E3153"/>
      <c r="F3153"/>
      <c r="G3153"/>
      <c r="H3153"/>
    </row>
    <row r="3154" spans="5:8">
      <c r="E3154"/>
      <c r="F3154"/>
      <c r="G3154"/>
      <c r="H3154"/>
    </row>
    <row r="3155" spans="5:8">
      <c r="E3155"/>
      <c r="F3155"/>
      <c r="G3155"/>
      <c r="H3155"/>
    </row>
    <row r="3156" spans="5:8">
      <c r="E3156"/>
      <c r="F3156"/>
      <c r="G3156"/>
      <c r="H3156"/>
    </row>
    <row r="3157" spans="5:8">
      <c r="E3157"/>
      <c r="F3157"/>
      <c r="G3157"/>
      <c r="H3157"/>
    </row>
    <row r="3158" spans="5:8">
      <c r="E3158"/>
      <c r="F3158"/>
      <c r="G3158"/>
      <c r="H3158"/>
    </row>
    <row r="3159" spans="5:8">
      <c r="E3159"/>
      <c r="F3159"/>
      <c r="G3159"/>
      <c r="H3159"/>
    </row>
    <row r="3160" spans="5:8">
      <c r="E3160"/>
      <c r="F3160"/>
      <c r="G3160"/>
      <c r="H3160"/>
    </row>
    <row r="3161" spans="5:8">
      <c r="E3161"/>
      <c r="F3161"/>
      <c r="G3161"/>
      <c r="H3161"/>
    </row>
    <row r="3162" spans="5:8">
      <c r="E3162"/>
      <c r="F3162"/>
      <c r="G3162"/>
      <c r="H3162"/>
    </row>
    <row r="3163" spans="5:8">
      <c r="E3163"/>
      <c r="F3163"/>
      <c r="G3163"/>
      <c r="H3163"/>
    </row>
    <row r="3164" spans="5:8">
      <c r="E3164"/>
      <c r="F3164"/>
      <c r="G3164"/>
      <c r="H3164"/>
    </row>
    <row r="3165" spans="5:8">
      <c r="E3165"/>
      <c r="F3165"/>
      <c r="G3165"/>
      <c r="H3165"/>
    </row>
    <row r="3166" spans="5:8">
      <c r="E3166"/>
      <c r="F3166"/>
      <c r="G3166"/>
      <c r="H3166"/>
    </row>
    <row r="3167" spans="5:8">
      <c r="E3167"/>
      <c r="F3167"/>
      <c r="G3167"/>
      <c r="H3167"/>
    </row>
    <row r="3168" spans="5:8">
      <c r="E3168"/>
      <c r="F3168"/>
      <c r="G3168"/>
      <c r="H3168"/>
    </row>
    <row r="3169" spans="5:8">
      <c r="E3169"/>
      <c r="F3169"/>
      <c r="G3169"/>
      <c r="H3169"/>
    </row>
    <row r="3170" spans="5:8">
      <c r="E3170"/>
      <c r="F3170"/>
      <c r="G3170"/>
      <c r="H3170"/>
    </row>
    <row r="3171" spans="5:8">
      <c r="E3171"/>
      <c r="F3171"/>
      <c r="G3171"/>
      <c r="H3171"/>
    </row>
    <row r="3172" spans="5:8">
      <c r="E3172"/>
      <c r="F3172"/>
      <c r="G3172"/>
      <c r="H3172"/>
    </row>
    <row r="3173" spans="5:8">
      <c r="E3173"/>
      <c r="F3173"/>
      <c r="G3173"/>
      <c r="H3173"/>
    </row>
    <row r="3174" spans="5:8">
      <c r="E3174"/>
      <c r="F3174"/>
      <c r="G3174"/>
      <c r="H3174"/>
    </row>
    <row r="3175" spans="5:8">
      <c r="E3175"/>
      <c r="F3175"/>
      <c r="G3175"/>
      <c r="H3175"/>
    </row>
    <row r="3176" spans="5:8">
      <c r="E3176"/>
      <c r="F3176"/>
      <c r="G3176"/>
      <c r="H3176"/>
    </row>
    <row r="3177" spans="5:8">
      <c r="E3177"/>
      <c r="F3177"/>
      <c r="G3177"/>
      <c r="H3177"/>
    </row>
    <row r="3178" spans="5:8">
      <c r="E3178"/>
      <c r="F3178"/>
      <c r="G3178"/>
      <c r="H3178"/>
    </row>
    <row r="3179" spans="5:8">
      <c r="E3179"/>
      <c r="F3179"/>
      <c r="G3179"/>
      <c r="H3179"/>
    </row>
    <row r="3180" spans="5:8">
      <c r="E3180"/>
      <c r="F3180"/>
      <c r="G3180"/>
      <c r="H3180"/>
    </row>
    <row r="3181" spans="5:8">
      <c r="E3181"/>
      <c r="F3181"/>
      <c r="G3181"/>
      <c r="H3181"/>
    </row>
    <row r="3182" spans="5:8">
      <c r="E3182"/>
      <c r="F3182"/>
      <c r="G3182"/>
      <c r="H3182"/>
    </row>
    <row r="3183" spans="5:8">
      <c r="E3183"/>
      <c r="F3183"/>
      <c r="G3183"/>
      <c r="H3183"/>
    </row>
    <row r="3184" spans="5:8">
      <c r="E3184"/>
      <c r="F3184"/>
      <c r="G3184"/>
      <c r="H3184"/>
    </row>
    <row r="3185" spans="5:8">
      <c r="E3185"/>
      <c r="F3185"/>
      <c r="G3185"/>
      <c r="H3185"/>
    </row>
    <row r="3186" spans="5:8">
      <c r="E3186"/>
      <c r="F3186"/>
      <c r="G3186"/>
      <c r="H3186"/>
    </row>
    <row r="3187" spans="5:8">
      <c r="E3187"/>
      <c r="F3187"/>
      <c r="G3187"/>
      <c r="H3187"/>
    </row>
    <row r="3188" spans="5:8">
      <c r="E3188"/>
      <c r="F3188"/>
      <c r="G3188"/>
      <c r="H3188"/>
    </row>
    <row r="3189" spans="5:8">
      <c r="E3189"/>
      <c r="F3189"/>
      <c r="G3189"/>
      <c r="H3189"/>
    </row>
    <row r="3190" spans="5:8">
      <c r="E3190"/>
      <c r="F3190"/>
      <c r="G3190"/>
      <c r="H3190"/>
    </row>
    <row r="3191" spans="5:8">
      <c r="E3191"/>
      <c r="F3191"/>
      <c r="G3191"/>
      <c r="H3191"/>
    </row>
    <row r="3192" spans="5:8">
      <c r="E3192"/>
      <c r="F3192"/>
      <c r="G3192"/>
      <c r="H3192"/>
    </row>
    <row r="3193" spans="5:8">
      <c r="E3193"/>
      <c r="F3193"/>
      <c r="G3193"/>
      <c r="H3193"/>
    </row>
    <row r="3194" spans="5:8">
      <c r="E3194"/>
      <c r="F3194"/>
      <c r="G3194"/>
      <c r="H3194"/>
    </row>
    <row r="3195" spans="5:8">
      <c r="E3195"/>
      <c r="F3195"/>
      <c r="G3195"/>
      <c r="H3195"/>
    </row>
    <row r="3196" spans="5:8">
      <c r="E3196"/>
      <c r="F3196"/>
      <c r="G3196"/>
      <c r="H3196"/>
    </row>
    <row r="3197" spans="5:8">
      <c r="E3197"/>
      <c r="F3197"/>
      <c r="G3197"/>
      <c r="H3197"/>
    </row>
    <row r="3198" spans="5:8">
      <c r="E3198"/>
      <c r="F3198"/>
      <c r="G3198"/>
      <c r="H3198"/>
    </row>
    <row r="3199" spans="5:8">
      <c r="E3199"/>
      <c r="F3199"/>
      <c r="G3199"/>
      <c r="H3199"/>
    </row>
    <row r="3200" spans="5:8">
      <c r="E3200"/>
      <c r="F3200"/>
      <c r="G3200"/>
      <c r="H3200"/>
    </row>
    <row r="3201" spans="5:8">
      <c r="E3201"/>
      <c r="F3201"/>
      <c r="G3201"/>
      <c r="H3201"/>
    </row>
    <row r="3202" spans="5:8">
      <c r="E3202"/>
      <c r="F3202"/>
      <c r="G3202"/>
      <c r="H3202"/>
    </row>
    <row r="3203" spans="5:8">
      <c r="E3203"/>
      <c r="F3203"/>
      <c r="G3203"/>
      <c r="H3203"/>
    </row>
    <row r="3204" spans="5:8">
      <c r="E3204"/>
      <c r="F3204"/>
      <c r="G3204"/>
      <c r="H3204"/>
    </row>
    <row r="3205" spans="5:8">
      <c r="E3205"/>
      <c r="F3205"/>
      <c r="G3205"/>
      <c r="H3205"/>
    </row>
    <row r="3206" spans="5:8">
      <c r="E3206"/>
      <c r="F3206"/>
      <c r="G3206"/>
      <c r="H3206"/>
    </row>
    <row r="3207" spans="5:8">
      <c r="E3207"/>
      <c r="F3207"/>
      <c r="G3207"/>
      <c r="H3207"/>
    </row>
    <row r="3208" spans="5:8">
      <c r="E3208"/>
      <c r="F3208"/>
      <c r="G3208"/>
      <c r="H3208"/>
    </row>
    <row r="3209" spans="5:8">
      <c r="E3209"/>
      <c r="F3209"/>
      <c r="G3209"/>
      <c r="H3209"/>
    </row>
    <row r="3210" spans="5:8">
      <c r="E3210"/>
      <c r="F3210"/>
      <c r="G3210"/>
      <c r="H3210"/>
    </row>
    <row r="3211" spans="5:8">
      <c r="E3211"/>
      <c r="F3211"/>
      <c r="G3211"/>
      <c r="H3211"/>
    </row>
    <row r="3212" spans="5:8">
      <c r="E3212"/>
      <c r="F3212"/>
      <c r="G3212"/>
      <c r="H3212"/>
    </row>
    <row r="3213" spans="5:8">
      <c r="E3213"/>
      <c r="F3213"/>
      <c r="G3213"/>
      <c r="H3213"/>
    </row>
    <row r="3214" spans="5:8">
      <c r="E3214"/>
      <c r="F3214"/>
      <c r="G3214"/>
      <c r="H3214"/>
    </row>
    <row r="3215" spans="5:8">
      <c r="E3215"/>
      <c r="F3215"/>
      <c r="G3215"/>
      <c r="H3215"/>
    </row>
    <row r="3216" spans="5:8">
      <c r="E3216"/>
      <c r="F3216"/>
      <c r="G3216"/>
      <c r="H3216"/>
    </row>
    <row r="3217" spans="5:8">
      <c r="E3217"/>
      <c r="F3217"/>
      <c r="G3217"/>
      <c r="H3217"/>
    </row>
    <row r="3218" spans="5:8">
      <c r="E3218"/>
      <c r="F3218"/>
      <c r="G3218"/>
      <c r="H3218"/>
    </row>
    <row r="3219" spans="5:8">
      <c r="E3219"/>
      <c r="F3219"/>
      <c r="G3219"/>
      <c r="H3219"/>
    </row>
    <row r="3220" spans="5:8">
      <c r="E3220"/>
      <c r="F3220"/>
      <c r="G3220"/>
      <c r="H3220"/>
    </row>
    <row r="3221" spans="5:8">
      <c r="E3221"/>
      <c r="F3221"/>
      <c r="G3221"/>
      <c r="H3221"/>
    </row>
    <row r="3222" spans="5:8">
      <c r="E3222"/>
      <c r="F3222"/>
      <c r="G3222"/>
      <c r="H3222"/>
    </row>
    <row r="3223" spans="5:8">
      <c r="E3223"/>
      <c r="F3223"/>
      <c r="G3223"/>
      <c r="H3223"/>
    </row>
    <row r="3224" spans="5:8">
      <c r="E3224"/>
      <c r="F3224"/>
      <c r="G3224"/>
      <c r="H3224"/>
    </row>
    <row r="3225" spans="5:8">
      <c r="E3225"/>
      <c r="F3225"/>
      <c r="G3225"/>
      <c r="H3225"/>
    </row>
    <row r="3226" spans="5:8">
      <c r="E3226"/>
      <c r="F3226"/>
      <c r="G3226"/>
      <c r="H3226"/>
    </row>
    <row r="3227" spans="5:8">
      <c r="E3227"/>
      <c r="F3227"/>
      <c r="G3227"/>
      <c r="H3227"/>
    </row>
    <row r="3228" spans="5:8">
      <c r="E3228"/>
      <c r="F3228"/>
      <c r="G3228"/>
      <c r="H3228"/>
    </row>
    <row r="3229" spans="5:8">
      <c r="E3229"/>
      <c r="F3229"/>
      <c r="G3229"/>
      <c r="H3229"/>
    </row>
    <row r="3230" spans="5:8">
      <c r="E3230"/>
      <c r="F3230"/>
      <c r="G3230"/>
      <c r="H3230"/>
    </row>
    <row r="3231" spans="5:8">
      <c r="E3231"/>
      <c r="F3231"/>
      <c r="G3231"/>
      <c r="H3231"/>
    </row>
    <row r="3232" spans="5:8">
      <c r="E3232"/>
      <c r="F3232"/>
      <c r="G3232"/>
      <c r="H3232"/>
    </row>
    <row r="3233" spans="5:8">
      <c r="E3233"/>
      <c r="F3233"/>
      <c r="G3233"/>
      <c r="H3233"/>
    </row>
    <row r="3234" spans="5:8">
      <c r="E3234"/>
      <c r="F3234"/>
      <c r="G3234"/>
      <c r="H3234"/>
    </row>
    <row r="3235" spans="5:8">
      <c r="E3235"/>
      <c r="F3235"/>
      <c r="G3235"/>
      <c r="H3235"/>
    </row>
    <row r="3236" spans="5:8">
      <c r="E3236"/>
      <c r="F3236"/>
      <c r="G3236"/>
      <c r="H3236"/>
    </row>
    <row r="3237" spans="5:8">
      <c r="E3237"/>
      <c r="F3237"/>
      <c r="G3237"/>
      <c r="H3237"/>
    </row>
    <row r="3238" spans="5:8">
      <c r="E3238"/>
      <c r="F3238"/>
      <c r="G3238"/>
      <c r="H3238"/>
    </row>
    <row r="3239" spans="5:8">
      <c r="E3239"/>
      <c r="F3239"/>
      <c r="G3239"/>
      <c r="H3239"/>
    </row>
    <row r="3240" spans="5:8">
      <c r="E3240"/>
      <c r="F3240"/>
      <c r="G3240"/>
      <c r="H3240"/>
    </row>
    <row r="3241" spans="5:8">
      <c r="E3241"/>
      <c r="F3241"/>
      <c r="G3241"/>
      <c r="H3241"/>
    </row>
    <row r="3242" spans="5:8">
      <c r="E3242"/>
      <c r="F3242"/>
      <c r="G3242"/>
      <c r="H3242"/>
    </row>
    <row r="3243" spans="5:8">
      <c r="E3243"/>
      <c r="F3243"/>
      <c r="G3243"/>
      <c r="H3243"/>
    </row>
    <row r="3244" spans="5:8">
      <c r="E3244"/>
      <c r="F3244"/>
      <c r="G3244"/>
      <c r="H3244"/>
    </row>
    <row r="3245" spans="5:8">
      <c r="E3245"/>
      <c r="F3245"/>
      <c r="G3245"/>
      <c r="H3245"/>
    </row>
    <row r="3246" spans="5:8">
      <c r="E3246"/>
      <c r="F3246"/>
      <c r="G3246"/>
      <c r="H3246"/>
    </row>
    <row r="3247" spans="5:8">
      <c r="E3247"/>
      <c r="F3247"/>
      <c r="G3247"/>
      <c r="H3247"/>
    </row>
    <row r="3248" spans="5:8">
      <c r="E3248"/>
      <c r="F3248"/>
      <c r="G3248"/>
      <c r="H3248"/>
    </row>
    <row r="3249" spans="5:8">
      <c r="E3249"/>
      <c r="F3249"/>
      <c r="G3249"/>
      <c r="H3249"/>
    </row>
    <row r="3250" spans="5:8">
      <c r="E3250"/>
      <c r="F3250"/>
      <c r="G3250"/>
      <c r="H3250"/>
    </row>
    <row r="3251" spans="5:8">
      <c r="E3251"/>
      <c r="F3251"/>
      <c r="G3251"/>
      <c r="H3251"/>
    </row>
    <row r="3252" spans="5:8">
      <c r="E3252"/>
      <c r="F3252"/>
      <c r="G3252"/>
      <c r="H3252"/>
    </row>
    <row r="3253" spans="5:8">
      <c r="E3253"/>
      <c r="F3253"/>
      <c r="G3253"/>
      <c r="H3253"/>
    </row>
    <row r="3254" spans="5:8">
      <c r="E3254"/>
      <c r="F3254"/>
      <c r="G3254"/>
      <c r="H3254"/>
    </row>
    <row r="3255" spans="5:8">
      <c r="E3255"/>
      <c r="F3255"/>
      <c r="G3255"/>
      <c r="H3255"/>
    </row>
    <row r="3256" spans="5:8">
      <c r="E3256"/>
      <c r="F3256"/>
      <c r="G3256"/>
      <c r="H3256"/>
    </row>
    <row r="3257" spans="5:8">
      <c r="E3257"/>
      <c r="F3257"/>
      <c r="G3257"/>
      <c r="H3257"/>
    </row>
    <row r="3258" spans="5:8">
      <c r="E3258"/>
      <c r="F3258"/>
      <c r="G3258"/>
      <c r="H3258"/>
    </row>
    <row r="3259" spans="5:8">
      <c r="E3259"/>
      <c r="F3259"/>
      <c r="G3259"/>
      <c r="H3259"/>
    </row>
    <row r="3260" spans="5:8">
      <c r="E3260"/>
      <c r="F3260"/>
      <c r="G3260"/>
      <c r="H3260"/>
    </row>
    <row r="3261" spans="5:8">
      <c r="E3261"/>
      <c r="F3261"/>
      <c r="G3261"/>
      <c r="H3261"/>
    </row>
    <row r="3262" spans="5:8">
      <c r="E3262"/>
      <c r="F3262"/>
      <c r="G3262"/>
      <c r="H3262"/>
    </row>
    <row r="3263" spans="5:8">
      <c r="E3263"/>
      <c r="F3263"/>
      <c r="G3263"/>
      <c r="H3263"/>
    </row>
    <row r="3264" spans="5:8">
      <c r="E3264"/>
      <c r="F3264"/>
      <c r="G3264"/>
      <c r="H3264"/>
    </row>
    <row r="3265" spans="5:8">
      <c r="E3265"/>
      <c r="F3265"/>
      <c r="G3265"/>
      <c r="H3265"/>
    </row>
    <row r="3266" spans="5:8">
      <c r="E3266"/>
      <c r="F3266"/>
      <c r="G3266"/>
      <c r="H3266"/>
    </row>
    <row r="3267" spans="5:8">
      <c r="E3267"/>
      <c r="F3267"/>
      <c r="G3267"/>
      <c r="H3267"/>
    </row>
    <row r="3268" spans="5:8">
      <c r="E3268"/>
      <c r="F3268"/>
      <c r="G3268"/>
      <c r="H3268"/>
    </row>
    <row r="3269" spans="5:8">
      <c r="E3269"/>
      <c r="F3269"/>
      <c r="G3269"/>
      <c r="H3269"/>
    </row>
    <row r="3270" spans="5:8">
      <c r="E3270"/>
      <c r="F3270"/>
      <c r="G3270"/>
      <c r="H3270"/>
    </row>
    <row r="3271" spans="5:8">
      <c r="E3271"/>
      <c r="F3271"/>
      <c r="G3271"/>
      <c r="H3271"/>
    </row>
    <row r="3272" spans="5:8">
      <c r="E3272"/>
      <c r="F3272"/>
      <c r="G3272"/>
      <c r="H3272"/>
    </row>
    <row r="3273" spans="5:8">
      <c r="E3273"/>
      <c r="F3273"/>
      <c r="G3273"/>
      <c r="H3273"/>
    </row>
    <row r="3274" spans="5:8">
      <c r="E3274"/>
      <c r="F3274"/>
      <c r="G3274"/>
      <c r="H3274"/>
    </row>
    <row r="3275" spans="5:8">
      <c r="E3275"/>
      <c r="F3275"/>
      <c r="G3275"/>
      <c r="H3275"/>
    </row>
    <row r="3276" spans="5:8">
      <c r="E3276"/>
      <c r="F3276"/>
      <c r="G3276"/>
      <c r="H3276"/>
    </row>
    <row r="3277" spans="5:8">
      <c r="E3277"/>
      <c r="F3277"/>
      <c r="G3277"/>
      <c r="H3277"/>
    </row>
    <row r="3278" spans="5:8">
      <c r="E3278"/>
      <c r="F3278"/>
      <c r="G3278"/>
      <c r="H3278"/>
    </row>
    <row r="3279" spans="5:8">
      <c r="E3279"/>
      <c r="F3279"/>
      <c r="G3279"/>
      <c r="H3279"/>
    </row>
    <row r="3280" spans="5:8">
      <c r="E3280"/>
      <c r="F3280"/>
      <c r="G3280"/>
      <c r="H3280"/>
    </row>
    <row r="3281" spans="5:8">
      <c r="E3281"/>
      <c r="F3281"/>
      <c r="G3281"/>
      <c r="H3281"/>
    </row>
    <row r="3282" spans="5:8">
      <c r="E3282"/>
      <c r="F3282"/>
      <c r="G3282"/>
      <c r="H3282"/>
    </row>
    <row r="3283" spans="5:8">
      <c r="E3283"/>
      <c r="F3283"/>
      <c r="G3283"/>
      <c r="H3283"/>
    </row>
    <row r="3284" spans="5:8">
      <c r="E3284"/>
      <c r="F3284"/>
      <c r="G3284"/>
      <c r="H3284"/>
    </row>
    <row r="3285" spans="5:8">
      <c r="E3285"/>
      <c r="F3285"/>
      <c r="G3285"/>
      <c r="H3285"/>
    </row>
    <row r="3286" spans="5:8">
      <c r="E3286"/>
      <c r="F3286"/>
      <c r="G3286"/>
      <c r="H3286"/>
    </row>
    <row r="3287" spans="5:8">
      <c r="E3287"/>
      <c r="F3287"/>
      <c r="G3287"/>
      <c r="H3287"/>
    </row>
    <row r="3288" spans="5:8">
      <c r="E3288"/>
      <c r="F3288"/>
      <c r="G3288"/>
      <c r="H3288"/>
    </row>
    <row r="3289" spans="5:8">
      <c r="E3289"/>
      <c r="F3289"/>
      <c r="G3289"/>
      <c r="H3289"/>
    </row>
    <row r="3290" spans="5:8">
      <c r="E3290"/>
      <c r="F3290"/>
      <c r="G3290"/>
      <c r="H3290"/>
    </row>
    <row r="3291" spans="5:8">
      <c r="E3291"/>
      <c r="F3291"/>
      <c r="G3291"/>
      <c r="H3291"/>
    </row>
    <row r="3292" spans="5:8">
      <c r="E3292"/>
      <c r="F3292"/>
      <c r="G3292"/>
      <c r="H3292"/>
    </row>
    <row r="3293" spans="5:8">
      <c r="E3293"/>
      <c r="F3293"/>
      <c r="G3293"/>
      <c r="H3293"/>
    </row>
    <row r="3294" spans="5:8">
      <c r="E3294"/>
      <c r="F3294"/>
      <c r="G3294"/>
      <c r="H3294"/>
    </row>
    <row r="3295" spans="5:8">
      <c r="E3295"/>
      <c r="F3295"/>
      <c r="G3295"/>
      <c r="H3295"/>
    </row>
    <row r="3296" spans="5:8">
      <c r="E3296"/>
      <c r="F3296"/>
      <c r="G3296"/>
      <c r="H3296"/>
    </row>
    <row r="3297" spans="5:8">
      <c r="E3297"/>
      <c r="F3297"/>
      <c r="G3297"/>
      <c r="H3297"/>
    </row>
    <row r="3298" spans="5:8">
      <c r="E3298"/>
      <c r="F3298"/>
      <c r="G3298"/>
      <c r="H3298"/>
    </row>
    <row r="3299" spans="5:8">
      <c r="E3299"/>
      <c r="F3299"/>
      <c r="G3299"/>
      <c r="H3299"/>
    </row>
    <row r="3300" spans="5:8">
      <c r="E3300"/>
      <c r="F3300"/>
      <c r="G3300"/>
      <c r="H3300"/>
    </row>
    <row r="3301" spans="5:8">
      <c r="E3301"/>
      <c r="F3301"/>
      <c r="G3301"/>
      <c r="H3301"/>
    </row>
    <row r="3302" spans="5:8">
      <c r="E3302"/>
      <c r="F3302"/>
      <c r="G3302"/>
      <c r="H3302"/>
    </row>
    <row r="3303" spans="5:8">
      <c r="E3303"/>
      <c r="F3303"/>
      <c r="G3303"/>
      <c r="H3303"/>
    </row>
    <row r="3304" spans="5:8">
      <c r="E3304"/>
      <c r="F3304"/>
      <c r="G3304"/>
      <c r="H3304"/>
    </row>
    <row r="3305" spans="5:8">
      <c r="E3305"/>
      <c r="F3305"/>
      <c r="G3305"/>
      <c r="H3305"/>
    </row>
    <row r="3306" spans="5:8">
      <c r="E3306"/>
      <c r="F3306"/>
      <c r="G3306"/>
      <c r="H3306"/>
    </row>
    <row r="3307" spans="5:8">
      <c r="E3307"/>
      <c r="F3307"/>
      <c r="G3307"/>
      <c r="H3307"/>
    </row>
    <row r="3308" spans="5:8">
      <c r="E3308"/>
      <c r="F3308"/>
      <c r="G3308"/>
      <c r="H3308"/>
    </row>
    <row r="3309" spans="5:8">
      <c r="E3309"/>
      <c r="F3309"/>
      <c r="G3309"/>
      <c r="H3309"/>
    </row>
    <row r="3310" spans="5:8">
      <c r="E3310"/>
      <c r="F3310"/>
      <c r="G3310"/>
      <c r="H3310"/>
    </row>
    <row r="3311" spans="5:8">
      <c r="E3311"/>
      <c r="F3311"/>
      <c r="G3311"/>
      <c r="H3311"/>
    </row>
    <row r="3312" spans="5:8">
      <c r="E3312"/>
      <c r="F3312"/>
      <c r="G3312"/>
      <c r="H3312"/>
    </row>
    <row r="3313" spans="5:8">
      <c r="E3313"/>
      <c r="F3313"/>
      <c r="G3313"/>
      <c r="H3313"/>
    </row>
    <row r="3314" spans="5:8">
      <c r="E3314"/>
      <c r="F3314"/>
      <c r="G3314"/>
      <c r="H3314"/>
    </row>
    <row r="3315" spans="5:8">
      <c r="E3315"/>
      <c r="F3315"/>
      <c r="G3315"/>
      <c r="H3315"/>
    </row>
    <row r="3316" spans="5:8">
      <c r="E3316"/>
      <c r="F3316"/>
      <c r="G3316"/>
      <c r="H3316"/>
    </row>
    <row r="3317" spans="5:8">
      <c r="E3317"/>
      <c r="F3317"/>
      <c r="G3317"/>
      <c r="H3317"/>
    </row>
    <row r="3318" spans="5:8">
      <c r="E3318"/>
      <c r="F3318"/>
      <c r="G3318"/>
      <c r="H3318"/>
    </row>
    <row r="3319" spans="5:8">
      <c r="E3319"/>
      <c r="F3319"/>
      <c r="G3319"/>
      <c r="H3319"/>
    </row>
    <row r="3320" spans="5:8">
      <c r="E3320"/>
      <c r="F3320"/>
      <c r="G3320"/>
      <c r="H3320"/>
    </row>
    <row r="3321" spans="5:8">
      <c r="E3321"/>
      <c r="F3321"/>
      <c r="G3321"/>
      <c r="H3321"/>
    </row>
    <row r="3322" spans="5:8">
      <c r="E3322"/>
      <c r="F3322"/>
      <c r="G3322"/>
      <c r="H3322"/>
    </row>
    <row r="3323" spans="5:8">
      <c r="E3323"/>
      <c r="F3323"/>
      <c r="G3323"/>
      <c r="H3323"/>
    </row>
    <row r="3324" spans="5:8">
      <c r="E3324"/>
      <c r="F3324"/>
      <c r="G3324"/>
      <c r="H3324"/>
    </row>
    <row r="3325" spans="5:8">
      <c r="E3325"/>
      <c r="F3325"/>
      <c r="G3325"/>
      <c r="H3325"/>
    </row>
    <row r="3326" spans="5:8">
      <c r="E3326"/>
      <c r="F3326"/>
      <c r="G3326"/>
      <c r="H3326"/>
    </row>
    <row r="3327" spans="5:8">
      <c r="E3327"/>
      <c r="F3327"/>
      <c r="G3327"/>
      <c r="H3327"/>
    </row>
    <row r="3328" spans="5:8">
      <c r="E3328"/>
      <c r="F3328"/>
      <c r="G3328"/>
      <c r="H3328"/>
    </row>
    <row r="3329" spans="5:8">
      <c r="E3329"/>
      <c r="F3329"/>
      <c r="G3329"/>
      <c r="H3329"/>
    </row>
    <row r="3330" spans="5:8">
      <c r="E3330"/>
      <c r="F3330"/>
      <c r="G3330"/>
      <c r="H3330"/>
    </row>
    <row r="3331" spans="5:8">
      <c r="E3331"/>
      <c r="F3331"/>
      <c r="G3331"/>
      <c r="H3331"/>
    </row>
    <row r="3332" spans="5:8">
      <c r="E3332"/>
      <c r="F3332"/>
      <c r="G3332"/>
      <c r="H3332"/>
    </row>
    <row r="3333" spans="5:8">
      <c r="E3333"/>
      <c r="F3333"/>
      <c r="G3333"/>
      <c r="H3333"/>
    </row>
    <row r="3334" spans="5:8">
      <c r="E3334"/>
      <c r="F3334"/>
      <c r="G3334"/>
      <c r="H3334"/>
    </row>
    <row r="3335" spans="5:8">
      <c r="E3335"/>
      <c r="F3335"/>
      <c r="G3335"/>
      <c r="H3335"/>
    </row>
    <row r="3336" spans="5:8">
      <c r="E3336"/>
      <c r="F3336"/>
      <c r="G3336"/>
      <c r="H3336"/>
    </row>
    <row r="3337" spans="5:8">
      <c r="E3337"/>
      <c r="F3337"/>
      <c r="G3337"/>
      <c r="H3337"/>
    </row>
    <row r="3338" spans="5:8">
      <c r="E3338"/>
      <c r="F3338"/>
      <c r="G3338"/>
      <c r="H3338"/>
    </row>
    <row r="3339" spans="5:8">
      <c r="E3339"/>
      <c r="F3339"/>
      <c r="G3339"/>
      <c r="H3339"/>
    </row>
    <row r="3340" spans="5:8">
      <c r="E3340"/>
      <c r="F3340"/>
      <c r="G3340"/>
      <c r="H3340"/>
    </row>
    <row r="3341" spans="5:8">
      <c r="E3341"/>
      <c r="F3341"/>
      <c r="G3341"/>
      <c r="H3341"/>
    </row>
    <row r="3342" spans="5:8">
      <c r="E3342"/>
      <c r="F3342"/>
      <c r="G3342"/>
      <c r="H3342"/>
    </row>
    <row r="3343" spans="5:8">
      <c r="E3343"/>
      <c r="F3343"/>
      <c r="G3343"/>
      <c r="H3343"/>
    </row>
    <row r="3344" spans="5:8">
      <c r="E3344"/>
      <c r="F3344"/>
      <c r="G3344"/>
      <c r="H3344"/>
    </row>
    <row r="3345" spans="5:8">
      <c r="E3345"/>
      <c r="F3345"/>
      <c r="G3345"/>
      <c r="H3345"/>
    </row>
    <row r="3346" spans="5:8">
      <c r="E3346"/>
      <c r="F3346"/>
      <c r="G3346"/>
      <c r="H3346"/>
    </row>
    <row r="3347" spans="5:8">
      <c r="E3347"/>
      <c r="F3347"/>
      <c r="G3347"/>
      <c r="H3347"/>
    </row>
    <row r="3348" spans="5:8">
      <c r="E3348"/>
      <c r="F3348"/>
      <c r="G3348"/>
      <c r="H3348"/>
    </row>
    <row r="3349" spans="5:8">
      <c r="E3349"/>
      <c r="F3349"/>
      <c r="G3349"/>
      <c r="H3349"/>
    </row>
    <row r="3350" spans="5:8">
      <c r="E3350"/>
      <c r="F3350"/>
      <c r="G3350"/>
      <c r="H3350"/>
    </row>
    <row r="3351" spans="5:8">
      <c r="E3351"/>
      <c r="F3351"/>
      <c r="G3351"/>
      <c r="H3351"/>
    </row>
    <row r="3352" spans="5:8">
      <c r="E3352"/>
      <c r="F3352"/>
      <c r="G3352"/>
      <c r="H3352"/>
    </row>
    <row r="3353" spans="5:8">
      <c r="E3353"/>
      <c r="F3353"/>
      <c r="G3353"/>
      <c r="H3353"/>
    </row>
    <row r="3354" spans="5:8">
      <c r="E3354"/>
      <c r="F3354"/>
      <c r="G3354"/>
      <c r="H3354"/>
    </row>
    <row r="3355" spans="5:8">
      <c r="E3355"/>
      <c r="F3355"/>
      <c r="G3355"/>
      <c r="H3355"/>
    </row>
    <row r="3356" spans="5:8">
      <c r="E3356"/>
      <c r="F3356"/>
      <c r="G3356"/>
      <c r="H3356"/>
    </row>
    <row r="3357" spans="5:8">
      <c r="E3357"/>
      <c r="F3357"/>
      <c r="G3357"/>
      <c r="H3357"/>
    </row>
    <row r="3358" spans="5:8">
      <c r="E3358"/>
      <c r="F3358"/>
      <c r="G3358"/>
      <c r="H3358"/>
    </row>
    <row r="3359" spans="5:8">
      <c r="E3359"/>
      <c r="F3359"/>
      <c r="G3359"/>
      <c r="H3359"/>
    </row>
    <row r="3360" spans="5:8">
      <c r="E3360"/>
      <c r="F3360"/>
      <c r="G3360"/>
      <c r="H3360"/>
    </row>
    <row r="3361" spans="5:8">
      <c r="E3361"/>
      <c r="F3361"/>
      <c r="G3361"/>
      <c r="H3361"/>
    </row>
    <row r="3362" spans="5:8">
      <c r="E3362"/>
      <c r="F3362"/>
      <c r="G3362"/>
      <c r="H3362"/>
    </row>
    <row r="3363" spans="5:8">
      <c r="E3363"/>
      <c r="F3363"/>
      <c r="G3363"/>
      <c r="H3363"/>
    </row>
    <row r="3364" spans="5:8">
      <c r="E3364"/>
      <c r="F3364"/>
      <c r="G3364"/>
      <c r="H3364"/>
    </row>
    <row r="3365" spans="5:8">
      <c r="E3365"/>
      <c r="F3365"/>
      <c r="G3365"/>
      <c r="H3365"/>
    </row>
    <row r="3366" spans="5:8">
      <c r="E3366"/>
      <c r="F3366"/>
      <c r="G3366"/>
      <c r="H3366"/>
    </row>
    <row r="3367" spans="5:8">
      <c r="E3367"/>
      <c r="F3367"/>
      <c r="G3367"/>
      <c r="H3367"/>
    </row>
    <row r="3368" spans="5:8">
      <c r="E3368"/>
      <c r="F3368"/>
      <c r="G3368"/>
      <c r="H3368"/>
    </row>
    <row r="3369" spans="5:8">
      <c r="E3369"/>
      <c r="F3369"/>
      <c r="G3369"/>
      <c r="H3369"/>
    </row>
    <row r="3370" spans="5:8">
      <c r="E3370"/>
      <c r="F3370"/>
      <c r="G3370"/>
      <c r="H3370"/>
    </row>
    <row r="3371" spans="5:8">
      <c r="E3371"/>
      <c r="F3371"/>
      <c r="G3371"/>
      <c r="H3371"/>
    </row>
    <row r="3372" spans="5:8">
      <c r="E3372"/>
      <c r="F3372"/>
      <c r="G3372"/>
      <c r="H3372"/>
    </row>
    <row r="3373" spans="5:8">
      <c r="E3373"/>
      <c r="F3373"/>
      <c r="G3373"/>
      <c r="H3373"/>
    </row>
    <row r="3374" spans="5:8">
      <c r="E3374"/>
      <c r="F3374"/>
      <c r="G3374"/>
      <c r="H3374"/>
    </row>
    <row r="3375" spans="5:8">
      <c r="E3375"/>
      <c r="F3375"/>
      <c r="G3375"/>
      <c r="H3375"/>
    </row>
    <row r="3376" spans="5:8">
      <c r="E3376"/>
      <c r="F3376"/>
      <c r="G3376"/>
      <c r="H3376"/>
    </row>
    <row r="3377" spans="5:8">
      <c r="E3377"/>
      <c r="F3377"/>
      <c r="G3377"/>
      <c r="H3377"/>
    </row>
    <row r="3378" spans="5:8">
      <c r="E3378"/>
      <c r="F3378"/>
      <c r="G3378"/>
      <c r="H3378"/>
    </row>
    <row r="3379" spans="5:8">
      <c r="E3379"/>
      <c r="F3379"/>
      <c r="G3379"/>
      <c r="H3379"/>
    </row>
    <row r="3380" spans="5:8">
      <c r="E3380"/>
      <c r="F3380"/>
      <c r="G3380"/>
      <c r="H3380"/>
    </row>
    <row r="3381" spans="5:8">
      <c r="E3381"/>
      <c r="F3381"/>
      <c r="G3381"/>
      <c r="H3381"/>
    </row>
    <row r="3382" spans="5:8">
      <c r="E3382"/>
      <c r="F3382"/>
      <c r="G3382"/>
      <c r="H3382"/>
    </row>
    <row r="3383" spans="5:8">
      <c r="E3383"/>
      <c r="F3383"/>
      <c r="G3383"/>
      <c r="H3383"/>
    </row>
    <row r="3384" spans="5:8">
      <c r="E3384"/>
      <c r="F3384"/>
      <c r="G3384"/>
      <c r="H3384"/>
    </row>
    <row r="3385" spans="5:8">
      <c r="E3385"/>
      <c r="F3385"/>
      <c r="G3385"/>
      <c r="H3385"/>
    </row>
    <row r="3386" spans="5:8">
      <c r="E3386"/>
      <c r="F3386"/>
      <c r="G3386"/>
      <c r="H3386"/>
    </row>
    <row r="3387" spans="5:8">
      <c r="E3387"/>
      <c r="F3387"/>
      <c r="G3387"/>
      <c r="H3387"/>
    </row>
    <row r="3388" spans="5:8">
      <c r="E3388"/>
      <c r="F3388"/>
      <c r="G3388"/>
      <c r="H3388"/>
    </row>
    <row r="3389" spans="5:8">
      <c r="E3389"/>
      <c r="F3389"/>
      <c r="G3389"/>
      <c r="H3389"/>
    </row>
    <row r="3390" spans="5:8">
      <c r="E3390"/>
      <c r="F3390"/>
      <c r="G3390"/>
      <c r="H3390"/>
    </row>
    <row r="3391" spans="5:8">
      <c r="E3391"/>
      <c r="F3391"/>
      <c r="G3391"/>
      <c r="H3391"/>
    </row>
    <row r="3392" spans="5:8">
      <c r="E3392"/>
      <c r="F3392"/>
      <c r="G3392"/>
      <c r="H3392"/>
    </row>
    <row r="3393" spans="5:8">
      <c r="E3393"/>
      <c r="F3393"/>
      <c r="G3393"/>
      <c r="H3393"/>
    </row>
    <row r="3394" spans="5:8">
      <c r="E3394"/>
      <c r="F3394"/>
      <c r="G3394"/>
      <c r="H3394"/>
    </row>
    <row r="3395" spans="5:8">
      <c r="E3395"/>
      <c r="F3395"/>
      <c r="G3395"/>
      <c r="H3395"/>
    </row>
    <row r="3396" spans="5:8">
      <c r="E3396"/>
      <c r="F3396"/>
      <c r="G3396"/>
      <c r="H3396"/>
    </row>
    <row r="3397" spans="5:8">
      <c r="E3397"/>
      <c r="F3397"/>
      <c r="G3397"/>
      <c r="H3397"/>
    </row>
    <row r="3398" spans="5:8">
      <c r="E3398"/>
      <c r="F3398"/>
      <c r="G3398"/>
      <c r="H3398"/>
    </row>
    <row r="3399" spans="5:8">
      <c r="E3399"/>
      <c r="F3399"/>
      <c r="G3399"/>
      <c r="H3399"/>
    </row>
    <row r="3400" spans="5:8">
      <c r="E3400"/>
      <c r="F3400"/>
      <c r="G3400"/>
      <c r="H3400"/>
    </row>
    <row r="3401" spans="5:8">
      <c r="E3401"/>
      <c r="F3401"/>
      <c r="G3401"/>
      <c r="H3401"/>
    </row>
    <row r="3402" spans="5:8">
      <c r="E3402"/>
      <c r="F3402"/>
      <c r="G3402"/>
      <c r="H3402"/>
    </row>
    <row r="3403" spans="5:8">
      <c r="E3403"/>
      <c r="F3403"/>
      <c r="G3403"/>
      <c r="H3403"/>
    </row>
    <row r="3404" spans="5:8">
      <c r="E3404"/>
      <c r="F3404"/>
      <c r="G3404"/>
      <c r="H3404"/>
    </row>
    <row r="3405" spans="5:8">
      <c r="E3405"/>
      <c r="F3405"/>
      <c r="G3405"/>
      <c r="H3405"/>
    </row>
    <row r="3406" spans="5:8">
      <c r="E3406"/>
      <c r="F3406"/>
      <c r="G3406"/>
      <c r="H3406"/>
    </row>
    <row r="3407" spans="5:8">
      <c r="E3407"/>
      <c r="F3407"/>
      <c r="G3407"/>
      <c r="H3407"/>
    </row>
    <row r="3408" spans="5:8">
      <c r="E3408"/>
      <c r="F3408"/>
      <c r="G3408"/>
      <c r="H3408"/>
    </row>
    <row r="3409" spans="5:8">
      <c r="E3409"/>
      <c r="F3409"/>
      <c r="G3409"/>
      <c r="H3409"/>
    </row>
    <row r="3410" spans="5:8">
      <c r="E3410"/>
      <c r="F3410"/>
      <c r="G3410"/>
      <c r="H3410"/>
    </row>
    <row r="3411" spans="5:8">
      <c r="E3411"/>
      <c r="F3411"/>
      <c r="G3411"/>
      <c r="H3411"/>
    </row>
    <row r="3412" spans="5:8">
      <c r="E3412"/>
      <c r="F3412"/>
      <c r="G3412"/>
      <c r="H3412"/>
    </row>
    <row r="3413" spans="5:8">
      <c r="E3413"/>
      <c r="F3413"/>
      <c r="G3413"/>
      <c r="H3413"/>
    </row>
    <row r="3414" spans="5:8">
      <c r="E3414"/>
      <c r="F3414"/>
      <c r="G3414"/>
      <c r="H3414"/>
    </row>
    <row r="3415" spans="5:8">
      <c r="E3415"/>
      <c r="F3415"/>
      <c r="G3415"/>
      <c r="H3415"/>
    </row>
    <row r="3416" spans="5:8">
      <c r="E3416"/>
      <c r="F3416"/>
      <c r="G3416"/>
      <c r="H3416"/>
    </row>
    <row r="3417" spans="5:8">
      <c r="E3417"/>
      <c r="F3417"/>
      <c r="G3417"/>
      <c r="H3417"/>
    </row>
    <row r="3418" spans="5:8">
      <c r="E3418"/>
      <c r="F3418"/>
      <c r="G3418"/>
      <c r="H3418"/>
    </row>
    <row r="3419" spans="5:8">
      <c r="E3419"/>
      <c r="F3419"/>
      <c r="G3419"/>
      <c r="H3419"/>
    </row>
    <row r="3420" spans="5:8">
      <c r="E3420"/>
      <c r="F3420"/>
      <c r="G3420"/>
      <c r="H3420"/>
    </row>
    <row r="3421" spans="5:8">
      <c r="E3421"/>
      <c r="F3421"/>
      <c r="G3421"/>
      <c r="H3421"/>
    </row>
    <row r="3422" spans="5:8">
      <c r="E3422"/>
      <c r="F3422"/>
      <c r="G3422"/>
      <c r="H3422"/>
    </row>
    <row r="3423" spans="5:8">
      <c r="E3423"/>
      <c r="F3423"/>
      <c r="G3423"/>
      <c r="H3423"/>
    </row>
    <row r="3424" spans="5:8">
      <c r="E3424"/>
      <c r="F3424"/>
      <c r="G3424"/>
      <c r="H3424"/>
    </row>
    <row r="3425" spans="5:8">
      <c r="E3425"/>
      <c r="F3425"/>
      <c r="G3425"/>
      <c r="H3425"/>
    </row>
    <row r="3426" spans="5:8">
      <c r="E3426"/>
      <c r="F3426"/>
      <c r="G3426"/>
      <c r="H3426"/>
    </row>
    <row r="3427" spans="5:8">
      <c r="E3427"/>
      <c r="F3427"/>
      <c r="G3427"/>
      <c r="H3427"/>
    </row>
    <row r="3428" spans="5:8">
      <c r="E3428"/>
      <c r="F3428"/>
      <c r="G3428"/>
      <c r="H3428"/>
    </row>
    <row r="3429" spans="5:8">
      <c r="E3429"/>
      <c r="F3429"/>
      <c r="G3429"/>
      <c r="H3429"/>
    </row>
    <row r="3430" spans="5:8">
      <c r="E3430"/>
      <c r="F3430"/>
      <c r="G3430"/>
      <c r="H3430"/>
    </row>
    <row r="3431" spans="5:8">
      <c r="E3431"/>
      <c r="F3431"/>
      <c r="G3431"/>
      <c r="H3431"/>
    </row>
    <row r="3432" spans="5:8">
      <c r="E3432"/>
      <c r="F3432"/>
      <c r="G3432"/>
      <c r="H3432"/>
    </row>
    <row r="3433" spans="5:8">
      <c r="E3433"/>
      <c r="F3433"/>
      <c r="G3433"/>
      <c r="H3433"/>
    </row>
    <row r="3434" spans="5:8">
      <c r="E3434"/>
      <c r="F3434"/>
      <c r="G3434"/>
      <c r="H3434"/>
    </row>
    <row r="3435" spans="5:8">
      <c r="E3435"/>
      <c r="F3435"/>
      <c r="G3435"/>
      <c r="H3435"/>
    </row>
    <row r="3436" spans="5:8">
      <c r="E3436"/>
      <c r="F3436"/>
      <c r="G3436"/>
      <c r="H3436"/>
    </row>
    <row r="3437" spans="5:8">
      <c r="E3437"/>
      <c r="F3437"/>
      <c r="G3437"/>
      <c r="H3437"/>
    </row>
    <row r="3438" spans="5:8">
      <c r="E3438"/>
      <c r="F3438"/>
      <c r="G3438"/>
      <c r="H3438"/>
    </row>
    <row r="3439" spans="5:8">
      <c r="E3439"/>
      <c r="F3439"/>
      <c r="G3439"/>
      <c r="H3439"/>
    </row>
    <row r="3440" spans="5:8">
      <c r="E3440"/>
      <c r="F3440"/>
      <c r="G3440"/>
      <c r="H3440"/>
    </row>
    <row r="3441" spans="5:8">
      <c r="E3441"/>
      <c r="F3441"/>
      <c r="G3441"/>
      <c r="H3441"/>
    </row>
    <row r="3442" spans="5:8">
      <c r="E3442"/>
      <c r="F3442"/>
      <c r="G3442"/>
      <c r="H3442"/>
    </row>
    <row r="3443" spans="5:8">
      <c r="E3443"/>
      <c r="F3443"/>
      <c r="G3443"/>
      <c r="H3443"/>
    </row>
    <row r="3444" spans="5:8">
      <c r="E3444"/>
      <c r="F3444"/>
      <c r="G3444"/>
      <c r="H3444"/>
    </row>
    <row r="3445" spans="5:8">
      <c r="E3445"/>
      <c r="F3445"/>
      <c r="G3445"/>
      <c r="H3445"/>
    </row>
    <row r="3446" spans="5:8">
      <c r="E3446"/>
      <c r="F3446"/>
      <c r="G3446"/>
      <c r="H3446"/>
    </row>
    <row r="3447" spans="5:8">
      <c r="E3447"/>
      <c r="F3447"/>
      <c r="G3447"/>
      <c r="H3447"/>
    </row>
    <row r="3448" spans="5:8">
      <c r="E3448"/>
      <c r="F3448"/>
      <c r="G3448"/>
      <c r="H3448"/>
    </row>
    <row r="3449" spans="5:8">
      <c r="E3449"/>
      <c r="F3449"/>
      <c r="G3449"/>
      <c r="H3449"/>
    </row>
    <row r="3450" spans="5:8">
      <c r="E3450"/>
      <c r="F3450"/>
      <c r="G3450"/>
      <c r="H3450"/>
    </row>
    <row r="3451" spans="5:8">
      <c r="E3451"/>
      <c r="F3451"/>
      <c r="G3451"/>
      <c r="H3451"/>
    </row>
    <row r="3452" spans="5:8">
      <c r="E3452"/>
      <c r="F3452"/>
      <c r="G3452"/>
      <c r="H3452"/>
    </row>
    <row r="3453" spans="5:8">
      <c r="E3453"/>
      <c r="F3453"/>
      <c r="G3453"/>
      <c r="H3453"/>
    </row>
    <row r="3454" spans="5:8">
      <c r="E3454"/>
      <c r="F3454"/>
      <c r="G3454"/>
      <c r="H3454"/>
    </row>
    <row r="3455" spans="5:8">
      <c r="E3455"/>
      <c r="F3455"/>
      <c r="G3455"/>
      <c r="H3455"/>
    </row>
    <row r="3456" spans="5:8">
      <c r="E3456"/>
      <c r="F3456"/>
      <c r="G3456"/>
      <c r="H3456"/>
    </row>
    <row r="3457" spans="5:8">
      <c r="E3457"/>
      <c r="F3457"/>
      <c r="G3457"/>
      <c r="H3457"/>
    </row>
    <row r="3458" spans="5:8">
      <c r="E3458"/>
      <c r="F3458"/>
      <c r="G3458"/>
      <c r="H3458"/>
    </row>
    <row r="3459" spans="5:8">
      <c r="E3459"/>
      <c r="F3459"/>
      <c r="G3459"/>
      <c r="H3459"/>
    </row>
    <row r="3460" spans="5:8">
      <c r="E3460"/>
      <c r="F3460"/>
      <c r="G3460"/>
      <c r="H3460"/>
    </row>
    <row r="3461" spans="5:8">
      <c r="E3461"/>
      <c r="F3461"/>
      <c r="G3461"/>
      <c r="H3461"/>
    </row>
    <row r="3462" spans="5:8">
      <c r="E3462"/>
      <c r="F3462"/>
      <c r="G3462"/>
      <c r="H3462"/>
    </row>
    <row r="3463" spans="5:8">
      <c r="E3463"/>
      <c r="F3463"/>
      <c r="G3463"/>
      <c r="H3463"/>
    </row>
    <row r="3464" spans="5:8">
      <c r="E3464"/>
      <c r="F3464"/>
      <c r="G3464"/>
      <c r="H3464"/>
    </row>
    <row r="3465" spans="5:8">
      <c r="E3465"/>
      <c r="F3465"/>
      <c r="G3465"/>
      <c r="H3465"/>
    </row>
    <row r="3466" spans="5:8">
      <c r="E3466"/>
      <c r="F3466"/>
      <c r="G3466"/>
      <c r="H3466"/>
    </row>
    <row r="3467" spans="5:8">
      <c r="E3467"/>
      <c r="F3467"/>
      <c r="G3467"/>
      <c r="H3467"/>
    </row>
    <row r="3468" spans="5:8">
      <c r="E3468"/>
      <c r="F3468"/>
      <c r="G3468"/>
      <c r="H3468"/>
    </row>
    <row r="3469" spans="5:8">
      <c r="E3469"/>
      <c r="F3469"/>
      <c r="G3469"/>
      <c r="H3469"/>
    </row>
    <row r="3470" spans="5:8">
      <c r="E3470"/>
      <c r="F3470"/>
      <c r="G3470"/>
      <c r="H3470"/>
    </row>
    <row r="3471" spans="5:8">
      <c r="E3471"/>
      <c r="F3471"/>
      <c r="G3471"/>
      <c r="H3471"/>
    </row>
    <row r="3472" spans="5:8">
      <c r="E3472"/>
      <c r="F3472"/>
      <c r="G3472"/>
      <c r="H3472"/>
    </row>
    <row r="3473" spans="5:8">
      <c r="E3473"/>
      <c r="F3473"/>
      <c r="G3473"/>
      <c r="H3473"/>
    </row>
    <row r="3474" spans="5:8">
      <c r="E3474"/>
      <c r="F3474"/>
      <c r="G3474"/>
      <c r="H3474"/>
    </row>
    <row r="3475" spans="5:8">
      <c r="E3475"/>
      <c r="F3475"/>
      <c r="G3475"/>
      <c r="H3475"/>
    </row>
    <row r="3476" spans="5:8">
      <c r="E3476"/>
      <c r="F3476"/>
      <c r="G3476"/>
      <c r="H3476"/>
    </row>
    <row r="3477" spans="5:8">
      <c r="E3477"/>
      <c r="F3477"/>
      <c r="G3477"/>
      <c r="H3477"/>
    </row>
    <row r="3478" spans="5:8">
      <c r="E3478"/>
      <c r="F3478"/>
      <c r="G3478"/>
      <c r="H3478"/>
    </row>
    <row r="3479" spans="5:8">
      <c r="E3479"/>
      <c r="F3479"/>
      <c r="G3479"/>
      <c r="H3479"/>
    </row>
    <row r="3480" spans="5:8">
      <c r="E3480"/>
      <c r="F3480"/>
      <c r="G3480"/>
      <c r="H3480"/>
    </row>
    <row r="3481" spans="5:8">
      <c r="E3481"/>
      <c r="F3481"/>
      <c r="G3481"/>
      <c r="H3481"/>
    </row>
    <row r="3482" spans="5:8">
      <c r="E3482"/>
      <c r="F3482"/>
      <c r="G3482"/>
      <c r="H3482"/>
    </row>
    <row r="3483" spans="5:8">
      <c r="E3483"/>
      <c r="F3483"/>
      <c r="G3483"/>
      <c r="H3483"/>
    </row>
    <row r="3484" spans="5:8">
      <c r="E3484"/>
      <c r="F3484"/>
      <c r="G3484"/>
      <c r="H3484"/>
    </row>
    <row r="3485" spans="5:8">
      <c r="E3485"/>
      <c r="F3485"/>
      <c r="G3485"/>
      <c r="H3485"/>
    </row>
    <row r="3486" spans="5:8">
      <c r="E3486"/>
      <c r="F3486"/>
      <c r="G3486"/>
      <c r="H3486"/>
    </row>
    <row r="3487" spans="5:8">
      <c r="E3487"/>
      <c r="F3487"/>
      <c r="G3487"/>
      <c r="H3487"/>
    </row>
    <row r="3488" spans="5:8">
      <c r="E3488"/>
      <c r="F3488"/>
      <c r="G3488"/>
      <c r="H3488"/>
    </row>
    <row r="3489" spans="5:8">
      <c r="E3489"/>
      <c r="F3489"/>
      <c r="G3489"/>
      <c r="H3489"/>
    </row>
    <row r="3490" spans="5:8">
      <c r="E3490"/>
      <c r="F3490"/>
      <c r="G3490"/>
      <c r="H3490"/>
    </row>
    <row r="3491" spans="5:8">
      <c r="E3491"/>
      <c r="F3491"/>
      <c r="G3491"/>
      <c r="H3491"/>
    </row>
    <row r="3492" spans="5:8">
      <c r="E3492"/>
      <c r="F3492"/>
      <c r="G3492"/>
      <c r="H3492"/>
    </row>
    <row r="3493" spans="5:8">
      <c r="E3493"/>
      <c r="F3493"/>
      <c r="G3493"/>
      <c r="H3493"/>
    </row>
    <row r="3494" spans="5:8">
      <c r="E3494"/>
      <c r="F3494"/>
      <c r="G3494"/>
      <c r="H3494"/>
    </row>
    <row r="3495" spans="5:8">
      <c r="E3495"/>
      <c r="F3495"/>
      <c r="G3495"/>
      <c r="H3495"/>
    </row>
    <row r="3496" spans="5:8">
      <c r="E3496"/>
      <c r="F3496"/>
      <c r="G3496"/>
      <c r="H3496"/>
    </row>
    <row r="3497" spans="5:8">
      <c r="E3497"/>
      <c r="F3497"/>
      <c r="G3497"/>
      <c r="H3497"/>
    </row>
    <row r="3498" spans="5:8">
      <c r="E3498"/>
      <c r="F3498"/>
      <c r="G3498"/>
      <c r="H3498"/>
    </row>
    <row r="3499" spans="5:8">
      <c r="E3499"/>
      <c r="F3499"/>
      <c r="G3499"/>
      <c r="H3499"/>
    </row>
    <row r="3500" spans="5:8">
      <c r="E3500"/>
      <c r="F3500"/>
      <c r="G3500"/>
      <c r="H3500"/>
    </row>
    <row r="3501" spans="5:8">
      <c r="E3501"/>
      <c r="F3501"/>
      <c r="G3501"/>
      <c r="H3501"/>
    </row>
    <row r="3502" spans="5:8">
      <c r="E3502"/>
      <c r="F3502"/>
      <c r="G3502"/>
      <c r="H3502"/>
    </row>
    <row r="3503" spans="5:8">
      <c r="E3503"/>
      <c r="F3503"/>
      <c r="G3503"/>
      <c r="H3503"/>
    </row>
    <row r="3504" spans="5:8">
      <c r="E3504"/>
      <c r="F3504"/>
      <c r="G3504"/>
      <c r="H3504"/>
    </row>
    <row r="3505" spans="5:8">
      <c r="E3505"/>
      <c r="F3505"/>
      <c r="G3505"/>
      <c r="H3505"/>
    </row>
    <row r="3506" spans="5:8">
      <c r="E3506"/>
      <c r="F3506"/>
      <c r="G3506"/>
      <c r="H3506"/>
    </row>
    <row r="3507" spans="5:8">
      <c r="E3507"/>
      <c r="F3507"/>
      <c r="G3507"/>
      <c r="H3507"/>
    </row>
    <row r="3508" spans="5:8">
      <c r="E3508"/>
      <c r="F3508"/>
      <c r="G3508"/>
      <c r="H3508"/>
    </row>
    <row r="3509" spans="5:8">
      <c r="E3509"/>
      <c r="F3509"/>
      <c r="G3509"/>
      <c r="H3509"/>
    </row>
    <row r="3510" spans="5:8">
      <c r="E3510"/>
      <c r="F3510"/>
      <c r="G3510"/>
      <c r="H3510"/>
    </row>
    <row r="3511" spans="5:8">
      <c r="E3511"/>
      <c r="F3511"/>
      <c r="G3511"/>
      <c r="H3511"/>
    </row>
    <row r="3512" spans="5:8">
      <c r="E3512"/>
      <c r="F3512"/>
      <c r="G3512"/>
      <c r="H3512"/>
    </row>
    <row r="3513" spans="5:8">
      <c r="E3513"/>
      <c r="F3513"/>
      <c r="G3513"/>
      <c r="H3513"/>
    </row>
    <row r="3514" spans="5:8">
      <c r="E3514"/>
      <c r="F3514"/>
      <c r="G3514"/>
      <c r="H3514"/>
    </row>
    <row r="3515" spans="5:8">
      <c r="E3515"/>
      <c r="F3515"/>
      <c r="G3515"/>
      <c r="H3515"/>
    </row>
    <row r="3516" spans="5:8">
      <c r="E3516"/>
      <c r="F3516"/>
      <c r="G3516"/>
      <c r="H3516"/>
    </row>
    <row r="3517" spans="5:8">
      <c r="E3517"/>
      <c r="F3517"/>
      <c r="G3517"/>
      <c r="H3517"/>
    </row>
    <row r="3518" spans="5:8">
      <c r="E3518"/>
      <c r="F3518"/>
      <c r="G3518"/>
      <c r="H3518"/>
    </row>
    <row r="3519" spans="5:8">
      <c r="E3519"/>
      <c r="F3519"/>
      <c r="G3519"/>
      <c r="H3519"/>
    </row>
    <row r="3520" spans="5:8">
      <c r="E3520"/>
      <c r="F3520"/>
      <c r="G3520"/>
      <c r="H3520"/>
    </row>
    <row r="3521" spans="5:8">
      <c r="E3521"/>
      <c r="F3521"/>
      <c r="G3521"/>
      <c r="H3521"/>
    </row>
    <row r="3522" spans="5:8">
      <c r="E3522"/>
      <c r="F3522"/>
      <c r="G3522"/>
      <c r="H3522"/>
    </row>
    <row r="3523" spans="5:8">
      <c r="E3523"/>
      <c r="F3523"/>
      <c r="G3523"/>
      <c r="H3523"/>
    </row>
    <row r="3524" spans="5:8">
      <c r="E3524"/>
      <c r="F3524"/>
      <c r="G3524"/>
      <c r="H3524"/>
    </row>
    <row r="3525" spans="5:8">
      <c r="E3525"/>
      <c r="F3525"/>
      <c r="G3525"/>
      <c r="H3525"/>
    </row>
    <row r="3526" spans="5:8">
      <c r="E3526"/>
      <c r="F3526"/>
      <c r="G3526"/>
      <c r="H3526"/>
    </row>
    <row r="3527" spans="5:8">
      <c r="E3527"/>
      <c r="F3527"/>
      <c r="G3527"/>
      <c r="H3527"/>
    </row>
    <row r="3528" spans="5:8">
      <c r="E3528"/>
      <c r="F3528"/>
      <c r="G3528"/>
      <c r="H3528"/>
    </row>
    <row r="3529" spans="5:8">
      <c r="E3529"/>
      <c r="F3529"/>
      <c r="G3529"/>
      <c r="H3529"/>
    </row>
    <row r="3530" spans="5:8">
      <c r="E3530"/>
      <c r="F3530"/>
      <c r="G3530"/>
      <c r="H3530"/>
    </row>
    <row r="3531" spans="5:8">
      <c r="E3531"/>
      <c r="F3531"/>
      <c r="G3531"/>
      <c r="H3531"/>
    </row>
    <row r="3532" spans="5:8">
      <c r="E3532"/>
      <c r="F3532"/>
      <c r="G3532"/>
      <c r="H3532"/>
    </row>
    <row r="3533" spans="5:8">
      <c r="E3533"/>
      <c r="F3533"/>
      <c r="G3533"/>
      <c r="H3533"/>
    </row>
    <row r="3534" spans="5:8">
      <c r="E3534"/>
      <c r="F3534"/>
      <c r="G3534"/>
      <c r="H3534"/>
    </row>
    <row r="3535" spans="5:8">
      <c r="E3535"/>
      <c r="F3535"/>
      <c r="G3535"/>
      <c r="H3535"/>
    </row>
    <row r="3536" spans="5:8">
      <c r="E3536"/>
      <c r="F3536"/>
      <c r="G3536"/>
      <c r="H3536"/>
    </row>
    <row r="3537" spans="5:8">
      <c r="E3537"/>
      <c r="F3537"/>
      <c r="G3537"/>
      <c r="H3537"/>
    </row>
    <row r="3538" spans="5:8">
      <c r="E3538"/>
      <c r="F3538"/>
      <c r="G3538"/>
      <c r="H3538"/>
    </row>
    <row r="3539" spans="5:8">
      <c r="E3539"/>
      <c r="F3539"/>
      <c r="G3539"/>
      <c r="H3539"/>
    </row>
    <row r="3540" spans="5:8">
      <c r="E3540"/>
      <c r="F3540"/>
      <c r="G3540"/>
      <c r="H3540"/>
    </row>
    <row r="3541" spans="5:8">
      <c r="E3541"/>
      <c r="F3541"/>
      <c r="G3541"/>
      <c r="H3541"/>
    </row>
    <row r="3542" spans="5:8">
      <c r="E3542"/>
      <c r="F3542"/>
      <c r="G3542"/>
      <c r="H3542"/>
    </row>
    <row r="3543" spans="5:8">
      <c r="E3543"/>
      <c r="F3543"/>
      <c r="G3543"/>
      <c r="H3543"/>
    </row>
    <row r="3544" spans="5:8">
      <c r="E3544"/>
      <c r="F3544"/>
      <c r="G3544"/>
      <c r="H3544"/>
    </row>
    <row r="3545" spans="5:8">
      <c r="E3545"/>
      <c r="F3545"/>
      <c r="G3545"/>
      <c r="H3545"/>
    </row>
    <row r="3546" spans="5:8">
      <c r="E3546"/>
      <c r="F3546"/>
      <c r="G3546"/>
      <c r="H3546"/>
    </row>
    <row r="3547" spans="5:8">
      <c r="E3547"/>
      <c r="F3547"/>
      <c r="G3547"/>
      <c r="H3547"/>
    </row>
    <row r="3548" spans="5:8">
      <c r="E3548"/>
      <c r="F3548"/>
      <c r="G3548"/>
      <c r="H3548"/>
    </row>
    <row r="3549" spans="5:8">
      <c r="E3549"/>
      <c r="F3549"/>
      <c r="G3549"/>
      <c r="H3549"/>
    </row>
    <row r="3550" spans="5:8">
      <c r="E3550"/>
      <c r="F3550"/>
      <c r="G3550"/>
      <c r="H3550"/>
    </row>
    <row r="3551" spans="5:8">
      <c r="E3551"/>
      <c r="F3551"/>
      <c r="G3551"/>
      <c r="H3551"/>
    </row>
    <row r="3552" spans="5:8">
      <c r="E3552"/>
      <c r="F3552"/>
      <c r="G3552"/>
      <c r="H3552"/>
    </row>
    <row r="3553" spans="5:8">
      <c r="E3553"/>
      <c r="F3553"/>
      <c r="G3553"/>
      <c r="H3553"/>
    </row>
    <row r="3554" spans="5:8">
      <c r="E3554"/>
      <c r="F3554"/>
      <c r="G3554"/>
      <c r="H3554"/>
    </row>
    <row r="3555" spans="5:8">
      <c r="E3555"/>
      <c r="F3555"/>
      <c r="G3555"/>
      <c r="H3555"/>
    </row>
    <row r="3556" spans="5:8">
      <c r="E3556"/>
      <c r="F3556"/>
      <c r="G3556"/>
      <c r="H3556"/>
    </row>
    <row r="3557" spans="5:8">
      <c r="E3557"/>
      <c r="F3557"/>
      <c r="G3557"/>
      <c r="H3557"/>
    </row>
    <row r="3558" spans="5:8">
      <c r="E3558"/>
      <c r="F3558"/>
      <c r="G3558"/>
      <c r="H3558"/>
    </row>
    <row r="3559" spans="5:8">
      <c r="E3559"/>
      <c r="F3559"/>
      <c r="G3559"/>
      <c r="H3559"/>
    </row>
    <row r="3560" spans="5:8">
      <c r="E3560"/>
      <c r="F3560"/>
      <c r="G3560"/>
      <c r="H3560"/>
    </row>
    <row r="3561" spans="5:8">
      <c r="E3561"/>
      <c r="F3561"/>
      <c r="G3561"/>
      <c r="H3561"/>
    </row>
    <row r="3562" spans="5:8">
      <c r="E3562"/>
      <c r="F3562"/>
      <c r="G3562"/>
      <c r="H3562"/>
    </row>
    <row r="3563" spans="5:8">
      <c r="E3563"/>
      <c r="F3563"/>
      <c r="G3563"/>
      <c r="H3563"/>
    </row>
    <row r="3564" spans="5:8">
      <c r="E3564"/>
      <c r="F3564"/>
      <c r="G3564"/>
      <c r="H3564"/>
    </row>
    <row r="3565" spans="5:8">
      <c r="E3565"/>
      <c r="F3565"/>
      <c r="G3565"/>
      <c r="H3565"/>
    </row>
    <row r="3566" spans="5:8">
      <c r="E3566"/>
      <c r="F3566"/>
      <c r="G3566"/>
      <c r="H3566"/>
    </row>
    <row r="3567" spans="5:8">
      <c r="E3567"/>
      <c r="F3567"/>
      <c r="G3567"/>
      <c r="H3567"/>
    </row>
    <row r="3568" spans="5:8">
      <c r="E3568"/>
      <c r="F3568"/>
      <c r="G3568"/>
      <c r="H3568"/>
    </row>
    <row r="3569" spans="5:8">
      <c r="E3569"/>
      <c r="F3569"/>
      <c r="G3569"/>
      <c r="H3569"/>
    </row>
    <row r="3570" spans="5:8">
      <c r="E3570"/>
      <c r="F3570"/>
      <c r="G3570"/>
      <c r="H3570"/>
    </row>
    <row r="3571" spans="5:8">
      <c r="E3571"/>
      <c r="F3571"/>
      <c r="G3571"/>
      <c r="H3571"/>
    </row>
    <row r="3572" spans="5:8">
      <c r="E3572"/>
      <c r="F3572"/>
      <c r="G3572"/>
      <c r="H3572"/>
    </row>
    <row r="3573" spans="5:8">
      <c r="E3573"/>
      <c r="F3573"/>
      <c r="G3573"/>
      <c r="H3573"/>
    </row>
    <row r="3574" spans="5:8">
      <c r="E3574"/>
      <c r="F3574"/>
      <c r="G3574"/>
      <c r="H3574"/>
    </row>
    <row r="3575" spans="5:8">
      <c r="E3575"/>
      <c r="F3575"/>
      <c r="G3575"/>
      <c r="H3575"/>
    </row>
    <row r="3576" spans="5:8">
      <c r="E3576"/>
      <c r="F3576"/>
      <c r="G3576"/>
      <c r="H3576"/>
    </row>
    <row r="3577" spans="5:8">
      <c r="E3577"/>
      <c r="F3577"/>
      <c r="G3577"/>
      <c r="H3577"/>
    </row>
    <row r="3578" spans="5:8">
      <c r="E3578"/>
      <c r="F3578"/>
      <c r="G3578"/>
      <c r="H3578"/>
    </row>
    <row r="3579" spans="5:8">
      <c r="E3579"/>
      <c r="F3579"/>
      <c r="G3579"/>
      <c r="H3579"/>
    </row>
    <row r="3580" spans="5:8">
      <c r="E3580"/>
      <c r="F3580"/>
      <c r="G3580"/>
      <c r="H3580"/>
    </row>
    <row r="3581" spans="5:8">
      <c r="E3581"/>
      <c r="F3581"/>
      <c r="G3581"/>
      <c r="H3581"/>
    </row>
    <row r="3582" spans="5:8">
      <c r="E3582"/>
      <c r="F3582"/>
      <c r="G3582"/>
      <c r="H3582"/>
    </row>
    <row r="3583" spans="5:8">
      <c r="E3583"/>
      <c r="F3583"/>
      <c r="G3583"/>
      <c r="H3583"/>
    </row>
    <row r="3584" spans="5:8">
      <c r="E3584"/>
      <c r="F3584"/>
      <c r="G3584"/>
      <c r="H3584"/>
    </row>
    <row r="3585" spans="5:8">
      <c r="E3585"/>
      <c r="F3585"/>
      <c r="G3585"/>
      <c r="H3585"/>
    </row>
    <row r="3586" spans="5:8">
      <c r="E3586"/>
      <c r="F3586"/>
      <c r="G3586"/>
      <c r="H3586"/>
    </row>
    <row r="3587" spans="5:8">
      <c r="E3587"/>
      <c r="F3587"/>
      <c r="G3587"/>
      <c r="H3587"/>
    </row>
    <row r="3588" spans="5:8">
      <c r="E3588"/>
      <c r="F3588"/>
      <c r="G3588"/>
      <c r="H3588"/>
    </row>
    <row r="3589" spans="5:8">
      <c r="E3589"/>
      <c r="F3589"/>
      <c r="G3589"/>
      <c r="H3589"/>
    </row>
    <row r="3590" spans="5:8">
      <c r="E3590"/>
      <c r="F3590"/>
      <c r="G3590"/>
      <c r="H3590"/>
    </row>
    <row r="3591" spans="5:8">
      <c r="E3591"/>
      <c r="F3591"/>
      <c r="G3591"/>
      <c r="H3591"/>
    </row>
    <row r="3592" spans="5:8">
      <c r="E3592"/>
      <c r="F3592"/>
      <c r="G3592"/>
      <c r="H3592"/>
    </row>
    <row r="3593" spans="5:8">
      <c r="E3593"/>
      <c r="F3593"/>
      <c r="G3593"/>
      <c r="H3593"/>
    </row>
    <row r="3594" spans="5:8">
      <c r="E3594"/>
      <c r="F3594"/>
      <c r="G3594"/>
      <c r="H3594"/>
    </row>
    <row r="3595" spans="5:8">
      <c r="E3595"/>
      <c r="F3595"/>
      <c r="G3595"/>
      <c r="H3595"/>
    </row>
    <row r="3596" spans="5:8">
      <c r="E3596"/>
      <c r="F3596"/>
      <c r="G3596"/>
      <c r="H3596"/>
    </row>
    <row r="3597" spans="5:8">
      <c r="E3597"/>
      <c r="F3597"/>
      <c r="G3597"/>
      <c r="H3597"/>
    </row>
    <row r="3598" spans="5:8">
      <c r="E3598"/>
      <c r="F3598"/>
      <c r="G3598"/>
      <c r="H3598"/>
    </row>
    <row r="3599" spans="5:8">
      <c r="E3599"/>
      <c r="F3599"/>
      <c r="G3599"/>
      <c r="H3599"/>
    </row>
    <row r="3600" spans="5:8">
      <c r="E3600"/>
      <c r="F3600"/>
      <c r="G3600"/>
      <c r="H3600"/>
    </row>
    <row r="3601" spans="5:8">
      <c r="E3601"/>
      <c r="F3601"/>
      <c r="G3601"/>
      <c r="H3601"/>
    </row>
    <row r="3602" spans="5:8">
      <c r="E3602"/>
      <c r="F3602"/>
      <c r="G3602"/>
      <c r="H3602"/>
    </row>
    <row r="3603" spans="5:8">
      <c r="E3603"/>
      <c r="F3603"/>
      <c r="G3603"/>
      <c r="H3603"/>
    </row>
    <row r="3604" spans="5:8">
      <c r="E3604"/>
      <c r="F3604"/>
      <c r="G3604"/>
      <c r="H3604"/>
    </row>
    <row r="3605" spans="5:8">
      <c r="E3605"/>
      <c r="F3605"/>
      <c r="G3605"/>
      <c r="H3605"/>
    </row>
    <row r="3606" spans="5:8">
      <c r="E3606"/>
      <c r="F3606"/>
      <c r="G3606"/>
      <c r="H3606"/>
    </row>
    <row r="3607" spans="5:8">
      <c r="E3607"/>
      <c r="F3607"/>
      <c r="G3607"/>
      <c r="H3607"/>
    </row>
    <row r="3608" spans="5:8">
      <c r="E3608"/>
      <c r="F3608"/>
      <c r="G3608"/>
      <c r="H3608"/>
    </row>
    <row r="3609" spans="5:8">
      <c r="E3609"/>
      <c r="F3609"/>
      <c r="G3609"/>
      <c r="H3609"/>
    </row>
    <row r="3610" spans="5:8">
      <c r="E3610"/>
      <c r="F3610"/>
      <c r="G3610"/>
      <c r="H3610"/>
    </row>
    <row r="3611" spans="5:8">
      <c r="E3611"/>
      <c r="F3611"/>
      <c r="G3611"/>
      <c r="H3611"/>
    </row>
    <row r="3612" spans="5:8">
      <c r="E3612"/>
      <c r="F3612"/>
      <c r="G3612"/>
      <c r="H3612"/>
    </row>
    <row r="3613" spans="5:8">
      <c r="E3613"/>
      <c r="F3613"/>
      <c r="G3613"/>
      <c r="H3613"/>
    </row>
    <row r="3614" spans="5:8">
      <c r="E3614"/>
      <c r="F3614"/>
      <c r="G3614"/>
      <c r="H3614"/>
    </row>
    <row r="3615" spans="5:8">
      <c r="E3615"/>
      <c r="F3615"/>
      <c r="G3615"/>
      <c r="H3615"/>
    </row>
    <row r="3616" spans="5:8">
      <c r="E3616"/>
      <c r="F3616"/>
      <c r="G3616"/>
      <c r="H3616"/>
    </row>
    <row r="3617" spans="5:8">
      <c r="E3617"/>
      <c r="F3617"/>
      <c r="G3617"/>
      <c r="H3617"/>
    </row>
    <row r="3618" spans="5:8">
      <c r="E3618"/>
      <c r="F3618"/>
      <c r="G3618"/>
      <c r="H3618"/>
    </row>
    <row r="3619" spans="5:8">
      <c r="E3619"/>
      <c r="F3619"/>
      <c r="G3619"/>
      <c r="H3619"/>
    </row>
    <row r="3620" spans="5:8">
      <c r="E3620"/>
      <c r="F3620"/>
      <c r="G3620"/>
      <c r="H3620"/>
    </row>
    <row r="3621" spans="5:8">
      <c r="E3621"/>
      <c r="F3621"/>
      <c r="G3621"/>
      <c r="H3621"/>
    </row>
    <row r="3622" spans="5:8">
      <c r="E3622"/>
      <c r="F3622"/>
      <c r="G3622"/>
      <c r="H3622"/>
    </row>
    <row r="3623" spans="5:8">
      <c r="E3623"/>
      <c r="F3623"/>
      <c r="G3623"/>
      <c r="H3623"/>
    </row>
    <row r="3624" spans="5:8">
      <c r="E3624"/>
      <c r="F3624"/>
      <c r="G3624"/>
      <c r="H3624"/>
    </row>
    <row r="3625" spans="5:8">
      <c r="E3625"/>
      <c r="F3625"/>
      <c r="G3625"/>
      <c r="H3625"/>
    </row>
    <row r="3626" spans="5:8">
      <c r="E3626"/>
      <c r="F3626"/>
      <c r="G3626"/>
      <c r="H3626"/>
    </row>
    <row r="3627" spans="5:8">
      <c r="E3627"/>
      <c r="F3627"/>
      <c r="G3627"/>
      <c r="H3627"/>
    </row>
    <row r="3628" spans="5:8">
      <c r="E3628"/>
      <c r="F3628"/>
      <c r="G3628"/>
      <c r="H3628"/>
    </row>
    <row r="3629" spans="5:8">
      <c r="E3629"/>
      <c r="F3629"/>
      <c r="G3629"/>
      <c r="H3629"/>
    </row>
    <row r="3630" spans="5:8">
      <c r="E3630"/>
      <c r="F3630"/>
      <c r="G3630"/>
      <c r="H3630"/>
    </row>
    <row r="3631" spans="5:8">
      <c r="E3631"/>
      <c r="F3631"/>
      <c r="G3631"/>
      <c r="H3631"/>
    </row>
    <row r="3632" spans="5:8">
      <c r="E3632"/>
      <c r="F3632"/>
      <c r="G3632"/>
      <c r="H3632"/>
    </row>
    <row r="3633" spans="5:8">
      <c r="E3633"/>
      <c r="F3633"/>
      <c r="G3633"/>
      <c r="H3633"/>
    </row>
    <row r="3634" spans="5:8">
      <c r="E3634"/>
      <c r="F3634"/>
      <c r="G3634"/>
      <c r="H3634"/>
    </row>
    <row r="3635" spans="5:8">
      <c r="E3635"/>
      <c r="F3635"/>
      <c r="G3635"/>
      <c r="H3635"/>
    </row>
    <row r="3636" spans="5:8">
      <c r="E3636"/>
      <c r="F3636"/>
      <c r="G3636"/>
      <c r="H3636"/>
    </row>
    <row r="3637" spans="5:8">
      <c r="E3637"/>
      <c r="F3637"/>
      <c r="G3637"/>
      <c r="H3637"/>
    </row>
    <row r="3638" spans="5:8">
      <c r="E3638"/>
      <c r="F3638"/>
      <c r="G3638"/>
      <c r="H3638"/>
    </row>
    <row r="3639" spans="5:8">
      <c r="E3639"/>
      <c r="F3639"/>
      <c r="G3639"/>
      <c r="H3639"/>
    </row>
    <row r="3640" spans="5:8">
      <c r="E3640"/>
      <c r="F3640"/>
      <c r="G3640"/>
      <c r="H3640"/>
    </row>
    <row r="3641" spans="5:8">
      <c r="E3641"/>
      <c r="F3641"/>
      <c r="G3641"/>
      <c r="H3641"/>
    </row>
    <row r="3642" spans="5:8">
      <c r="E3642"/>
      <c r="F3642"/>
      <c r="G3642"/>
      <c r="H3642"/>
    </row>
    <row r="3643" spans="5:8">
      <c r="E3643"/>
      <c r="F3643"/>
      <c r="G3643"/>
      <c r="H3643"/>
    </row>
    <row r="3644" spans="5:8">
      <c r="E3644"/>
      <c r="F3644"/>
      <c r="G3644"/>
      <c r="H3644"/>
    </row>
    <row r="3645" spans="5:8">
      <c r="E3645"/>
      <c r="F3645"/>
      <c r="G3645"/>
      <c r="H3645"/>
    </row>
    <row r="3646" spans="5:8">
      <c r="E3646"/>
      <c r="F3646"/>
      <c r="G3646"/>
      <c r="H3646"/>
    </row>
    <row r="3647" spans="5:8">
      <c r="E3647"/>
      <c r="F3647"/>
      <c r="G3647"/>
      <c r="H3647"/>
    </row>
    <row r="3648" spans="5:8">
      <c r="E3648"/>
      <c r="F3648"/>
      <c r="G3648"/>
      <c r="H3648"/>
    </row>
    <row r="3649" spans="5:8">
      <c r="E3649"/>
      <c r="F3649"/>
      <c r="G3649"/>
      <c r="H3649"/>
    </row>
    <row r="3650" spans="5:8">
      <c r="E3650"/>
      <c r="F3650"/>
      <c r="G3650"/>
      <c r="H3650"/>
    </row>
    <row r="3651" spans="5:8">
      <c r="E3651"/>
      <c r="F3651"/>
      <c r="G3651"/>
      <c r="H3651"/>
    </row>
    <row r="3652" spans="5:8">
      <c r="E3652"/>
      <c r="F3652"/>
      <c r="G3652"/>
      <c r="H3652"/>
    </row>
    <row r="3653" spans="5:8">
      <c r="E3653"/>
      <c r="F3653"/>
      <c r="G3653"/>
      <c r="H3653"/>
    </row>
    <row r="3654" spans="5:8">
      <c r="E3654"/>
      <c r="F3654"/>
      <c r="G3654"/>
      <c r="H3654"/>
    </row>
    <row r="3655" spans="5:8">
      <c r="E3655"/>
      <c r="F3655"/>
      <c r="G3655"/>
      <c r="H3655"/>
    </row>
    <row r="3656" spans="5:8">
      <c r="E3656"/>
      <c r="F3656"/>
      <c r="G3656"/>
      <c r="H3656"/>
    </row>
    <row r="3657" spans="5:8">
      <c r="E3657"/>
      <c r="F3657"/>
      <c r="G3657"/>
      <c r="H3657"/>
    </row>
    <row r="3658" spans="5:8">
      <c r="E3658"/>
      <c r="F3658"/>
      <c r="G3658"/>
      <c r="H3658"/>
    </row>
    <row r="3659" spans="5:8">
      <c r="E3659"/>
      <c r="F3659"/>
      <c r="G3659"/>
      <c r="H3659"/>
    </row>
    <row r="3660" spans="5:8">
      <c r="E3660"/>
      <c r="F3660"/>
      <c r="G3660"/>
      <c r="H3660"/>
    </row>
    <row r="3661" spans="5:8">
      <c r="E3661"/>
      <c r="F3661"/>
      <c r="G3661"/>
      <c r="H3661"/>
    </row>
    <row r="3662" spans="5:8">
      <c r="E3662"/>
      <c r="F3662"/>
      <c r="G3662"/>
      <c r="H3662"/>
    </row>
    <row r="3663" spans="5:8">
      <c r="E3663"/>
      <c r="F3663"/>
      <c r="G3663"/>
      <c r="H3663"/>
    </row>
    <row r="3664" spans="5:8">
      <c r="E3664"/>
      <c r="F3664"/>
      <c r="G3664"/>
      <c r="H3664"/>
    </row>
    <row r="3665" spans="5:8">
      <c r="E3665"/>
      <c r="F3665"/>
      <c r="G3665"/>
      <c r="H3665"/>
    </row>
    <row r="3666" spans="5:8">
      <c r="E3666"/>
      <c r="F3666"/>
      <c r="G3666"/>
      <c r="H3666"/>
    </row>
    <row r="3667" spans="5:8">
      <c r="E3667"/>
      <c r="F3667"/>
      <c r="G3667"/>
      <c r="H3667"/>
    </row>
    <row r="3668" spans="5:8">
      <c r="E3668"/>
      <c r="F3668"/>
      <c r="G3668"/>
      <c r="H3668"/>
    </row>
    <row r="3669" spans="5:8">
      <c r="E3669"/>
      <c r="F3669"/>
      <c r="G3669"/>
      <c r="H3669"/>
    </row>
    <row r="3670" spans="5:8">
      <c r="E3670"/>
      <c r="F3670"/>
      <c r="G3670"/>
      <c r="H3670"/>
    </row>
    <row r="3671" spans="5:8">
      <c r="E3671"/>
      <c r="F3671"/>
      <c r="G3671"/>
      <c r="H3671"/>
    </row>
    <row r="3672" spans="5:8">
      <c r="E3672"/>
      <c r="F3672"/>
      <c r="G3672"/>
      <c r="H3672"/>
    </row>
    <row r="3673" spans="5:8">
      <c r="E3673"/>
      <c r="F3673"/>
      <c r="G3673"/>
      <c r="H3673"/>
    </row>
    <row r="3674" spans="5:8">
      <c r="E3674"/>
      <c r="F3674"/>
      <c r="G3674"/>
      <c r="H3674"/>
    </row>
    <row r="3675" spans="5:8">
      <c r="E3675"/>
      <c r="F3675"/>
      <c r="G3675"/>
      <c r="H3675"/>
    </row>
    <row r="3676" spans="5:8">
      <c r="E3676"/>
      <c r="F3676"/>
      <c r="G3676"/>
      <c r="H3676"/>
    </row>
    <row r="3677" spans="5:8">
      <c r="E3677"/>
      <c r="F3677"/>
      <c r="G3677"/>
      <c r="H3677"/>
    </row>
    <row r="3678" spans="5:8">
      <c r="E3678"/>
      <c r="F3678"/>
      <c r="G3678"/>
      <c r="H3678"/>
    </row>
    <row r="3679" spans="5:8">
      <c r="E3679"/>
      <c r="F3679"/>
      <c r="G3679"/>
      <c r="H3679"/>
    </row>
    <row r="3680" spans="5:8">
      <c r="E3680"/>
      <c r="F3680"/>
      <c r="G3680"/>
      <c r="H3680"/>
    </row>
    <row r="3681" spans="5:8">
      <c r="E3681"/>
      <c r="F3681"/>
      <c r="G3681"/>
      <c r="H3681"/>
    </row>
    <row r="3682" spans="5:8">
      <c r="E3682"/>
      <c r="F3682"/>
      <c r="G3682"/>
      <c r="H3682"/>
    </row>
    <row r="3683" spans="5:8">
      <c r="E3683"/>
      <c r="F3683"/>
      <c r="G3683"/>
      <c r="H3683"/>
    </row>
    <row r="3684" spans="5:8">
      <c r="E3684"/>
      <c r="F3684"/>
      <c r="G3684"/>
      <c r="H3684"/>
    </row>
    <row r="3685" spans="5:8">
      <c r="E3685"/>
      <c r="F3685"/>
      <c r="G3685"/>
      <c r="H3685"/>
    </row>
    <row r="3686" spans="5:8">
      <c r="E3686"/>
      <c r="F3686"/>
      <c r="G3686"/>
      <c r="H3686"/>
    </row>
    <row r="3687" spans="5:8">
      <c r="E3687"/>
      <c r="F3687"/>
      <c r="G3687"/>
      <c r="H3687"/>
    </row>
    <row r="3688" spans="5:8">
      <c r="E3688"/>
      <c r="F3688"/>
      <c r="G3688"/>
      <c r="H3688"/>
    </row>
    <row r="3689" spans="5:8">
      <c r="E3689"/>
      <c r="F3689"/>
      <c r="G3689"/>
      <c r="H3689"/>
    </row>
    <row r="3690" spans="5:8">
      <c r="E3690"/>
      <c r="F3690"/>
      <c r="G3690"/>
      <c r="H3690"/>
    </row>
    <row r="3691" spans="5:8">
      <c r="E3691"/>
      <c r="F3691"/>
      <c r="G3691"/>
      <c r="H3691"/>
    </row>
    <row r="3692" spans="5:8">
      <c r="E3692"/>
      <c r="F3692"/>
      <c r="G3692"/>
      <c r="H3692"/>
    </row>
    <row r="3693" spans="5:8">
      <c r="E3693"/>
      <c r="F3693"/>
      <c r="G3693"/>
      <c r="H3693"/>
    </row>
    <row r="3694" spans="5:8">
      <c r="E3694"/>
      <c r="F3694"/>
      <c r="G3694"/>
      <c r="H3694"/>
    </row>
    <row r="3695" spans="5:8">
      <c r="E3695"/>
      <c r="F3695"/>
      <c r="G3695"/>
      <c r="H3695"/>
    </row>
    <row r="3696" spans="5:8">
      <c r="E3696"/>
      <c r="F3696"/>
      <c r="G3696"/>
      <c r="H3696"/>
    </row>
    <row r="3697" spans="5:8">
      <c r="E3697"/>
      <c r="F3697"/>
      <c r="G3697"/>
      <c r="H3697"/>
    </row>
    <row r="3698" spans="5:8">
      <c r="E3698"/>
      <c r="F3698"/>
      <c r="G3698"/>
      <c r="H3698"/>
    </row>
    <row r="3699" spans="5:8">
      <c r="E3699"/>
      <c r="F3699"/>
      <c r="G3699"/>
      <c r="H3699"/>
    </row>
    <row r="3700" spans="5:8">
      <c r="E3700"/>
      <c r="F3700"/>
      <c r="G3700"/>
      <c r="H3700"/>
    </row>
    <row r="3701" spans="5:8">
      <c r="E3701"/>
      <c r="F3701"/>
      <c r="G3701"/>
      <c r="H3701"/>
    </row>
    <row r="3702" spans="5:8">
      <c r="E3702"/>
      <c r="F3702"/>
      <c r="G3702"/>
      <c r="H3702"/>
    </row>
    <row r="3703" spans="5:8">
      <c r="E3703"/>
      <c r="F3703"/>
      <c r="G3703"/>
      <c r="H3703"/>
    </row>
    <row r="3704" spans="5:8">
      <c r="E3704"/>
      <c r="F3704"/>
      <c r="G3704"/>
      <c r="H3704"/>
    </row>
    <row r="3705" spans="5:8">
      <c r="E3705"/>
      <c r="F3705"/>
      <c r="G3705"/>
      <c r="H3705"/>
    </row>
    <row r="3706" spans="5:8">
      <c r="E3706"/>
      <c r="F3706"/>
      <c r="G3706"/>
      <c r="H3706"/>
    </row>
    <row r="3707" spans="5:8">
      <c r="E3707"/>
      <c r="F3707"/>
      <c r="G3707"/>
      <c r="H3707"/>
    </row>
    <row r="3708" spans="5:8">
      <c r="E3708"/>
      <c r="F3708"/>
      <c r="G3708"/>
      <c r="H3708"/>
    </row>
    <row r="3709" spans="5:8">
      <c r="E3709"/>
      <c r="F3709"/>
      <c r="G3709"/>
      <c r="H3709"/>
    </row>
    <row r="3710" spans="5:8">
      <c r="E3710"/>
      <c r="F3710"/>
      <c r="G3710"/>
      <c r="H3710"/>
    </row>
    <row r="3711" spans="5:8">
      <c r="E3711"/>
      <c r="F3711"/>
      <c r="G3711"/>
      <c r="H3711"/>
    </row>
    <row r="3712" spans="5:8">
      <c r="E3712"/>
      <c r="F3712"/>
      <c r="G3712"/>
      <c r="H3712"/>
    </row>
    <row r="3713" spans="5:8">
      <c r="E3713"/>
      <c r="F3713"/>
      <c r="G3713"/>
      <c r="H3713"/>
    </row>
    <row r="3714" spans="5:8">
      <c r="E3714"/>
      <c r="F3714"/>
      <c r="G3714"/>
      <c r="H3714"/>
    </row>
    <row r="3715" spans="5:8">
      <c r="E3715"/>
      <c r="F3715"/>
      <c r="G3715"/>
      <c r="H3715"/>
    </row>
    <row r="3716" spans="5:8">
      <c r="E3716"/>
      <c r="F3716"/>
      <c r="G3716"/>
      <c r="H3716"/>
    </row>
    <row r="3717" spans="5:8">
      <c r="E3717"/>
      <c r="F3717"/>
      <c r="G3717"/>
      <c r="H3717"/>
    </row>
    <row r="3718" spans="5:8">
      <c r="E3718"/>
      <c r="F3718"/>
      <c r="G3718"/>
      <c r="H3718"/>
    </row>
    <row r="3719" spans="5:8">
      <c r="E3719"/>
      <c r="F3719"/>
      <c r="G3719"/>
      <c r="H3719"/>
    </row>
    <row r="3720" spans="5:8">
      <c r="E3720"/>
      <c r="F3720"/>
      <c r="G3720"/>
      <c r="H3720"/>
    </row>
    <row r="3721" spans="5:8">
      <c r="E3721"/>
      <c r="F3721"/>
      <c r="G3721"/>
      <c r="H3721"/>
    </row>
    <row r="3722" spans="5:8">
      <c r="E3722"/>
      <c r="F3722"/>
      <c r="G3722"/>
      <c r="H3722"/>
    </row>
    <row r="3723" spans="5:8">
      <c r="E3723"/>
      <c r="F3723"/>
      <c r="G3723"/>
      <c r="H3723"/>
    </row>
    <row r="3724" spans="5:8">
      <c r="E3724"/>
      <c r="F3724"/>
      <c r="G3724"/>
      <c r="H3724"/>
    </row>
    <row r="3725" spans="5:8">
      <c r="E3725"/>
      <c r="F3725"/>
      <c r="G3725"/>
      <c r="H3725"/>
    </row>
    <row r="3726" spans="5:8">
      <c r="E3726"/>
      <c r="F3726"/>
      <c r="G3726"/>
      <c r="H3726"/>
    </row>
    <row r="3727" spans="5:8">
      <c r="E3727"/>
      <c r="F3727"/>
      <c r="G3727"/>
      <c r="H3727"/>
    </row>
    <row r="3728" spans="5:8">
      <c r="E3728"/>
      <c r="F3728"/>
      <c r="G3728"/>
      <c r="H3728"/>
    </row>
    <row r="3729" spans="5:8">
      <c r="E3729"/>
      <c r="F3729"/>
      <c r="G3729"/>
      <c r="H3729"/>
    </row>
    <row r="3730" spans="5:8">
      <c r="E3730"/>
      <c r="F3730"/>
      <c r="G3730"/>
      <c r="H3730"/>
    </row>
    <row r="3731" spans="5:8">
      <c r="E3731"/>
      <c r="F3731"/>
      <c r="G3731"/>
      <c r="H3731"/>
    </row>
    <row r="3732" spans="5:8">
      <c r="E3732"/>
      <c r="F3732"/>
      <c r="G3732"/>
      <c r="H3732"/>
    </row>
    <row r="3733" spans="5:8">
      <c r="E3733"/>
      <c r="F3733"/>
      <c r="G3733"/>
      <c r="H3733"/>
    </row>
    <row r="3734" spans="5:8">
      <c r="E3734"/>
      <c r="F3734"/>
      <c r="G3734"/>
      <c r="H3734"/>
    </row>
    <row r="3735" spans="5:8">
      <c r="E3735"/>
      <c r="F3735"/>
      <c r="G3735"/>
      <c r="H3735"/>
    </row>
    <row r="3736" spans="5:8">
      <c r="E3736"/>
      <c r="F3736"/>
      <c r="G3736"/>
      <c r="H3736"/>
    </row>
    <row r="3737" spans="5:8">
      <c r="E3737"/>
      <c r="F3737"/>
      <c r="G3737"/>
      <c r="H3737"/>
    </row>
    <row r="3738" spans="5:8">
      <c r="E3738"/>
      <c r="F3738"/>
      <c r="G3738"/>
      <c r="H3738"/>
    </row>
    <row r="3739" spans="5:8">
      <c r="E3739"/>
      <c r="F3739"/>
      <c r="G3739"/>
      <c r="H3739"/>
    </row>
    <row r="3740" spans="5:8">
      <c r="E3740"/>
      <c r="F3740"/>
      <c r="G3740"/>
      <c r="H3740"/>
    </row>
    <row r="3741" spans="5:8">
      <c r="E3741"/>
      <c r="F3741"/>
      <c r="G3741"/>
      <c r="H3741"/>
    </row>
    <row r="3742" spans="5:8">
      <c r="E3742"/>
      <c r="F3742"/>
      <c r="G3742"/>
      <c r="H3742"/>
    </row>
    <row r="3743" spans="5:8">
      <c r="E3743"/>
      <c r="F3743"/>
      <c r="G3743"/>
      <c r="H3743"/>
    </row>
    <row r="3744" spans="5:8">
      <c r="E3744"/>
      <c r="F3744"/>
      <c r="G3744"/>
      <c r="H3744"/>
    </row>
    <row r="3745" spans="5:8">
      <c r="E3745"/>
      <c r="F3745"/>
      <c r="G3745"/>
      <c r="H3745"/>
    </row>
    <row r="3746" spans="5:8">
      <c r="E3746"/>
      <c r="F3746"/>
      <c r="G3746"/>
      <c r="H3746"/>
    </row>
    <row r="3747" spans="5:8">
      <c r="E3747"/>
      <c r="F3747"/>
      <c r="G3747"/>
      <c r="H3747"/>
    </row>
    <row r="3748" spans="5:8">
      <c r="E3748"/>
      <c r="F3748"/>
      <c r="G3748"/>
      <c r="H3748"/>
    </row>
    <row r="3749" spans="5:8">
      <c r="E3749"/>
      <c r="F3749"/>
      <c r="G3749"/>
      <c r="H3749"/>
    </row>
    <row r="3750" spans="5:8">
      <c r="E3750"/>
      <c r="F3750"/>
      <c r="G3750"/>
      <c r="H3750"/>
    </row>
    <row r="3751" spans="5:8">
      <c r="E3751"/>
      <c r="F3751"/>
      <c r="G3751"/>
      <c r="H3751"/>
    </row>
    <row r="3752" spans="5:8">
      <c r="E3752"/>
      <c r="F3752"/>
      <c r="G3752"/>
      <c r="H3752"/>
    </row>
    <row r="3753" spans="5:8">
      <c r="E3753"/>
      <c r="F3753"/>
      <c r="G3753"/>
      <c r="H3753"/>
    </row>
    <row r="3754" spans="5:8">
      <c r="E3754"/>
      <c r="F3754"/>
      <c r="G3754"/>
      <c r="H3754"/>
    </row>
    <row r="3755" spans="5:8">
      <c r="E3755"/>
      <c r="F3755"/>
      <c r="G3755"/>
      <c r="H3755"/>
    </row>
    <row r="3756" spans="5:8">
      <c r="E3756"/>
      <c r="F3756"/>
      <c r="G3756"/>
      <c r="H3756"/>
    </row>
    <row r="3757" spans="5:8">
      <c r="E3757"/>
      <c r="F3757"/>
      <c r="G3757"/>
      <c r="H3757"/>
    </row>
    <row r="3758" spans="5:8">
      <c r="E3758"/>
      <c r="F3758"/>
      <c r="G3758"/>
      <c r="H3758"/>
    </row>
    <row r="3759" spans="5:8">
      <c r="E3759"/>
      <c r="F3759"/>
      <c r="G3759"/>
      <c r="H3759"/>
    </row>
    <row r="3760" spans="5:8">
      <c r="E3760"/>
      <c r="F3760"/>
      <c r="G3760"/>
      <c r="H3760"/>
    </row>
    <row r="3761" spans="5:8">
      <c r="E3761"/>
      <c r="F3761"/>
      <c r="G3761"/>
      <c r="H3761"/>
    </row>
    <row r="3762" spans="5:8">
      <c r="E3762"/>
      <c r="F3762"/>
      <c r="G3762"/>
      <c r="H3762"/>
    </row>
    <row r="3763" spans="5:8">
      <c r="E3763"/>
      <c r="F3763"/>
      <c r="G3763"/>
      <c r="H3763"/>
    </row>
    <row r="3764" spans="5:8">
      <c r="E3764"/>
      <c r="F3764"/>
      <c r="G3764"/>
      <c r="H3764"/>
    </row>
    <row r="3765" spans="5:8">
      <c r="E3765"/>
      <c r="F3765"/>
      <c r="G3765"/>
      <c r="H3765"/>
    </row>
    <row r="3766" spans="5:8">
      <c r="E3766"/>
      <c r="F3766"/>
      <c r="G3766"/>
      <c r="H3766"/>
    </row>
    <row r="3767" spans="5:8">
      <c r="E3767"/>
      <c r="F3767"/>
      <c r="G3767"/>
      <c r="H3767"/>
    </row>
    <row r="3768" spans="5:8">
      <c r="E3768"/>
      <c r="F3768"/>
      <c r="G3768"/>
      <c r="H3768"/>
    </row>
    <row r="3769" spans="5:8">
      <c r="E3769"/>
      <c r="F3769"/>
      <c r="G3769"/>
      <c r="H3769"/>
    </row>
    <row r="3770" spans="5:8">
      <c r="E3770"/>
      <c r="F3770"/>
      <c r="G3770"/>
      <c r="H3770"/>
    </row>
    <row r="3771" spans="5:8">
      <c r="E3771"/>
      <c r="F3771"/>
      <c r="G3771"/>
      <c r="H3771"/>
    </row>
    <row r="3772" spans="5:8">
      <c r="E3772"/>
      <c r="F3772"/>
      <c r="G3772"/>
      <c r="H3772"/>
    </row>
    <row r="3773" spans="5:8">
      <c r="E3773"/>
      <c r="F3773"/>
      <c r="G3773"/>
      <c r="H3773"/>
    </row>
    <row r="3774" spans="5:8">
      <c r="E3774"/>
      <c r="F3774"/>
      <c r="G3774"/>
      <c r="H3774"/>
    </row>
    <row r="3775" spans="5:8">
      <c r="E3775"/>
      <c r="F3775"/>
      <c r="G3775"/>
      <c r="H3775"/>
    </row>
    <row r="3776" spans="5:8">
      <c r="E3776"/>
      <c r="F3776"/>
      <c r="G3776"/>
      <c r="H3776"/>
    </row>
    <row r="3777" spans="5:8">
      <c r="E3777"/>
      <c r="F3777"/>
      <c r="G3777"/>
      <c r="H3777"/>
    </row>
    <row r="3778" spans="5:8">
      <c r="E3778"/>
      <c r="F3778"/>
      <c r="G3778"/>
      <c r="H3778"/>
    </row>
    <row r="3779" spans="5:8">
      <c r="E3779"/>
      <c r="F3779"/>
      <c r="G3779"/>
      <c r="H3779"/>
    </row>
    <row r="3780" spans="5:8">
      <c r="E3780"/>
      <c r="F3780"/>
      <c r="G3780"/>
      <c r="H3780"/>
    </row>
    <row r="3781" spans="5:8">
      <c r="E3781"/>
      <c r="F3781"/>
      <c r="G3781"/>
      <c r="H3781"/>
    </row>
    <row r="3782" spans="5:8">
      <c r="E3782"/>
      <c r="F3782"/>
      <c r="G3782"/>
      <c r="H3782"/>
    </row>
    <row r="3783" spans="5:8">
      <c r="E3783"/>
      <c r="F3783"/>
      <c r="G3783"/>
      <c r="H3783"/>
    </row>
    <row r="3784" spans="5:8">
      <c r="E3784"/>
      <c r="F3784"/>
      <c r="G3784"/>
      <c r="H3784"/>
    </row>
    <row r="3785" spans="5:8">
      <c r="E3785"/>
      <c r="F3785"/>
      <c r="G3785"/>
      <c r="H3785"/>
    </row>
    <row r="3786" spans="5:8">
      <c r="E3786"/>
      <c r="F3786"/>
      <c r="G3786"/>
      <c r="H3786"/>
    </row>
    <row r="3787" spans="5:8">
      <c r="E3787"/>
      <c r="F3787"/>
      <c r="G3787"/>
      <c r="H3787"/>
    </row>
    <row r="3788" spans="5:8">
      <c r="E3788"/>
      <c r="F3788"/>
      <c r="G3788"/>
      <c r="H3788"/>
    </row>
    <row r="3789" spans="5:8">
      <c r="E3789"/>
      <c r="F3789"/>
      <c r="G3789"/>
      <c r="H3789"/>
    </row>
    <row r="3790" spans="5:8">
      <c r="E3790"/>
      <c r="F3790"/>
      <c r="G3790"/>
      <c r="H3790"/>
    </row>
    <row r="3791" spans="5:8">
      <c r="E3791"/>
      <c r="F3791"/>
      <c r="G3791"/>
      <c r="H3791"/>
    </row>
    <row r="3792" spans="5:8">
      <c r="E3792"/>
      <c r="F3792"/>
      <c r="G3792"/>
      <c r="H3792"/>
    </row>
    <row r="3793" spans="5:8">
      <c r="E3793"/>
      <c r="F3793"/>
      <c r="G3793"/>
      <c r="H3793"/>
    </row>
    <row r="3794" spans="5:8">
      <c r="E3794"/>
      <c r="F3794"/>
      <c r="G3794"/>
      <c r="H3794"/>
    </row>
    <row r="3795" spans="5:8">
      <c r="E3795"/>
      <c r="F3795"/>
      <c r="G3795"/>
      <c r="H3795"/>
    </row>
    <row r="3796" spans="5:8">
      <c r="E3796"/>
      <c r="F3796"/>
      <c r="G3796"/>
      <c r="H3796"/>
    </row>
    <row r="3797" spans="5:8">
      <c r="E3797"/>
      <c r="F3797"/>
      <c r="G3797"/>
      <c r="H3797"/>
    </row>
    <row r="3798" spans="5:8">
      <c r="E3798"/>
      <c r="F3798"/>
      <c r="G3798"/>
      <c r="H3798"/>
    </row>
    <row r="3799" spans="5:8">
      <c r="E3799"/>
      <c r="F3799"/>
      <c r="G3799"/>
      <c r="H3799"/>
    </row>
    <row r="3800" spans="5:8">
      <c r="E3800"/>
      <c r="F3800"/>
      <c r="G3800"/>
      <c r="H3800"/>
    </row>
    <row r="3801" spans="5:8">
      <c r="E3801"/>
      <c r="F3801"/>
      <c r="G3801"/>
      <c r="H3801"/>
    </row>
    <row r="3802" spans="5:8">
      <c r="E3802"/>
      <c r="F3802"/>
      <c r="G3802"/>
      <c r="H3802"/>
    </row>
    <row r="3803" spans="5:8">
      <c r="E3803"/>
      <c r="F3803"/>
      <c r="G3803"/>
      <c r="H3803"/>
    </row>
    <row r="3804" spans="5:8">
      <c r="E3804"/>
      <c r="F3804"/>
      <c r="G3804"/>
      <c r="H3804"/>
    </row>
    <row r="3805" spans="5:8">
      <c r="E3805"/>
      <c r="F3805"/>
      <c r="G3805"/>
      <c r="H3805"/>
    </row>
    <row r="3806" spans="5:8">
      <c r="E3806"/>
      <c r="F3806"/>
      <c r="G3806"/>
      <c r="H3806"/>
    </row>
    <row r="3807" spans="5:8">
      <c r="E3807"/>
      <c r="F3807"/>
      <c r="G3807"/>
      <c r="H3807"/>
    </row>
    <row r="3808" spans="5:8">
      <c r="E3808"/>
      <c r="F3808"/>
      <c r="G3808"/>
      <c r="H3808"/>
    </row>
    <row r="3809" spans="5:8">
      <c r="E3809"/>
      <c r="F3809"/>
      <c r="G3809"/>
      <c r="H3809"/>
    </row>
    <row r="3810" spans="5:8">
      <c r="E3810"/>
      <c r="F3810"/>
      <c r="G3810"/>
      <c r="H3810"/>
    </row>
    <row r="3811" spans="5:8">
      <c r="E3811"/>
      <c r="F3811"/>
      <c r="G3811"/>
      <c r="H3811"/>
    </row>
    <row r="3812" spans="5:8">
      <c r="E3812"/>
      <c r="F3812"/>
      <c r="G3812"/>
      <c r="H3812"/>
    </row>
    <row r="3813" spans="5:8">
      <c r="E3813"/>
      <c r="F3813"/>
      <c r="G3813"/>
      <c r="H3813"/>
    </row>
    <row r="3814" spans="5:8">
      <c r="E3814"/>
      <c r="F3814"/>
      <c r="G3814"/>
      <c r="H3814"/>
    </row>
    <row r="3815" spans="5:8">
      <c r="E3815"/>
      <c r="F3815"/>
      <c r="G3815"/>
      <c r="H3815"/>
    </row>
    <row r="3816" spans="5:8">
      <c r="E3816"/>
      <c r="F3816"/>
      <c r="G3816"/>
      <c r="H3816"/>
    </row>
    <row r="3817" spans="5:8">
      <c r="E3817"/>
      <c r="F3817"/>
      <c r="G3817"/>
      <c r="H3817"/>
    </row>
    <row r="3818" spans="5:8">
      <c r="E3818"/>
      <c r="F3818"/>
      <c r="G3818"/>
      <c r="H3818"/>
    </row>
    <row r="3819" spans="5:8">
      <c r="E3819"/>
      <c r="F3819"/>
      <c r="G3819"/>
      <c r="H3819"/>
    </row>
    <row r="3820" spans="5:8">
      <c r="E3820"/>
      <c r="F3820"/>
      <c r="G3820"/>
      <c r="H3820"/>
    </row>
    <row r="3821" spans="5:8">
      <c r="E3821"/>
      <c r="F3821"/>
      <c r="G3821"/>
      <c r="H3821"/>
    </row>
    <row r="3822" spans="5:8">
      <c r="E3822"/>
      <c r="F3822"/>
      <c r="G3822"/>
      <c r="H3822"/>
    </row>
    <row r="3823" spans="5:8">
      <c r="E3823"/>
      <c r="F3823"/>
      <c r="G3823"/>
      <c r="H3823"/>
    </row>
    <row r="3824" spans="5:8">
      <c r="E3824"/>
      <c r="F3824"/>
      <c r="G3824"/>
      <c r="H3824"/>
    </row>
    <row r="3825" spans="5:8">
      <c r="E3825"/>
      <c r="F3825"/>
      <c r="G3825"/>
      <c r="H3825"/>
    </row>
    <row r="3826" spans="5:8">
      <c r="E3826"/>
      <c r="F3826"/>
      <c r="G3826"/>
      <c r="H3826"/>
    </row>
    <row r="3827" spans="5:8">
      <c r="E3827"/>
      <c r="F3827"/>
      <c r="G3827"/>
      <c r="H3827"/>
    </row>
    <row r="3828" spans="5:8">
      <c r="E3828"/>
      <c r="F3828"/>
      <c r="G3828"/>
      <c r="H3828"/>
    </row>
    <row r="3829" spans="5:8">
      <c r="E3829"/>
      <c r="F3829"/>
      <c r="G3829"/>
      <c r="H3829"/>
    </row>
    <row r="3830" spans="5:8">
      <c r="E3830"/>
      <c r="F3830"/>
      <c r="G3830"/>
      <c r="H3830"/>
    </row>
    <row r="3831" spans="5:8">
      <c r="E3831"/>
      <c r="F3831"/>
      <c r="G3831"/>
      <c r="H3831"/>
    </row>
    <row r="3832" spans="5:8">
      <c r="E3832"/>
      <c r="F3832"/>
      <c r="G3832"/>
      <c r="H3832"/>
    </row>
    <row r="3833" spans="5:8">
      <c r="E3833"/>
      <c r="F3833"/>
      <c r="G3833"/>
      <c r="H3833"/>
    </row>
    <row r="3834" spans="5:8">
      <c r="E3834"/>
      <c r="F3834"/>
      <c r="G3834"/>
      <c r="H3834"/>
    </row>
    <row r="3835" spans="5:8">
      <c r="E3835"/>
      <c r="F3835"/>
      <c r="G3835"/>
      <c r="H3835"/>
    </row>
    <row r="3836" spans="5:8">
      <c r="E3836"/>
      <c r="F3836"/>
      <c r="G3836"/>
      <c r="H3836"/>
    </row>
    <row r="3837" spans="5:8">
      <c r="E3837"/>
      <c r="F3837"/>
      <c r="G3837"/>
      <c r="H3837"/>
    </row>
    <row r="3838" spans="5:8">
      <c r="E3838"/>
      <c r="F3838"/>
      <c r="G3838"/>
      <c r="H3838"/>
    </row>
    <row r="3839" spans="5:8">
      <c r="E3839"/>
      <c r="F3839"/>
      <c r="G3839"/>
      <c r="H3839"/>
    </row>
    <row r="3840" spans="5:8">
      <c r="E3840"/>
      <c r="F3840"/>
      <c r="G3840"/>
      <c r="H3840"/>
    </row>
    <row r="3841" spans="5:8">
      <c r="E3841"/>
      <c r="F3841"/>
      <c r="G3841"/>
      <c r="H3841"/>
    </row>
    <row r="3842" spans="5:8">
      <c r="E3842"/>
      <c r="F3842"/>
      <c r="G3842"/>
      <c r="H3842"/>
    </row>
    <row r="3843" spans="5:8">
      <c r="E3843"/>
      <c r="F3843"/>
      <c r="G3843"/>
      <c r="H3843"/>
    </row>
    <row r="3844" spans="5:8">
      <c r="E3844"/>
      <c r="F3844"/>
      <c r="G3844"/>
      <c r="H3844"/>
    </row>
    <row r="3845" spans="5:8">
      <c r="E3845"/>
      <c r="F3845"/>
      <c r="G3845"/>
      <c r="H3845"/>
    </row>
    <row r="3846" spans="5:8">
      <c r="E3846"/>
      <c r="F3846"/>
      <c r="G3846"/>
      <c r="H3846"/>
    </row>
    <row r="3847" spans="5:8">
      <c r="E3847"/>
      <c r="F3847"/>
      <c r="G3847"/>
      <c r="H3847"/>
    </row>
    <row r="3848" spans="5:8">
      <c r="E3848"/>
      <c r="F3848"/>
      <c r="G3848"/>
      <c r="H3848"/>
    </row>
    <row r="3849" spans="5:8">
      <c r="E3849"/>
      <c r="F3849"/>
      <c r="G3849"/>
      <c r="H3849"/>
    </row>
    <row r="3850" spans="5:8">
      <c r="E3850"/>
      <c r="F3850"/>
      <c r="G3850"/>
      <c r="H3850"/>
    </row>
    <row r="3851" spans="5:8">
      <c r="E3851"/>
      <c r="F3851"/>
      <c r="G3851"/>
      <c r="H3851"/>
    </row>
    <row r="3852" spans="5:8">
      <c r="E3852"/>
      <c r="F3852"/>
      <c r="G3852"/>
      <c r="H3852"/>
    </row>
    <row r="3853" spans="5:8">
      <c r="E3853"/>
      <c r="F3853"/>
      <c r="G3853"/>
      <c r="H3853"/>
    </row>
    <row r="3854" spans="5:8">
      <c r="E3854"/>
      <c r="F3854"/>
      <c r="G3854"/>
      <c r="H3854"/>
    </row>
    <row r="3855" spans="5:8">
      <c r="E3855"/>
      <c r="F3855"/>
      <c r="G3855"/>
      <c r="H3855"/>
    </row>
    <row r="3856" spans="5:8">
      <c r="E3856"/>
      <c r="F3856"/>
      <c r="G3856"/>
      <c r="H3856"/>
    </row>
    <row r="3857" spans="5:8">
      <c r="E3857"/>
      <c r="F3857"/>
      <c r="G3857"/>
      <c r="H3857"/>
    </row>
    <row r="3858" spans="5:8">
      <c r="E3858"/>
      <c r="F3858"/>
      <c r="G3858"/>
      <c r="H3858"/>
    </row>
    <row r="3859" spans="5:8">
      <c r="E3859"/>
      <c r="F3859"/>
      <c r="G3859"/>
      <c r="H3859"/>
    </row>
    <row r="3860" spans="5:8">
      <c r="E3860"/>
      <c r="F3860"/>
      <c r="G3860"/>
      <c r="H3860"/>
    </row>
    <row r="3861" spans="5:8">
      <c r="E3861"/>
      <c r="F3861"/>
      <c r="G3861"/>
      <c r="H3861"/>
    </row>
    <row r="3862" spans="5:8">
      <c r="E3862"/>
      <c r="F3862"/>
      <c r="G3862"/>
      <c r="H3862"/>
    </row>
    <row r="3863" spans="5:8">
      <c r="E3863"/>
      <c r="F3863"/>
      <c r="G3863"/>
      <c r="H3863"/>
    </row>
    <row r="3864" spans="5:8">
      <c r="E3864"/>
      <c r="F3864"/>
      <c r="G3864"/>
      <c r="H3864"/>
    </row>
    <row r="3865" spans="5:8">
      <c r="E3865"/>
      <c r="F3865"/>
      <c r="G3865"/>
      <c r="H3865"/>
    </row>
    <row r="3866" spans="5:8">
      <c r="E3866"/>
      <c r="F3866"/>
      <c r="G3866"/>
      <c r="H3866"/>
    </row>
    <row r="3867" spans="5:8">
      <c r="E3867"/>
      <c r="F3867"/>
      <c r="G3867"/>
      <c r="H3867"/>
    </row>
    <row r="3868" spans="5:8">
      <c r="E3868"/>
      <c r="F3868"/>
      <c r="G3868"/>
      <c r="H3868"/>
    </row>
    <row r="3869" spans="5:8">
      <c r="E3869"/>
      <c r="F3869"/>
      <c r="G3869"/>
      <c r="H3869"/>
    </row>
    <row r="3870" spans="5:8">
      <c r="E3870"/>
      <c r="F3870"/>
      <c r="G3870"/>
      <c r="H3870"/>
    </row>
    <row r="3871" spans="5:8">
      <c r="E3871"/>
      <c r="F3871"/>
      <c r="G3871"/>
      <c r="H3871"/>
    </row>
    <row r="3872" spans="5:8">
      <c r="E3872"/>
      <c r="F3872"/>
      <c r="G3872"/>
      <c r="H3872"/>
    </row>
    <row r="3873" spans="5:8">
      <c r="E3873"/>
      <c r="F3873"/>
      <c r="G3873"/>
      <c r="H3873"/>
    </row>
    <row r="3874" spans="5:8">
      <c r="E3874"/>
      <c r="F3874"/>
      <c r="G3874"/>
      <c r="H3874"/>
    </row>
    <row r="3875" spans="5:8">
      <c r="E3875"/>
      <c r="F3875"/>
      <c r="G3875"/>
      <c r="H3875"/>
    </row>
    <row r="3876" spans="5:8">
      <c r="E3876"/>
      <c r="F3876"/>
      <c r="G3876"/>
      <c r="H3876"/>
    </row>
    <row r="3877" spans="5:8">
      <c r="E3877"/>
      <c r="F3877"/>
      <c r="G3877"/>
      <c r="H3877"/>
    </row>
    <row r="3878" spans="5:8">
      <c r="E3878"/>
      <c r="F3878"/>
      <c r="G3878"/>
      <c r="H3878"/>
    </row>
    <row r="3879" spans="5:8">
      <c r="E3879"/>
      <c r="F3879"/>
      <c r="G3879"/>
      <c r="H3879"/>
    </row>
    <row r="3880" spans="5:8">
      <c r="E3880"/>
      <c r="F3880"/>
      <c r="G3880"/>
      <c r="H3880"/>
    </row>
    <row r="3881" spans="5:8">
      <c r="E3881"/>
      <c r="F3881"/>
      <c r="G3881"/>
      <c r="H3881"/>
    </row>
    <row r="3882" spans="5:8">
      <c r="E3882"/>
      <c r="F3882"/>
      <c r="G3882"/>
      <c r="H3882"/>
    </row>
    <row r="3883" spans="5:8">
      <c r="E3883"/>
      <c r="F3883"/>
      <c r="G3883"/>
      <c r="H3883"/>
    </row>
    <row r="3884" spans="5:8">
      <c r="E3884"/>
      <c r="F3884"/>
      <c r="G3884"/>
      <c r="H3884"/>
    </row>
    <row r="3885" spans="5:8">
      <c r="E3885"/>
      <c r="F3885"/>
      <c r="G3885"/>
      <c r="H3885"/>
    </row>
    <row r="3886" spans="5:8">
      <c r="E3886"/>
      <c r="F3886"/>
      <c r="G3886"/>
      <c r="H3886"/>
    </row>
    <row r="3887" spans="5:8">
      <c r="E3887"/>
      <c r="F3887"/>
      <c r="G3887"/>
      <c r="H3887"/>
    </row>
    <row r="3888" spans="5:8">
      <c r="E3888"/>
      <c r="F3888"/>
      <c r="G3888"/>
      <c r="H3888"/>
    </row>
    <row r="3889" spans="5:8">
      <c r="E3889"/>
      <c r="F3889"/>
      <c r="G3889"/>
      <c r="H3889"/>
    </row>
    <row r="3890" spans="5:8">
      <c r="E3890"/>
      <c r="F3890"/>
      <c r="G3890"/>
      <c r="H3890"/>
    </row>
    <row r="3891" spans="5:8">
      <c r="E3891"/>
      <c r="F3891"/>
      <c r="G3891"/>
      <c r="H3891"/>
    </row>
    <row r="3892" spans="5:8">
      <c r="E3892"/>
      <c r="F3892"/>
      <c r="G3892"/>
      <c r="H3892"/>
    </row>
    <row r="3893" spans="5:8">
      <c r="E3893"/>
      <c r="F3893"/>
      <c r="G3893"/>
      <c r="H3893"/>
    </row>
    <row r="3894" spans="5:8">
      <c r="E3894"/>
      <c r="F3894"/>
      <c r="G3894"/>
      <c r="H3894"/>
    </row>
    <row r="3895" spans="5:8">
      <c r="E3895"/>
      <c r="F3895"/>
      <c r="G3895"/>
      <c r="H3895"/>
    </row>
    <row r="3896" spans="5:8">
      <c r="E3896"/>
      <c r="F3896"/>
      <c r="G3896"/>
      <c r="H3896"/>
    </row>
    <row r="3897" spans="5:8">
      <c r="E3897"/>
      <c r="F3897"/>
      <c r="G3897"/>
      <c r="H3897"/>
    </row>
    <row r="3898" spans="5:8">
      <c r="E3898"/>
      <c r="F3898"/>
      <c r="G3898"/>
      <c r="H3898"/>
    </row>
    <row r="3899" spans="5:8">
      <c r="E3899"/>
      <c r="F3899"/>
      <c r="G3899"/>
      <c r="H3899"/>
    </row>
    <row r="3900" spans="5:8">
      <c r="E3900"/>
      <c r="F3900"/>
      <c r="G3900"/>
      <c r="H3900"/>
    </row>
    <row r="3901" spans="5:8">
      <c r="E3901"/>
      <c r="F3901"/>
      <c r="G3901"/>
      <c r="H3901"/>
    </row>
    <row r="3902" spans="5:8">
      <c r="E3902"/>
      <c r="F3902"/>
      <c r="G3902"/>
      <c r="H3902"/>
    </row>
    <row r="3903" spans="5:8">
      <c r="E3903"/>
      <c r="F3903"/>
      <c r="G3903"/>
      <c r="H3903"/>
    </row>
    <row r="3904" spans="5:8">
      <c r="E3904"/>
      <c r="F3904"/>
      <c r="G3904"/>
      <c r="H3904"/>
    </row>
    <row r="3905" spans="5:8">
      <c r="E3905"/>
      <c r="F3905"/>
      <c r="G3905"/>
      <c r="H3905"/>
    </row>
    <row r="3906" spans="5:8">
      <c r="E3906"/>
      <c r="F3906"/>
      <c r="G3906"/>
      <c r="H3906"/>
    </row>
    <row r="3907" spans="5:8">
      <c r="E3907"/>
      <c r="F3907"/>
      <c r="G3907"/>
      <c r="H3907"/>
    </row>
    <row r="3908" spans="5:8">
      <c r="E3908"/>
      <c r="F3908"/>
      <c r="G3908"/>
      <c r="H3908"/>
    </row>
    <row r="3909" spans="5:8">
      <c r="E3909"/>
      <c r="F3909"/>
      <c r="G3909"/>
      <c r="H3909"/>
    </row>
    <row r="3910" spans="5:8">
      <c r="E3910"/>
      <c r="F3910"/>
      <c r="G3910"/>
      <c r="H3910"/>
    </row>
    <row r="3911" spans="5:8">
      <c r="E3911"/>
      <c r="F3911"/>
      <c r="G3911"/>
      <c r="H3911"/>
    </row>
    <row r="3912" spans="5:8">
      <c r="E3912"/>
      <c r="F3912"/>
      <c r="G3912"/>
      <c r="H3912"/>
    </row>
    <row r="3913" spans="5:8">
      <c r="E3913"/>
      <c r="F3913"/>
      <c r="G3913"/>
      <c r="H3913"/>
    </row>
    <row r="3914" spans="5:8">
      <c r="E3914"/>
      <c r="F3914"/>
      <c r="G3914"/>
      <c r="H3914"/>
    </row>
    <row r="3915" spans="5:8">
      <c r="E3915"/>
      <c r="F3915"/>
      <c r="G3915"/>
      <c r="H3915"/>
    </row>
    <row r="3916" spans="5:8">
      <c r="E3916"/>
      <c r="F3916"/>
      <c r="G3916"/>
      <c r="H3916"/>
    </row>
    <row r="3917" spans="5:8">
      <c r="E3917"/>
      <c r="F3917"/>
      <c r="G3917"/>
      <c r="H3917"/>
    </row>
    <row r="3918" spans="5:8">
      <c r="E3918"/>
      <c r="F3918"/>
      <c r="G3918"/>
      <c r="H3918"/>
    </row>
    <row r="3919" spans="5:8">
      <c r="E3919"/>
      <c r="F3919"/>
      <c r="G3919"/>
      <c r="H3919"/>
    </row>
    <row r="3920" spans="5:8">
      <c r="E3920"/>
      <c r="F3920"/>
      <c r="G3920"/>
      <c r="H3920"/>
    </row>
    <row r="3921" spans="5:8">
      <c r="E3921"/>
      <c r="F3921"/>
      <c r="G3921"/>
      <c r="H3921"/>
    </row>
    <row r="3922" spans="5:8">
      <c r="E3922"/>
      <c r="F3922"/>
      <c r="G3922"/>
      <c r="H3922"/>
    </row>
    <row r="3923" spans="5:8">
      <c r="E3923"/>
      <c r="F3923"/>
      <c r="G3923"/>
      <c r="H3923"/>
    </row>
    <row r="3924" spans="5:8">
      <c r="E3924"/>
      <c r="F3924"/>
      <c r="G3924"/>
      <c r="H3924"/>
    </row>
    <row r="3925" spans="5:8">
      <c r="E3925"/>
      <c r="F3925"/>
      <c r="G3925"/>
      <c r="H3925"/>
    </row>
    <row r="3926" spans="5:8">
      <c r="E3926"/>
      <c r="F3926"/>
      <c r="G3926"/>
      <c r="H3926"/>
    </row>
    <row r="3927" spans="5:8">
      <c r="E3927"/>
      <c r="F3927"/>
      <c r="G3927"/>
      <c r="H3927"/>
    </row>
    <row r="3928" spans="5:8">
      <c r="E3928"/>
      <c r="F3928"/>
      <c r="G3928"/>
      <c r="H3928"/>
    </row>
    <row r="3929" spans="5:8">
      <c r="E3929"/>
      <c r="F3929"/>
      <c r="G3929"/>
      <c r="H3929"/>
    </row>
    <row r="3930" spans="5:8">
      <c r="E3930"/>
      <c r="F3930"/>
      <c r="G3930"/>
      <c r="H3930"/>
    </row>
    <row r="3931" spans="5:8">
      <c r="E3931"/>
      <c r="F3931"/>
      <c r="G3931"/>
      <c r="H3931"/>
    </row>
    <row r="3932" spans="5:8">
      <c r="E3932"/>
      <c r="F3932"/>
      <c r="G3932"/>
      <c r="H3932"/>
    </row>
    <row r="3933" spans="5:8">
      <c r="E3933"/>
      <c r="F3933"/>
      <c r="G3933"/>
      <c r="H3933"/>
    </row>
    <row r="3934" spans="5:8">
      <c r="E3934"/>
      <c r="F3934"/>
      <c r="G3934"/>
      <c r="H3934"/>
    </row>
    <row r="3935" spans="5:8">
      <c r="E3935"/>
      <c r="F3935"/>
      <c r="G3935"/>
      <c r="H3935"/>
    </row>
    <row r="3936" spans="5:8">
      <c r="E3936"/>
      <c r="F3936"/>
      <c r="G3936"/>
      <c r="H3936"/>
    </row>
    <row r="3937" spans="5:8">
      <c r="E3937"/>
      <c r="F3937"/>
      <c r="G3937"/>
      <c r="H3937"/>
    </row>
    <row r="3938" spans="5:8">
      <c r="E3938"/>
      <c r="F3938"/>
      <c r="G3938"/>
      <c r="H3938"/>
    </row>
    <row r="3939" spans="5:8">
      <c r="E3939"/>
      <c r="F3939"/>
      <c r="G3939"/>
      <c r="H3939"/>
    </row>
    <row r="3940" spans="5:8">
      <c r="E3940"/>
      <c r="F3940"/>
      <c r="G3940"/>
      <c r="H3940"/>
    </row>
    <row r="3941" spans="5:8">
      <c r="E3941"/>
      <c r="F3941"/>
      <c r="G3941"/>
      <c r="H3941"/>
    </row>
    <row r="3942" spans="5:8">
      <c r="E3942"/>
      <c r="F3942"/>
      <c r="G3942"/>
      <c r="H3942"/>
    </row>
    <row r="3943" spans="5:8">
      <c r="E3943"/>
      <c r="F3943"/>
      <c r="G3943"/>
      <c r="H3943"/>
    </row>
    <row r="3944" spans="5:8">
      <c r="E3944"/>
      <c r="F3944"/>
      <c r="G3944"/>
      <c r="H3944"/>
    </row>
    <row r="3945" spans="5:8">
      <c r="E3945"/>
      <c r="F3945"/>
      <c r="G3945"/>
      <c r="H3945"/>
    </row>
    <row r="3946" spans="5:8">
      <c r="E3946"/>
      <c r="F3946"/>
      <c r="G3946"/>
      <c r="H3946"/>
    </row>
    <row r="3947" spans="5:8">
      <c r="E3947"/>
      <c r="F3947"/>
      <c r="G3947"/>
      <c r="H3947"/>
    </row>
    <row r="3948" spans="5:8">
      <c r="E3948"/>
      <c r="F3948"/>
      <c r="G3948"/>
      <c r="H3948"/>
    </row>
    <row r="3949" spans="5:8">
      <c r="E3949"/>
      <c r="F3949"/>
      <c r="G3949"/>
      <c r="H3949"/>
    </row>
    <row r="3950" spans="5:8">
      <c r="E3950"/>
      <c r="F3950"/>
      <c r="G3950"/>
      <c r="H3950"/>
    </row>
    <row r="3951" spans="5:8">
      <c r="E3951"/>
      <c r="F3951"/>
      <c r="G3951"/>
      <c r="H3951"/>
    </row>
    <row r="3952" spans="5:8">
      <c r="E3952"/>
      <c r="F3952"/>
      <c r="G3952"/>
      <c r="H3952"/>
    </row>
    <row r="3953" spans="5:8">
      <c r="E3953"/>
      <c r="F3953"/>
      <c r="G3953"/>
      <c r="H3953"/>
    </row>
    <row r="3954" spans="5:8">
      <c r="E3954"/>
      <c r="F3954"/>
      <c r="G3954"/>
      <c r="H3954"/>
    </row>
    <row r="3955" spans="5:8">
      <c r="E3955"/>
      <c r="F3955"/>
      <c r="G3955"/>
      <c r="H3955"/>
    </row>
    <row r="3956" spans="5:8">
      <c r="E3956"/>
      <c r="F3956"/>
      <c r="G3956"/>
      <c r="H3956"/>
    </row>
    <row r="3957" spans="5:8">
      <c r="E3957"/>
      <c r="F3957"/>
      <c r="G3957"/>
      <c r="H3957"/>
    </row>
    <row r="3958" spans="5:8">
      <c r="E3958"/>
      <c r="F3958"/>
      <c r="G3958"/>
      <c r="H3958"/>
    </row>
    <row r="3959" spans="5:8">
      <c r="E3959"/>
      <c r="F3959"/>
      <c r="G3959"/>
      <c r="H3959"/>
    </row>
    <row r="3960" spans="5:8">
      <c r="E3960"/>
      <c r="F3960"/>
      <c r="G3960"/>
      <c r="H3960"/>
    </row>
    <row r="3961" spans="5:8">
      <c r="E3961"/>
      <c r="F3961"/>
      <c r="G3961"/>
      <c r="H3961"/>
    </row>
    <row r="3962" spans="5:8">
      <c r="E3962"/>
      <c r="F3962"/>
      <c r="G3962"/>
      <c r="H3962"/>
    </row>
    <row r="3963" spans="5:8">
      <c r="E3963"/>
      <c r="F3963"/>
      <c r="G3963"/>
      <c r="H3963"/>
    </row>
    <row r="3964" spans="5:8">
      <c r="E3964"/>
      <c r="F3964"/>
      <c r="G3964"/>
      <c r="H3964"/>
    </row>
    <row r="3965" spans="5:8">
      <c r="E3965"/>
      <c r="F3965"/>
      <c r="G3965"/>
      <c r="H3965"/>
    </row>
    <row r="3966" spans="5:8">
      <c r="E3966"/>
      <c r="F3966"/>
      <c r="G3966"/>
      <c r="H3966"/>
    </row>
    <row r="3967" spans="5:8">
      <c r="E3967"/>
      <c r="F3967"/>
      <c r="G3967"/>
      <c r="H3967"/>
    </row>
    <row r="3968" spans="5:8">
      <c r="E3968"/>
      <c r="F3968"/>
      <c r="G3968"/>
      <c r="H3968"/>
    </row>
    <row r="3969" spans="5:8">
      <c r="E3969"/>
      <c r="F3969"/>
      <c r="G3969"/>
      <c r="H3969"/>
    </row>
    <row r="3970" spans="5:8">
      <c r="E3970"/>
      <c r="F3970"/>
      <c r="G3970"/>
      <c r="H3970"/>
    </row>
    <row r="3971" spans="5:8">
      <c r="E3971"/>
      <c r="F3971"/>
      <c r="G3971"/>
      <c r="H3971"/>
    </row>
    <row r="3972" spans="5:8">
      <c r="E3972"/>
      <c r="F3972"/>
      <c r="G3972"/>
      <c r="H3972"/>
    </row>
    <row r="3973" spans="5:8">
      <c r="E3973"/>
      <c r="F3973"/>
      <c r="G3973"/>
      <c r="H3973"/>
    </row>
    <row r="3974" spans="5:8">
      <c r="E3974"/>
      <c r="F3974"/>
      <c r="G3974"/>
      <c r="H3974"/>
    </row>
    <row r="3975" spans="5:8">
      <c r="E3975"/>
      <c r="F3975"/>
      <c r="G3975"/>
      <c r="H3975"/>
    </row>
    <row r="3976" spans="5:8">
      <c r="E3976"/>
      <c r="F3976"/>
      <c r="G3976"/>
      <c r="H3976"/>
    </row>
    <row r="3977" spans="5:8">
      <c r="E3977"/>
      <c r="F3977"/>
      <c r="G3977"/>
      <c r="H3977"/>
    </row>
    <row r="3978" spans="5:8">
      <c r="E3978"/>
      <c r="F3978"/>
      <c r="G3978"/>
      <c r="H3978"/>
    </row>
    <row r="3979" spans="5:8">
      <c r="E3979"/>
      <c r="F3979"/>
      <c r="G3979"/>
      <c r="H3979"/>
    </row>
    <row r="3980" spans="5:8">
      <c r="E3980"/>
      <c r="F3980"/>
      <c r="G3980"/>
      <c r="H3980"/>
    </row>
    <row r="3981" spans="5:8">
      <c r="E3981"/>
      <c r="F3981"/>
      <c r="G3981"/>
      <c r="H3981"/>
    </row>
    <row r="3982" spans="5:8">
      <c r="E3982"/>
      <c r="F3982"/>
      <c r="G3982"/>
      <c r="H3982"/>
    </row>
    <row r="3983" spans="5:8">
      <c r="E3983"/>
      <c r="F3983"/>
      <c r="G3983"/>
      <c r="H3983"/>
    </row>
    <row r="3984" spans="5:8">
      <c r="E3984"/>
      <c r="F3984"/>
      <c r="G3984"/>
      <c r="H3984"/>
    </row>
    <row r="3985" spans="5:8">
      <c r="E3985"/>
      <c r="F3985"/>
      <c r="G3985"/>
      <c r="H3985"/>
    </row>
    <row r="3986" spans="5:8">
      <c r="E3986"/>
      <c r="F3986"/>
      <c r="G3986"/>
      <c r="H3986"/>
    </row>
    <row r="3987" spans="5:8">
      <c r="E3987"/>
      <c r="F3987"/>
      <c r="G3987"/>
      <c r="H3987"/>
    </row>
    <row r="3988" spans="5:8">
      <c r="E3988"/>
      <c r="F3988"/>
      <c r="G3988"/>
      <c r="H3988"/>
    </row>
    <row r="3989" spans="5:8">
      <c r="E3989"/>
      <c r="F3989"/>
      <c r="G3989"/>
      <c r="H3989"/>
    </row>
    <row r="3990" spans="5:8">
      <c r="E3990"/>
      <c r="F3990"/>
      <c r="G3990"/>
      <c r="H3990"/>
    </row>
    <row r="3991" spans="5:8">
      <c r="E3991"/>
      <c r="F3991"/>
      <c r="G3991"/>
      <c r="H3991"/>
    </row>
    <row r="3992" spans="5:8">
      <c r="E3992"/>
      <c r="F3992"/>
      <c r="G3992"/>
      <c r="H3992"/>
    </row>
    <row r="3993" spans="5:8">
      <c r="E3993"/>
      <c r="F3993"/>
      <c r="G3993"/>
      <c r="H3993"/>
    </row>
    <row r="3994" spans="5:8">
      <c r="E3994"/>
      <c r="F3994"/>
      <c r="G3994"/>
      <c r="H3994"/>
    </row>
    <row r="3995" spans="5:8">
      <c r="E3995"/>
      <c r="F3995"/>
      <c r="G3995"/>
      <c r="H3995"/>
    </row>
    <row r="3996" spans="5:8">
      <c r="E3996"/>
      <c r="F3996"/>
      <c r="G3996"/>
      <c r="H3996"/>
    </row>
    <row r="3997" spans="5:8">
      <c r="E3997"/>
      <c r="F3997"/>
      <c r="G3997"/>
      <c r="H3997"/>
    </row>
    <row r="3998" spans="5:8">
      <c r="E3998"/>
      <c r="F3998"/>
      <c r="G3998"/>
      <c r="H3998"/>
    </row>
    <row r="3999" spans="5:8">
      <c r="E3999"/>
      <c r="F3999"/>
      <c r="G3999"/>
      <c r="H3999"/>
    </row>
    <row r="4000" spans="5:8">
      <c r="E4000"/>
      <c r="F4000"/>
      <c r="G4000"/>
      <c r="H4000"/>
    </row>
    <row r="4001" spans="5:8">
      <c r="E4001"/>
      <c r="F4001"/>
      <c r="G4001"/>
      <c r="H4001"/>
    </row>
    <row r="4002" spans="5:8">
      <c r="E4002"/>
      <c r="F4002"/>
      <c r="G4002"/>
      <c r="H4002"/>
    </row>
    <row r="4003" spans="5:8">
      <c r="E4003"/>
      <c r="F4003"/>
      <c r="G4003"/>
      <c r="H4003"/>
    </row>
    <row r="4004" spans="5:8">
      <c r="E4004"/>
      <c r="F4004"/>
      <c r="G4004"/>
      <c r="H4004"/>
    </row>
    <row r="4005" spans="5:8">
      <c r="E4005"/>
      <c r="F4005"/>
      <c r="G4005"/>
      <c r="H4005"/>
    </row>
    <row r="4006" spans="5:8">
      <c r="E4006"/>
      <c r="F4006"/>
      <c r="G4006"/>
      <c r="H4006"/>
    </row>
    <row r="4007" spans="5:8">
      <c r="E4007"/>
      <c r="F4007"/>
      <c r="G4007"/>
      <c r="H4007"/>
    </row>
    <row r="4008" spans="5:8">
      <c r="E4008"/>
      <c r="F4008"/>
      <c r="G4008"/>
      <c r="H4008"/>
    </row>
    <row r="4009" spans="5:8">
      <c r="E4009"/>
      <c r="F4009"/>
      <c r="G4009"/>
      <c r="H4009"/>
    </row>
    <row r="4010" spans="5:8">
      <c r="E4010"/>
      <c r="F4010"/>
      <c r="G4010"/>
      <c r="H4010"/>
    </row>
    <row r="4011" spans="5:8">
      <c r="E4011"/>
      <c r="F4011"/>
      <c r="G4011"/>
      <c r="H4011"/>
    </row>
    <row r="4012" spans="5:8">
      <c r="E4012"/>
      <c r="F4012"/>
      <c r="G4012"/>
      <c r="H4012"/>
    </row>
    <row r="4013" spans="5:8">
      <c r="E4013"/>
      <c r="F4013"/>
      <c r="G4013"/>
      <c r="H4013"/>
    </row>
    <row r="4014" spans="5:8">
      <c r="E4014"/>
      <c r="F4014"/>
      <c r="G4014"/>
      <c r="H4014"/>
    </row>
    <row r="4015" spans="5:8">
      <c r="E4015"/>
      <c r="F4015"/>
      <c r="G4015"/>
      <c r="H4015"/>
    </row>
    <row r="4016" spans="5:8">
      <c r="E4016"/>
      <c r="F4016"/>
      <c r="G4016"/>
      <c r="H4016"/>
    </row>
    <row r="4017" spans="5:8">
      <c r="E4017"/>
      <c r="F4017"/>
      <c r="G4017"/>
      <c r="H4017"/>
    </row>
    <row r="4018" spans="5:8">
      <c r="E4018"/>
      <c r="F4018"/>
      <c r="G4018"/>
      <c r="H4018"/>
    </row>
    <row r="4019" spans="5:8">
      <c r="E4019"/>
      <c r="F4019"/>
      <c r="G4019"/>
      <c r="H4019"/>
    </row>
    <row r="4020" spans="5:8">
      <c r="E4020"/>
      <c r="F4020"/>
      <c r="G4020"/>
      <c r="H4020"/>
    </row>
    <row r="4021" spans="5:8">
      <c r="E4021"/>
      <c r="F4021"/>
      <c r="G4021"/>
      <c r="H4021"/>
    </row>
    <row r="4022" spans="5:8">
      <c r="E4022"/>
      <c r="F4022"/>
      <c r="G4022"/>
      <c r="H4022"/>
    </row>
    <row r="4023" spans="5:8">
      <c r="E4023"/>
      <c r="F4023"/>
      <c r="G4023"/>
      <c r="H4023"/>
    </row>
    <row r="4024" spans="5:8">
      <c r="E4024"/>
      <c r="F4024"/>
      <c r="G4024"/>
      <c r="H4024"/>
    </row>
    <row r="4025" spans="5:8">
      <c r="E4025"/>
      <c r="F4025"/>
      <c r="G4025"/>
      <c r="H4025"/>
    </row>
    <row r="4026" spans="5:8">
      <c r="E4026"/>
      <c r="F4026"/>
      <c r="G4026"/>
      <c r="H4026"/>
    </row>
    <row r="4027" spans="5:8">
      <c r="E4027"/>
      <c r="F4027"/>
      <c r="G4027"/>
      <c r="H4027"/>
    </row>
    <row r="4028" spans="5:8">
      <c r="E4028"/>
      <c r="F4028"/>
      <c r="G4028"/>
      <c r="H4028"/>
    </row>
    <row r="4029" spans="5:8">
      <c r="E4029"/>
      <c r="F4029"/>
      <c r="G4029"/>
      <c r="H4029"/>
    </row>
    <row r="4030" spans="5:8">
      <c r="E4030"/>
      <c r="F4030"/>
      <c r="G4030"/>
      <c r="H4030"/>
    </row>
    <row r="4031" spans="5:8">
      <c r="E4031"/>
      <c r="F4031"/>
      <c r="G4031"/>
      <c r="H4031"/>
    </row>
    <row r="4032" spans="5:8">
      <c r="E4032"/>
      <c r="F4032"/>
      <c r="G4032"/>
      <c r="H4032"/>
    </row>
    <row r="4033" spans="5:8">
      <c r="E4033"/>
      <c r="F4033"/>
      <c r="G4033"/>
      <c r="H4033"/>
    </row>
    <row r="4034" spans="5:8">
      <c r="E4034"/>
      <c r="F4034"/>
      <c r="G4034"/>
      <c r="H4034"/>
    </row>
    <row r="4035" spans="5:8">
      <c r="E4035"/>
      <c r="F4035"/>
      <c r="G4035"/>
      <c r="H4035"/>
    </row>
    <row r="4036" spans="5:8">
      <c r="E4036"/>
      <c r="F4036"/>
      <c r="G4036"/>
      <c r="H4036"/>
    </row>
    <row r="4037" spans="5:8">
      <c r="E4037"/>
      <c r="F4037"/>
      <c r="G4037"/>
      <c r="H4037"/>
    </row>
    <row r="4038" spans="5:8">
      <c r="E4038"/>
      <c r="F4038"/>
      <c r="G4038"/>
      <c r="H4038"/>
    </row>
    <row r="4039" spans="5:8">
      <c r="E4039"/>
      <c r="F4039"/>
      <c r="G4039"/>
      <c r="H4039"/>
    </row>
    <row r="4040" spans="5:8">
      <c r="E4040"/>
      <c r="F4040"/>
      <c r="G4040"/>
      <c r="H4040"/>
    </row>
    <row r="4041" spans="5:8">
      <c r="E4041"/>
      <c r="F4041"/>
      <c r="G4041"/>
      <c r="H4041"/>
    </row>
    <row r="4042" spans="5:8">
      <c r="E4042"/>
      <c r="F4042"/>
      <c r="G4042"/>
      <c r="H4042"/>
    </row>
    <row r="4043" spans="5:8">
      <c r="E4043"/>
      <c r="F4043"/>
      <c r="G4043"/>
      <c r="H4043"/>
    </row>
    <row r="4044" spans="5:8">
      <c r="E4044"/>
      <c r="F4044"/>
      <c r="G4044"/>
      <c r="H4044"/>
    </row>
    <row r="4045" spans="5:8">
      <c r="E4045"/>
      <c r="F4045"/>
      <c r="G4045"/>
      <c r="H4045"/>
    </row>
    <row r="4046" spans="5:8">
      <c r="E4046"/>
      <c r="F4046"/>
      <c r="G4046"/>
      <c r="H4046"/>
    </row>
    <row r="4047" spans="5:8">
      <c r="E4047"/>
      <c r="F4047"/>
      <c r="G4047"/>
      <c r="H4047"/>
    </row>
    <row r="4048" spans="5:8">
      <c r="E4048"/>
      <c r="F4048"/>
      <c r="G4048"/>
      <c r="H4048"/>
    </row>
    <row r="4049" spans="5:8">
      <c r="E4049"/>
      <c r="F4049"/>
      <c r="G4049"/>
      <c r="H4049"/>
    </row>
    <row r="4050" spans="5:8">
      <c r="E4050"/>
      <c r="F4050"/>
      <c r="G4050"/>
      <c r="H4050"/>
    </row>
    <row r="4051" spans="5:8">
      <c r="E4051"/>
      <c r="F4051"/>
      <c r="G4051"/>
      <c r="H4051"/>
    </row>
    <row r="4052" spans="5:8">
      <c r="E4052"/>
      <c r="F4052"/>
      <c r="G4052"/>
      <c r="H4052"/>
    </row>
    <row r="4053" spans="5:8">
      <c r="E4053"/>
      <c r="F4053"/>
      <c r="G4053"/>
      <c r="H4053"/>
    </row>
    <row r="4054" spans="5:8">
      <c r="E4054"/>
      <c r="F4054"/>
      <c r="G4054"/>
      <c r="H4054"/>
    </row>
    <row r="4055" spans="5:8">
      <c r="E4055"/>
      <c r="F4055"/>
      <c r="G4055"/>
      <c r="H4055"/>
    </row>
    <row r="4056" spans="5:8">
      <c r="E4056"/>
      <c r="F4056"/>
      <c r="G4056"/>
      <c r="H4056"/>
    </row>
    <row r="4057" spans="5:8">
      <c r="E4057"/>
      <c r="F4057"/>
      <c r="G4057"/>
      <c r="H4057"/>
    </row>
    <row r="4058" spans="5:8">
      <c r="E4058"/>
      <c r="F4058"/>
      <c r="G4058"/>
      <c r="H4058"/>
    </row>
    <row r="4059" spans="5:8">
      <c r="E4059"/>
      <c r="F4059"/>
      <c r="G4059"/>
      <c r="H4059"/>
    </row>
    <row r="4060" spans="5:8">
      <c r="E4060"/>
      <c r="F4060"/>
      <c r="G4060"/>
      <c r="H4060"/>
    </row>
    <row r="4061" spans="5:8">
      <c r="E4061"/>
      <c r="F4061"/>
      <c r="G4061"/>
      <c r="H4061"/>
    </row>
    <row r="4062" spans="5:8">
      <c r="E4062"/>
      <c r="F4062"/>
      <c r="G4062"/>
      <c r="H4062"/>
    </row>
    <row r="4063" spans="5:8">
      <c r="E4063"/>
      <c r="F4063"/>
      <c r="G4063"/>
      <c r="H4063"/>
    </row>
    <row r="4064" spans="5:8">
      <c r="E4064"/>
      <c r="F4064"/>
      <c r="G4064"/>
      <c r="H4064"/>
    </row>
    <row r="4065" spans="5:8">
      <c r="E4065"/>
      <c r="F4065"/>
      <c r="G4065"/>
      <c r="H4065"/>
    </row>
    <row r="4066" spans="5:8">
      <c r="E4066"/>
      <c r="F4066"/>
      <c r="G4066"/>
      <c r="H4066"/>
    </row>
    <row r="4067" spans="5:8">
      <c r="E4067"/>
      <c r="F4067"/>
      <c r="G4067"/>
      <c r="H4067"/>
    </row>
    <row r="4068" spans="5:8">
      <c r="E4068"/>
      <c r="F4068"/>
      <c r="G4068"/>
      <c r="H4068"/>
    </row>
    <row r="4069" spans="5:8">
      <c r="E4069"/>
      <c r="F4069"/>
      <c r="G4069"/>
      <c r="H4069"/>
    </row>
    <row r="4070" spans="5:8">
      <c r="E4070"/>
      <c r="F4070"/>
      <c r="G4070"/>
      <c r="H4070"/>
    </row>
    <row r="4071" spans="5:8">
      <c r="E4071"/>
      <c r="F4071"/>
      <c r="G4071"/>
      <c r="H4071"/>
    </row>
    <row r="4072" spans="5:8">
      <c r="E4072"/>
      <c r="F4072"/>
      <c r="G4072"/>
      <c r="H4072"/>
    </row>
    <row r="4073" spans="5:8">
      <c r="E4073"/>
      <c r="F4073"/>
      <c r="G4073"/>
      <c r="H4073"/>
    </row>
    <row r="4074" spans="5:8">
      <c r="E4074"/>
      <c r="F4074"/>
      <c r="G4074"/>
      <c r="H4074"/>
    </row>
    <row r="4075" spans="5:8">
      <c r="E4075"/>
      <c r="F4075"/>
      <c r="G4075"/>
      <c r="H4075"/>
    </row>
    <row r="4076" spans="5:8">
      <c r="E4076"/>
      <c r="F4076"/>
      <c r="G4076"/>
      <c r="H4076"/>
    </row>
    <row r="4077" spans="5:8">
      <c r="E4077"/>
      <c r="F4077"/>
      <c r="G4077"/>
      <c r="H4077"/>
    </row>
    <row r="4078" spans="5:8">
      <c r="E4078"/>
      <c r="F4078"/>
      <c r="G4078"/>
      <c r="H4078"/>
    </row>
    <row r="4079" spans="5:8">
      <c r="E4079"/>
      <c r="F4079"/>
      <c r="G4079"/>
      <c r="H4079"/>
    </row>
    <row r="4080" spans="5:8">
      <c r="E4080"/>
      <c r="F4080"/>
      <c r="G4080"/>
      <c r="H4080"/>
    </row>
    <row r="4081" spans="5:8">
      <c r="E4081"/>
      <c r="F4081"/>
      <c r="G4081"/>
      <c r="H4081"/>
    </row>
    <row r="4082" spans="5:8">
      <c r="E4082"/>
      <c r="F4082"/>
      <c r="G4082"/>
      <c r="H4082"/>
    </row>
    <row r="4083" spans="5:8">
      <c r="E4083"/>
      <c r="F4083"/>
      <c r="G4083"/>
      <c r="H4083"/>
    </row>
    <row r="4084" spans="5:8">
      <c r="E4084"/>
      <c r="F4084"/>
      <c r="G4084"/>
      <c r="H4084"/>
    </row>
    <row r="4085" spans="5:8">
      <c r="E4085"/>
      <c r="F4085"/>
      <c r="G4085"/>
      <c r="H4085"/>
    </row>
    <row r="4086" spans="5:8">
      <c r="E4086"/>
      <c r="F4086"/>
      <c r="G4086"/>
      <c r="H4086"/>
    </row>
    <row r="4087" spans="5:8">
      <c r="E4087"/>
      <c r="F4087"/>
      <c r="G4087"/>
      <c r="H4087"/>
    </row>
    <row r="4088" spans="5:8">
      <c r="E4088"/>
      <c r="F4088"/>
      <c r="G4088"/>
      <c r="H4088"/>
    </row>
    <row r="4089" spans="5:8">
      <c r="E4089"/>
      <c r="F4089"/>
      <c r="G4089"/>
      <c r="H4089"/>
    </row>
    <row r="4090" spans="5:8">
      <c r="E4090"/>
      <c r="F4090"/>
      <c r="G4090"/>
      <c r="H4090"/>
    </row>
    <row r="4091" spans="5:8">
      <c r="E4091"/>
      <c r="F4091"/>
      <c r="G4091"/>
      <c r="H4091"/>
    </row>
    <row r="4092" spans="5:8">
      <c r="E4092"/>
      <c r="F4092"/>
      <c r="G4092"/>
      <c r="H4092"/>
    </row>
    <row r="4093" spans="5:8">
      <c r="E4093"/>
      <c r="F4093"/>
      <c r="G4093"/>
      <c r="H4093"/>
    </row>
    <row r="4094" spans="5:8">
      <c r="E4094"/>
      <c r="F4094"/>
      <c r="G4094"/>
      <c r="H4094"/>
    </row>
    <row r="4095" spans="5:8">
      <c r="E4095"/>
      <c r="F4095"/>
      <c r="G4095"/>
      <c r="H4095"/>
    </row>
    <row r="4096" spans="5:8">
      <c r="E4096"/>
      <c r="F4096"/>
      <c r="G4096"/>
      <c r="H4096"/>
    </row>
    <row r="4097" spans="5:8">
      <c r="E4097"/>
      <c r="F4097"/>
      <c r="G4097"/>
      <c r="H4097"/>
    </row>
    <row r="4098" spans="5:8">
      <c r="E4098"/>
      <c r="F4098"/>
      <c r="G4098"/>
      <c r="H4098"/>
    </row>
    <row r="4099" spans="5:8">
      <c r="E4099"/>
      <c r="F4099"/>
      <c r="G4099"/>
      <c r="H4099"/>
    </row>
    <row r="4100" spans="5:8">
      <c r="E4100"/>
      <c r="F4100"/>
      <c r="G4100"/>
      <c r="H4100"/>
    </row>
    <row r="4101" spans="5:8">
      <c r="E4101"/>
      <c r="F4101"/>
      <c r="G4101"/>
      <c r="H4101"/>
    </row>
    <row r="4102" spans="5:8">
      <c r="E4102"/>
      <c r="F4102"/>
      <c r="G4102"/>
      <c r="H4102"/>
    </row>
    <row r="4103" spans="5:8">
      <c r="E4103"/>
      <c r="F4103"/>
      <c r="G4103"/>
      <c r="H4103"/>
    </row>
    <row r="4104" spans="5:8">
      <c r="E4104"/>
      <c r="F4104"/>
      <c r="G4104"/>
      <c r="H4104"/>
    </row>
    <row r="4105" spans="5:8">
      <c r="E4105"/>
      <c r="F4105"/>
      <c r="G4105"/>
      <c r="H4105"/>
    </row>
    <row r="4106" spans="5:8">
      <c r="E4106"/>
      <c r="F4106"/>
      <c r="G4106"/>
      <c r="H4106"/>
    </row>
    <row r="4107" spans="5:8">
      <c r="E4107"/>
      <c r="F4107"/>
      <c r="G4107"/>
      <c r="H4107"/>
    </row>
    <row r="4108" spans="5:8">
      <c r="E4108"/>
      <c r="F4108"/>
      <c r="G4108"/>
      <c r="H4108"/>
    </row>
    <row r="4109" spans="5:8">
      <c r="E4109"/>
      <c r="F4109"/>
      <c r="G4109"/>
      <c r="H4109"/>
    </row>
    <row r="4110" spans="5:8">
      <c r="E4110"/>
      <c r="F4110"/>
      <c r="G4110"/>
      <c r="H4110"/>
    </row>
    <row r="4111" spans="5:8">
      <c r="E4111"/>
      <c r="F4111"/>
      <c r="G4111"/>
      <c r="H4111"/>
    </row>
    <row r="4112" spans="5:8">
      <c r="E4112"/>
      <c r="F4112"/>
      <c r="G4112"/>
      <c r="H4112"/>
    </row>
    <row r="4113" spans="5:8">
      <c r="E4113"/>
      <c r="F4113"/>
      <c r="G4113"/>
      <c r="H4113"/>
    </row>
    <row r="4114" spans="5:8">
      <c r="E4114"/>
      <c r="F4114"/>
      <c r="G4114"/>
      <c r="H4114"/>
    </row>
    <row r="4115" spans="5:8">
      <c r="E4115"/>
      <c r="F4115"/>
      <c r="G4115"/>
      <c r="H4115"/>
    </row>
    <row r="4116" spans="5:8">
      <c r="E4116"/>
      <c r="F4116"/>
      <c r="G4116"/>
      <c r="H4116"/>
    </row>
    <row r="4117" spans="5:8">
      <c r="E4117"/>
      <c r="F4117"/>
      <c r="G4117"/>
      <c r="H4117"/>
    </row>
    <row r="4118" spans="5:8">
      <c r="E4118"/>
      <c r="F4118"/>
      <c r="G4118"/>
      <c r="H4118"/>
    </row>
    <row r="4119" spans="5:8">
      <c r="E4119"/>
      <c r="F4119"/>
      <c r="G4119"/>
      <c r="H4119"/>
    </row>
    <row r="4120" spans="5:8">
      <c r="E4120"/>
      <c r="F4120"/>
      <c r="G4120"/>
      <c r="H4120"/>
    </row>
    <row r="4121" spans="5:8">
      <c r="E4121"/>
      <c r="F4121"/>
      <c r="G4121"/>
      <c r="H4121"/>
    </row>
    <row r="4122" spans="5:8">
      <c r="E4122"/>
      <c r="F4122"/>
      <c r="G4122"/>
      <c r="H4122"/>
    </row>
    <row r="4123" spans="5:8">
      <c r="E4123"/>
      <c r="F4123"/>
      <c r="G4123"/>
      <c r="H4123"/>
    </row>
    <row r="4124" spans="5:8">
      <c r="E4124"/>
      <c r="F4124"/>
      <c r="G4124"/>
      <c r="H4124"/>
    </row>
    <row r="4125" spans="5:8">
      <c r="E4125"/>
      <c r="F4125"/>
      <c r="G4125"/>
      <c r="H4125"/>
    </row>
    <row r="4126" spans="5:8">
      <c r="E4126"/>
      <c r="F4126"/>
      <c r="G4126"/>
      <c r="H4126"/>
    </row>
    <row r="4127" spans="5:8">
      <c r="E4127"/>
      <c r="F4127"/>
      <c r="G4127"/>
      <c r="H4127"/>
    </row>
    <row r="4128" spans="5:8">
      <c r="E4128"/>
      <c r="F4128"/>
      <c r="G4128"/>
      <c r="H4128"/>
    </row>
    <row r="4129" spans="5:8">
      <c r="E4129"/>
      <c r="F4129"/>
      <c r="G4129"/>
      <c r="H4129"/>
    </row>
    <row r="4130" spans="5:8">
      <c r="E4130"/>
      <c r="F4130"/>
      <c r="G4130"/>
      <c r="H4130"/>
    </row>
    <row r="4131" spans="5:8">
      <c r="E4131"/>
      <c r="F4131"/>
      <c r="G4131"/>
      <c r="H4131"/>
    </row>
    <row r="4132" spans="5:8">
      <c r="E4132"/>
      <c r="F4132"/>
      <c r="G4132"/>
      <c r="H4132"/>
    </row>
    <row r="4133" spans="5:8">
      <c r="E4133"/>
      <c r="F4133"/>
      <c r="G4133"/>
      <c r="H4133"/>
    </row>
    <row r="4134" spans="5:8">
      <c r="E4134"/>
      <c r="F4134"/>
      <c r="G4134"/>
      <c r="H4134"/>
    </row>
    <row r="4135" spans="5:8">
      <c r="E4135"/>
      <c r="F4135"/>
      <c r="G4135"/>
      <c r="H4135"/>
    </row>
    <row r="4136" spans="5:8">
      <c r="E4136"/>
      <c r="F4136"/>
      <c r="G4136"/>
      <c r="H4136"/>
    </row>
    <row r="4137" spans="5:8">
      <c r="E4137"/>
      <c r="F4137"/>
      <c r="G4137"/>
      <c r="H4137"/>
    </row>
    <row r="4138" spans="5:8">
      <c r="E4138"/>
      <c r="F4138"/>
      <c r="G4138"/>
      <c r="H4138"/>
    </row>
    <row r="4139" spans="5:8">
      <c r="E4139"/>
      <c r="F4139"/>
      <c r="G4139"/>
      <c r="H4139"/>
    </row>
    <row r="4140" spans="5:8">
      <c r="E4140"/>
      <c r="F4140"/>
      <c r="G4140"/>
      <c r="H4140"/>
    </row>
    <row r="4141" spans="5:8">
      <c r="E4141"/>
      <c r="F4141"/>
      <c r="G4141"/>
      <c r="H4141"/>
    </row>
    <row r="4142" spans="5:8">
      <c r="E4142"/>
      <c r="F4142"/>
      <c r="G4142"/>
      <c r="H4142"/>
    </row>
    <row r="4143" spans="5:8">
      <c r="E4143"/>
      <c r="F4143"/>
      <c r="G4143"/>
      <c r="H4143"/>
    </row>
    <row r="4144" spans="5:8">
      <c r="E4144"/>
      <c r="F4144"/>
      <c r="G4144"/>
      <c r="H4144"/>
    </row>
    <row r="4145" spans="5:8">
      <c r="E4145"/>
      <c r="F4145"/>
      <c r="G4145"/>
      <c r="H4145"/>
    </row>
    <row r="4146" spans="5:8">
      <c r="E4146"/>
      <c r="F4146"/>
      <c r="G4146"/>
      <c r="H4146"/>
    </row>
    <row r="4147" spans="5:8">
      <c r="E4147"/>
      <c r="F4147"/>
      <c r="G4147"/>
      <c r="H4147"/>
    </row>
    <row r="4148" spans="5:8">
      <c r="E4148"/>
      <c r="F4148"/>
      <c r="G4148"/>
      <c r="H4148"/>
    </row>
    <row r="4149" spans="5:8">
      <c r="E4149"/>
      <c r="F4149"/>
      <c r="G4149"/>
      <c r="H4149"/>
    </row>
    <row r="4150" spans="5:8">
      <c r="E4150"/>
      <c r="F4150"/>
      <c r="G4150"/>
      <c r="H4150"/>
    </row>
    <row r="4151" spans="5:8">
      <c r="E4151"/>
      <c r="F4151"/>
      <c r="G4151"/>
      <c r="H4151"/>
    </row>
    <row r="4152" spans="5:8">
      <c r="E4152"/>
      <c r="F4152"/>
      <c r="G4152"/>
      <c r="H4152"/>
    </row>
    <row r="4153" spans="5:8">
      <c r="E4153"/>
      <c r="F4153"/>
      <c r="G4153"/>
      <c r="H4153"/>
    </row>
    <row r="4154" spans="5:8">
      <c r="E4154"/>
      <c r="F4154"/>
      <c r="G4154"/>
      <c r="H4154"/>
    </row>
    <row r="4155" spans="5:8">
      <c r="E4155"/>
      <c r="F4155"/>
      <c r="G4155"/>
      <c r="H4155"/>
    </row>
    <row r="4156" spans="5:8">
      <c r="E4156"/>
      <c r="F4156"/>
      <c r="G4156"/>
      <c r="H4156"/>
    </row>
    <row r="4157" spans="5:8">
      <c r="E4157"/>
      <c r="F4157"/>
      <c r="G4157"/>
      <c r="H4157"/>
    </row>
    <row r="4158" spans="5:8">
      <c r="E4158"/>
      <c r="F4158"/>
      <c r="G4158"/>
      <c r="H4158"/>
    </row>
    <row r="4159" spans="5:8">
      <c r="E4159"/>
      <c r="F4159"/>
      <c r="G4159"/>
      <c r="H4159"/>
    </row>
    <row r="4160" spans="5:8">
      <c r="E4160"/>
      <c r="F4160"/>
      <c r="G4160"/>
      <c r="H4160"/>
    </row>
    <row r="4161" spans="5:8">
      <c r="E4161"/>
      <c r="F4161"/>
      <c r="G4161"/>
      <c r="H4161"/>
    </row>
    <row r="4162" spans="5:8">
      <c r="E4162"/>
      <c r="F4162"/>
      <c r="G4162"/>
      <c r="H4162"/>
    </row>
    <row r="4163" spans="5:8">
      <c r="E4163"/>
      <c r="F4163"/>
      <c r="G4163"/>
      <c r="H4163"/>
    </row>
    <row r="4164" spans="5:8">
      <c r="E4164"/>
      <c r="F4164"/>
      <c r="G4164"/>
      <c r="H4164"/>
    </row>
    <row r="4165" spans="5:8">
      <c r="E4165"/>
      <c r="F4165"/>
      <c r="G4165"/>
      <c r="H4165"/>
    </row>
    <row r="4166" spans="5:8">
      <c r="E4166"/>
      <c r="F4166"/>
      <c r="G4166"/>
      <c r="H4166"/>
    </row>
    <row r="4167" spans="5:8">
      <c r="E4167"/>
      <c r="F4167"/>
      <c r="G4167"/>
      <c r="H4167"/>
    </row>
    <row r="4168" spans="5:8">
      <c r="E4168"/>
      <c r="F4168"/>
      <c r="G4168"/>
      <c r="H4168"/>
    </row>
    <row r="4169" spans="5:8">
      <c r="E4169"/>
      <c r="F4169"/>
      <c r="G4169"/>
      <c r="H4169"/>
    </row>
    <row r="4170" spans="5:8">
      <c r="E4170"/>
      <c r="F4170"/>
      <c r="G4170"/>
      <c r="H4170"/>
    </row>
    <row r="4171" spans="5:8">
      <c r="E4171"/>
      <c r="F4171"/>
      <c r="G4171"/>
      <c r="H4171"/>
    </row>
    <row r="4172" spans="5:8">
      <c r="E4172"/>
      <c r="F4172"/>
      <c r="G4172"/>
      <c r="H4172"/>
    </row>
    <row r="4173" spans="5:8">
      <c r="E4173"/>
      <c r="F4173"/>
      <c r="G4173"/>
      <c r="H4173"/>
    </row>
    <row r="4174" spans="5:8">
      <c r="E4174"/>
      <c r="F4174"/>
      <c r="G4174"/>
      <c r="H4174"/>
    </row>
    <row r="4175" spans="5:8">
      <c r="E4175"/>
      <c r="F4175"/>
      <c r="G4175"/>
      <c r="H4175"/>
    </row>
    <row r="4176" spans="5:8">
      <c r="E4176"/>
      <c r="F4176"/>
      <c r="G4176"/>
      <c r="H4176"/>
    </row>
    <row r="4177" spans="5:8">
      <c r="E4177"/>
      <c r="F4177"/>
      <c r="G4177"/>
      <c r="H4177"/>
    </row>
    <row r="4178" spans="5:8">
      <c r="E4178"/>
      <c r="F4178"/>
      <c r="G4178"/>
      <c r="H4178"/>
    </row>
    <row r="4179" spans="5:8">
      <c r="E4179"/>
      <c r="F4179"/>
      <c r="G4179"/>
      <c r="H4179"/>
    </row>
    <row r="4180" spans="5:8">
      <c r="E4180"/>
      <c r="F4180"/>
      <c r="G4180"/>
      <c r="H4180"/>
    </row>
    <row r="4181" spans="5:8">
      <c r="E4181"/>
      <c r="F4181"/>
      <c r="G4181"/>
      <c r="H4181"/>
    </row>
    <row r="4182" spans="5:8">
      <c r="E4182"/>
      <c r="F4182"/>
      <c r="G4182"/>
      <c r="H4182"/>
    </row>
    <row r="4183" spans="5:8">
      <c r="E4183"/>
      <c r="F4183"/>
      <c r="G4183"/>
      <c r="H4183"/>
    </row>
    <row r="4184" spans="5:8">
      <c r="E4184"/>
      <c r="F4184"/>
      <c r="G4184"/>
      <c r="H4184"/>
    </row>
    <row r="4185" spans="5:8">
      <c r="E4185"/>
      <c r="F4185"/>
      <c r="G4185"/>
      <c r="H4185"/>
    </row>
    <row r="4186" spans="5:8">
      <c r="E4186"/>
      <c r="F4186"/>
      <c r="G4186"/>
      <c r="H4186"/>
    </row>
    <row r="4187" spans="5:8">
      <c r="E4187"/>
      <c r="F4187"/>
      <c r="G4187"/>
      <c r="H4187"/>
    </row>
    <row r="4188" spans="5:8">
      <c r="E4188"/>
      <c r="F4188"/>
      <c r="G4188"/>
      <c r="H4188"/>
    </row>
    <row r="4189" spans="5:8">
      <c r="E4189"/>
      <c r="F4189"/>
      <c r="G4189"/>
      <c r="H4189"/>
    </row>
    <row r="4190" spans="5:8">
      <c r="E4190"/>
      <c r="F4190"/>
      <c r="G4190"/>
      <c r="H4190"/>
    </row>
    <row r="4191" spans="5:8">
      <c r="E4191"/>
      <c r="F4191"/>
      <c r="G4191"/>
      <c r="H4191"/>
    </row>
    <row r="4192" spans="5:8">
      <c r="E4192"/>
      <c r="F4192"/>
      <c r="G4192"/>
      <c r="H4192"/>
    </row>
    <row r="4193" spans="5:8">
      <c r="E4193"/>
      <c r="F4193"/>
      <c r="G4193"/>
      <c r="H4193"/>
    </row>
    <row r="4194" spans="5:8">
      <c r="E4194"/>
      <c r="F4194"/>
      <c r="G4194"/>
      <c r="H4194"/>
    </row>
    <row r="4195" spans="5:8">
      <c r="E4195"/>
      <c r="F4195"/>
      <c r="G4195"/>
      <c r="H4195"/>
    </row>
    <row r="4196" spans="5:8">
      <c r="E4196"/>
      <c r="F4196"/>
      <c r="G4196"/>
      <c r="H4196"/>
    </row>
    <row r="4197" spans="5:8">
      <c r="E4197"/>
      <c r="F4197"/>
      <c r="G4197"/>
      <c r="H4197"/>
    </row>
    <row r="4198" spans="5:8">
      <c r="E4198"/>
      <c r="F4198"/>
      <c r="G4198"/>
      <c r="H4198"/>
    </row>
    <row r="4199" spans="5:8">
      <c r="E4199"/>
      <c r="F4199"/>
      <c r="G4199"/>
      <c r="H4199"/>
    </row>
    <row r="4200" spans="5:8">
      <c r="E4200"/>
      <c r="F4200"/>
      <c r="G4200"/>
      <c r="H4200"/>
    </row>
    <row r="4201" spans="5:8">
      <c r="E4201"/>
      <c r="F4201"/>
      <c r="G4201"/>
      <c r="H4201"/>
    </row>
    <row r="4202" spans="5:8">
      <c r="E4202"/>
      <c r="F4202"/>
      <c r="G4202"/>
      <c r="H4202"/>
    </row>
    <row r="4203" spans="5:8">
      <c r="E4203"/>
      <c r="F4203"/>
      <c r="G4203"/>
      <c r="H4203"/>
    </row>
    <row r="4204" spans="5:8">
      <c r="E4204"/>
      <c r="F4204"/>
      <c r="G4204"/>
      <c r="H4204"/>
    </row>
    <row r="4205" spans="5:8">
      <c r="E4205"/>
      <c r="F4205"/>
      <c r="G4205"/>
      <c r="H4205"/>
    </row>
    <row r="4206" spans="5:8">
      <c r="E4206"/>
      <c r="F4206"/>
      <c r="G4206"/>
      <c r="H4206"/>
    </row>
    <row r="4207" spans="5:8">
      <c r="E4207"/>
      <c r="F4207"/>
      <c r="G4207"/>
      <c r="H4207"/>
    </row>
    <row r="4208" spans="5:8">
      <c r="E4208"/>
      <c r="F4208"/>
      <c r="G4208"/>
      <c r="H4208"/>
    </row>
    <row r="4209" spans="5:8">
      <c r="E4209"/>
      <c r="F4209"/>
      <c r="G4209"/>
      <c r="H4209"/>
    </row>
    <row r="4210" spans="5:8">
      <c r="E4210"/>
      <c r="F4210"/>
      <c r="G4210"/>
      <c r="H4210"/>
    </row>
    <row r="4211" spans="5:8">
      <c r="E4211"/>
      <c r="F4211"/>
      <c r="G4211"/>
      <c r="H4211"/>
    </row>
    <row r="4212" spans="5:8">
      <c r="E4212"/>
      <c r="F4212"/>
      <c r="G4212"/>
      <c r="H4212"/>
    </row>
    <row r="4213" spans="5:8">
      <c r="E4213"/>
      <c r="F4213"/>
      <c r="G4213"/>
      <c r="H4213"/>
    </row>
    <row r="4214" spans="5:8">
      <c r="E4214"/>
      <c r="F4214"/>
      <c r="G4214"/>
      <c r="H4214"/>
    </row>
    <row r="4215" spans="5:8">
      <c r="E4215"/>
      <c r="F4215"/>
      <c r="G4215"/>
      <c r="H4215"/>
    </row>
    <row r="4216" spans="5:8">
      <c r="E4216"/>
      <c r="F4216"/>
      <c r="G4216"/>
      <c r="H4216"/>
    </row>
    <row r="4217" spans="5:8">
      <c r="E4217"/>
      <c r="F4217"/>
      <c r="G4217"/>
      <c r="H4217"/>
    </row>
    <row r="4218" spans="5:8">
      <c r="E4218"/>
      <c r="F4218"/>
      <c r="G4218"/>
      <c r="H4218"/>
    </row>
    <row r="4219" spans="5:8">
      <c r="E4219"/>
      <c r="F4219"/>
      <c r="G4219"/>
      <c r="H4219"/>
    </row>
    <row r="4220" spans="5:8">
      <c r="E4220"/>
      <c r="F4220"/>
      <c r="G4220"/>
      <c r="H4220"/>
    </row>
    <row r="4221" spans="5:8">
      <c r="E4221"/>
      <c r="F4221"/>
      <c r="G4221"/>
      <c r="H4221"/>
    </row>
    <row r="4222" spans="5:8">
      <c r="E4222"/>
      <c r="F4222"/>
      <c r="G4222"/>
      <c r="H4222"/>
    </row>
    <row r="4223" spans="5:8">
      <c r="E4223"/>
      <c r="F4223"/>
      <c r="G4223"/>
      <c r="H4223"/>
    </row>
    <row r="4224" spans="5:8">
      <c r="E4224"/>
      <c r="F4224"/>
      <c r="G4224"/>
      <c r="H4224"/>
    </row>
    <row r="4225" spans="5:8">
      <c r="E4225"/>
      <c r="F4225"/>
      <c r="G4225"/>
      <c r="H4225"/>
    </row>
    <row r="4226" spans="5:8">
      <c r="E4226"/>
      <c r="F4226"/>
      <c r="G4226"/>
      <c r="H4226"/>
    </row>
    <row r="4227" spans="5:8">
      <c r="E4227"/>
      <c r="F4227"/>
      <c r="G4227"/>
      <c r="H4227"/>
    </row>
    <row r="4228" spans="5:8">
      <c r="E4228"/>
      <c r="F4228"/>
      <c r="G4228"/>
      <c r="H4228"/>
    </row>
    <row r="4229" spans="5:8">
      <c r="E4229"/>
      <c r="F4229"/>
      <c r="G4229"/>
      <c r="H4229"/>
    </row>
    <row r="4230" spans="5:8">
      <c r="E4230"/>
      <c r="F4230"/>
      <c r="G4230"/>
      <c r="H4230"/>
    </row>
    <row r="4231" spans="5:8">
      <c r="E4231"/>
      <c r="F4231"/>
      <c r="G4231"/>
      <c r="H4231"/>
    </row>
    <row r="4232" spans="5:8">
      <c r="E4232"/>
      <c r="F4232"/>
      <c r="G4232"/>
      <c r="H4232"/>
    </row>
    <row r="4233" spans="5:8">
      <c r="E4233"/>
      <c r="F4233"/>
      <c r="G4233"/>
      <c r="H4233"/>
    </row>
    <row r="4234" spans="5:8">
      <c r="E4234"/>
      <c r="F4234"/>
      <c r="G4234"/>
      <c r="H4234"/>
    </row>
    <row r="4235" spans="5:8">
      <c r="E4235"/>
      <c r="F4235"/>
      <c r="G4235"/>
      <c r="H4235"/>
    </row>
    <row r="4236" spans="5:8">
      <c r="E4236"/>
      <c r="F4236"/>
      <c r="G4236"/>
      <c r="H4236"/>
    </row>
    <row r="4237" spans="5:8">
      <c r="E4237"/>
      <c r="F4237"/>
      <c r="G4237"/>
      <c r="H4237"/>
    </row>
    <row r="4238" spans="5:8">
      <c r="E4238"/>
      <c r="F4238"/>
      <c r="G4238"/>
      <c r="H4238"/>
    </row>
    <row r="4239" spans="5:8">
      <c r="E4239"/>
      <c r="F4239"/>
      <c r="G4239"/>
      <c r="H4239"/>
    </row>
    <row r="4240" spans="5:8">
      <c r="E4240"/>
      <c r="F4240"/>
      <c r="G4240"/>
      <c r="H4240"/>
    </row>
    <row r="4241" spans="5:8">
      <c r="E4241"/>
      <c r="F4241"/>
      <c r="G4241"/>
      <c r="H4241"/>
    </row>
    <row r="4242" spans="5:8">
      <c r="E4242"/>
      <c r="F4242"/>
      <c r="G4242"/>
      <c r="H4242"/>
    </row>
    <row r="4243" spans="5:8">
      <c r="E4243"/>
      <c r="F4243"/>
      <c r="G4243"/>
      <c r="H4243"/>
    </row>
    <row r="4244" spans="5:8">
      <c r="E4244"/>
      <c r="F4244"/>
      <c r="G4244"/>
      <c r="H4244"/>
    </row>
    <row r="4245" spans="5:8">
      <c r="E4245"/>
      <c r="F4245"/>
      <c r="G4245"/>
      <c r="H4245"/>
    </row>
    <row r="4246" spans="5:8">
      <c r="E4246"/>
      <c r="F4246"/>
      <c r="G4246"/>
      <c r="H4246"/>
    </row>
    <row r="4247" spans="5:8">
      <c r="E4247"/>
      <c r="F4247"/>
      <c r="G4247"/>
      <c r="H4247"/>
    </row>
    <row r="4248" spans="5:8">
      <c r="E4248"/>
      <c r="F4248"/>
      <c r="G4248"/>
      <c r="H4248"/>
    </row>
    <row r="4249" spans="5:8">
      <c r="E4249"/>
      <c r="F4249"/>
      <c r="G4249"/>
      <c r="H4249"/>
    </row>
    <row r="4250" spans="5:8">
      <c r="E4250"/>
      <c r="F4250"/>
      <c r="G4250"/>
      <c r="H4250"/>
    </row>
    <row r="4251" spans="5:8">
      <c r="E4251"/>
      <c r="F4251"/>
      <c r="G4251"/>
      <c r="H4251"/>
    </row>
    <row r="4252" spans="5:8">
      <c r="E4252"/>
      <c r="F4252"/>
      <c r="G4252"/>
      <c r="H4252"/>
    </row>
    <row r="4253" spans="5:8">
      <c r="E4253"/>
      <c r="F4253"/>
      <c r="G4253"/>
      <c r="H4253"/>
    </row>
    <row r="4254" spans="5:8">
      <c r="E4254"/>
      <c r="F4254"/>
      <c r="G4254"/>
      <c r="H4254"/>
    </row>
    <row r="4255" spans="5:8">
      <c r="E4255"/>
      <c r="F4255"/>
      <c r="G4255"/>
      <c r="H4255"/>
    </row>
    <row r="4256" spans="5:8">
      <c r="E4256"/>
      <c r="F4256"/>
      <c r="G4256"/>
      <c r="H4256"/>
    </row>
    <row r="4257" spans="5:8">
      <c r="E4257"/>
      <c r="F4257"/>
      <c r="G4257"/>
      <c r="H4257"/>
    </row>
    <row r="4258" spans="5:8">
      <c r="E4258"/>
      <c r="F4258"/>
      <c r="G4258"/>
      <c r="H4258"/>
    </row>
    <row r="4259" spans="5:8">
      <c r="E4259"/>
      <c r="F4259"/>
      <c r="G4259"/>
      <c r="H4259"/>
    </row>
    <row r="4260" spans="5:8">
      <c r="E4260"/>
      <c r="F4260"/>
      <c r="G4260"/>
      <c r="H4260"/>
    </row>
    <row r="4261" spans="5:8">
      <c r="E4261"/>
      <c r="F4261"/>
      <c r="G4261"/>
      <c r="H4261"/>
    </row>
    <row r="4262" spans="5:8">
      <c r="E4262"/>
      <c r="F4262"/>
      <c r="G4262"/>
      <c r="H4262"/>
    </row>
    <row r="4263" spans="5:8">
      <c r="E4263"/>
      <c r="F4263"/>
      <c r="G4263"/>
      <c r="H4263"/>
    </row>
    <row r="4264" spans="5:8">
      <c r="E4264"/>
      <c r="F4264"/>
      <c r="G4264"/>
      <c r="H4264"/>
    </row>
    <row r="4265" spans="5:8">
      <c r="E4265"/>
      <c r="F4265"/>
      <c r="G4265"/>
      <c r="H4265"/>
    </row>
    <row r="4266" spans="5:8">
      <c r="E4266"/>
      <c r="F4266"/>
      <c r="G4266"/>
      <c r="H4266"/>
    </row>
    <row r="4267" spans="5:8">
      <c r="E4267"/>
      <c r="F4267"/>
      <c r="G4267"/>
      <c r="H4267"/>
    </row>
    <row r="4268" spans="5:8">
      <c r="E4268"/>
      <c r="F4268"/>
      <c r="G4268"/>
      <c r="H4268"/>
    </row>
    <row r="4269" spans="5:8">
      <c r="E4269"/>
      <c r="F4269"/>
      <c r="G4269"/>
      <c r="H4269"/>
    </row>
    <row r="4270" spans="5:8">
      <c r="E4270"/>
      <c r="F4270"/>
      <c r="G4270"/>
      <c r="H4270"/>
    </row>
    <row r="4271" spans="5:8">
      <c r="E4271"/>
      <c r="F4271"/>
      <c r="G4271"/>
      <c r="H4271"/>
    </row>
    <row r="4272" spans="5:8">
      <c r="E4272"/>
      <c r="F4272"/>
      <c r="G4272"/>
      <c r="H4272"/>
    </row>
    <row r="4273" spans="5:8">
      <c r="E4273"/>
      <c r="F4273"/>
      <c r="G4273"/>
      <c r="H4273"/>
    </row>
    <row r="4274" spans="5:8">
      <c r="E4274"/>
      <c r="F4274"/>
      <c r="G4274"/>
      <c r="H4274"/>
    </row>
    <row r="4275" spans="5:8">
      <c r="E4275"/>
      <c r="F4275"/>
      <c r="G4275"/>
      <c r="H4275"/>
    </row>
    <row r="4276" spans="5:8">
      <c r="E4276"/>
      <c r="F4276"/>
      <c r="G4276"/>
      <c r="H4276"/>
    </row>
    <row r="4277" spans="5:8">
      <c r="E4277"/>
      <c r="F4277"/>
      <c r="G4277"/>
      <c r="H4277"/>
    </row>
    <row r="4278" spans="5:8">
      <c r="E4278"/>
      <c r="F4278"/>
      <c r="G4278"/>
      <c r="H4278"/>
    </row>
    <row r="4279" spans="5:8">
      <c r="E4279"/>
      <c r="F4279"/>
      <c r="G4279"/>
      <c r="H4279"/>
    </row>
    <row r="4280" spans="5:8">
      <c r="E4280"/>
      <c r="F4280"/>
      <c r="G4280"/>
      <c r="H4280"/>
    </row>
    <row r="4281" spans="5:8">
      <c r="E4281"/>
      <c r="F4281"/>
      <c r="G4281"/>
      <c r="H4281"/>
    </row>
    <row r="4282" spans="5:8">
      <c r="E4282"/>
      <c r="F4282"/>
      <c r="G4282"/>
      <c r="H4282"/>
    </row>
    <row r="4283" spans="5:8">
      <c r="E4283"/>
      <c r="F4283"/>
      <c r="G4283"/>
      <c r="H4283"/>
    </row>
    <row r="4284" spans="5:8">
      <c r="E4284"/>
      <c r="F4284"/>
      <c r="G4284"/>
      <c r="H4284"/>
    </row>
    <row r="4285" spans="5:8">
      <c r="E4285"/>
      <c r="F4285"/>
      <c r="G4285"/>
      <c r="H4285"/>
    </row>
    <row r="4286" spans="5:8">
      <c r="E4286"/>
      <c r="F4286"/>
      <c r="G4286"/>
      <c r="H4286"/>
    </row>
    <row r="4287" spans="5:8">
      <c r="E4287"/>
      <c r="F4287"/>
      <c r="G4287"/>
      <c r="H4287"/>
    </row>
    <row r="4288" spans="5:8">
      <c r="E4288"/>
      <c r="F4288"/>
      <c r="G4288"/>
      <c r="H4288"/>
    </row>
    <row r="4289" spans="5:8">
      <c r="E4289"/>
      <c r="F4289"/>
      <c r="G4289"/>
      <c r="H4289"/>
    </row>
    <row r="4290" spans="5:8">
      <c r="E4290"/>
      <c r="F4290"/>
      <c r="G4290"/>
      <c r="H4290"/>
    </row>
    <row r="4291" spans="5:8">
      <c r="E4291"/>
      <c r="F4291"/>
      <c r="G4291"/>
      <c r="H4291"/>
    </row>
    <row r="4292" spans="5:8">
      <c r="E4292"/>
      <c r="F4292"/>
      <c r="G4292"/>
      <c r="H4292"/>
    </row>
    <row r="4293" spans="5:8">
      <c r="E4293"/>
      <c r="F4293"/>
      <c r="G4293"/>
      <c r="H4293"/>
    </row>
    <row r="4294" spans="5:8">
      <c r="E4294"/>
      <c r="F4294"/>
      <c r="G4294"/>
      <c r="H4294"/>
    </row>
    <row r="4295" spans="5:8">
      <c r="E4295"/>
      <c r="F4295"/>
      <c r="G4295"/>
      <c r="H4295"/>
    </row>
    <row r="4296" spans="5:8">
      <c r="E4296"/>
      <c r="F4296"/>
      <c r="G4296"/>
      <c r="H4296"/>
    </row>
    <row r="4297" spans="5:8">
      <c r="E4297"/>
      <c r="F4297"/>
      <c r="G4297"/>
      <c r="H4297"/>
    </row>
    <row r="4298" spans="5:8">
      <c r="E4298"/>
      <c r="F4298"/>
      <c r="G4298"/>
      <c r="H4298"/>
    </row>
    <row r="4299" spans="5:8">
      <c r="E4299"/>
      <c r="F4299"/>
      <c r="G4299"/>
      <c r="H4299"/>
    </row>
    <row r="4300" spans="5:8">
      <c r="E4300"/>
      <c r="F4300"/>
      <c r="G4300"/>
      <c r="H4300"/>
    </row>
    <row r="4301" spans="5:8">
      <c r="E4301"/>
      <c r="F4301"/>
      <c r="G4301"/>
      <c r="H4301"/>
    </row>
    <row r="4302" spans="5:8">
      <c r="E4302"/>
      <c r="F4302"/>
      <c r="G4302"/>
      <c r="H4302"/>
    </row>
    <row r="4303" spans="5:8">
      <c r="E4303"/>
      <c r="F4303"/>
      <c r="G4303"/>
      <c r="H4303"/>
    </row>
    <row r="4304" spans="5:8">
      <c r="E4304"/>
      <c r="F4304"/>
      <c r="G4304"/>
      <c r="H4304"/>
    </row>
    <row r="4305" spans="5:8">
      <c r="E4305"/>
      <c r="F4305"/>
      <c r="G4305"/>
      <c r="H4305"/>
    </row>
    <row r="4306" spans="5:8">
      <c r="E4306"/>
      <c r="F4306"/>
      <c r="G4306"/>
      <c r="H4306"/>
    </row>
    <row r="4307" spans="5:8">
      <c r="E4307"/>
      <c r="F4307"/>
      <c r="G4307"/>
      <c r="H4307"/>
    </row>
    <row r="4308" spans="5:8">
      <c r="E4308"/>
      <c r="F4308"/>
      <c r="G4308"/>
      <c r="H4308"/>
    </row>
    <row r="4309" spans="5:8">
      <c r="E4309"/>
      <c r="F4309"/>
      <c r="G4309"/>
      <c r="H4309"/>
    </row>
    <row r="4310" spans="5:8">
      <c r="E4310"/>
      <c r="F4310"/>
      <c r="G4310"/>
      <c r="H4310"/>
    </row>
    <row r="4311" spans="5:8">
      <c r="E4311"/>
      <c r="F4311"/>
      <c r="G4311"/>
      <c r="H4311"/>
    </row>
    <row r="4312" spans="5:8">
      <c r="E4312"/>
      <c r="F4312"/>
      <c r="G4312"/>
      <c r="H4312"/>
    </row>
    <row r="4313" spans="5:8">
      <c r="E4313"/>
      <c r="F4313"/>
      <c r="G4313"/>
      <c r="H4313"/>
    </row>
    <row r="4314" spans="5:8">
      <c r="E4314"/>
      <c r="F4314"/>
      <c r="G4314"/>
      <c r="H4314"/>
    </row>
    <row r="4315" spans="5:8">
      <c r="E4315"/>
      <c r="F4315"/>
      <c r="G4315"/>
      <c r="H4315"/>
    </row>
    <row r="4316" spans="5:8">
      <c r="E4316"/>
      <c r="F4316"/>
      <c r="G4316"/>
      <c r="H4316"/>
    </row>
    <row r="4317" spans="5:8">
      <c r="E4317"/>
      <c r="F4317"/>
      <c r="G4317"/>
      <c r="H4317"/>
    </row>
    <row r="4318" spans="5:8">
      <c r="E4318"/>
      <c r="F4318"/>
      <c r="G4318"/>
      <c r="H4318"/>
    </row>
    <row r="4319" spans="5:8">
      <c r="E4319"/>
      <c r="F4319"/>
      <c r="G4319"/>
      <c r="H4319"/>
    </row>
    <row r="4320" spans="5:8">
      <c r="E4320"/>
      <c r="F4320"/>
      <c r="G4320"/>
      <c r="H4320"/>
    </row>
    <row r="4321" spans="5:8">
      <c r="E4321"/>
      <c r="F4321"/>
      <c r="G4321"/>
      <c r="H4321"/>
    </row>
    <row r="4322" spans="5:8">
      <c r="E4322"/>
      <c r="F4322"/>
      <c r="G4322"/>
      <c r="H4322"/>
    </row>
    <row r="4323" spans="5:8">
      <c r="E4323"/>
      <c r="F4323"/>
      <c r="G4323"/>
      <c r="H4323"/>
    </row>
    <row r="4324" spans="5:8">
      <c r="E4324"/>
      <c r="F4324"/>
      <c r="G4324"/>
      <c r="H4324"/>
    </row>
    <row r="4325" spans="5:8">
      <c r="E4325"/>
      <c r="F4325"/>
      <c r="G4325"/>
      <c r="H4325"/>
    </row>
    <row r="4326" spans="5:8">
      <c r="E4326"/>
      <c r="F4326"/>
      <c r="G4326"/>
      <c r="H4326"/>
    </row>
    <row r="4327" spans="5:8">
      <c r="E4327"/>
      <c r="F4327"/>
      <c r="G4327"/>
      <c r="H4327"/>
    </row>
    <row r="4328" spans="5:8">
      <c r="E4328"/>
      <c r="F4328"/>
      <c r="G4328"/>
      <c r="H4328"/>
    </row>
    <row r="4329" spans="5:8">
      <c r="E4329"/>
      <c r="F4329"/>
      <c r="G4329"/>
      <c r="H4329"/>
    </row>
    <row r="4330" spans="5:8">
      <c r="E4330"/>
      <c r="F4330"/>
      <c r="G4330"/>
      <c r="H4330"/>
    </row>
    <row r="4331" spans="5:8">
      <c r="E4331"/>
      <c r="F4331"/>
      <c r="G4331"/>
      <c r="H4331"/>
    </row>
    <row r="4332" spans="5:8">
      <c r="E4332"/>
      <c r="F4332"/>
      <c r="G4332"/>
      <c r="H4332"/>
    </row>
    <row r="4333" spans="5:8">
      <c r="E4333"/>
      <c r="F4333"/>
      <c r="G4333"/>
      <c r="H4333"/>
    </row>
    <row r="4334" spans="5:8">
      <c r="E4334"/>
      <c r="F4334"/>
      <c r="G4334"/>
      <c r="H4334"/>
    </row>
    <row r="4335" spans="5:8">
      <c r="E4335"/>
      <c r="F4335"/>
      <c r="G4335"/>
      <c r="H4335"/>
    </row>
    <row r="4336" spans="5:8">
      <c r="E4336"/>
      <c r="F4336"/>
      <c r="G4336"/>
      <c r="H4336"/>
    </row>
    <row r="4337" spans="5:8">
      <c r="E4337"/>
      <c r="F4337"/>
      <c r="G4337"/>
      <c r="H4337"/>
    </row>
    <row r="4338" spans="5:8">
      <c r="E4338"/>
      <c r="F4338"/>
      <c r="G4338"/>
      <c r="H4338"/>
    </row>
    <row r="4339" spans="5:8">
      <c r="E4339"/>
      <c r="F4339"/>
      <c r="G4339"/>
      <c r="H4339"/>
    </row>
    <row r="4340" spans="5:8">
      <c r="E4340"/>
      <c r="F4340"/>
      <c r="G4340"/>
      <c r="H4340"/>
    </row>
    <row r="4341" spans="5:8">
      <c r="E4341"/>
      <c r="F4341"/>
      <c r="G4341"/>
      <c r="H4341"/>
    </row>
    <row r="4342" spans="5:8">
      <c r="E4342"/>
      <c r="F4342"/>
      <c r="G4342"/>
      <c r="H4342"/>
    </row>
    <row r="4343" spans="5:8">
      <c r="E4343"/>
      <c r="F4343"/>
      <c r="G4343"/>
      <c r="H4343"/>
    </row>
    <row r="4344" spans="5:8">
      <c r="E4344"/>
      <c r="F4344"/>
      <c r="G4344"/>
      <c r="H4344"/>
    </row>
    <row r="4345" spans="5:8">
      <c r="E4345"/>
      <c r="F4345"/>
      <c r="G4345"/>
      <c r="H4345"/>
    </row>
    <row r="4346" spans="5:8">
      <c r="E4346"/>
      <c r="F4346"/>
      <c r="G4346"/>
      <c r="H4346"/>
    </row>
    <row r="4347" spans="5:8">
      <c r="E4347"/>
      <c r="F4347"/>
      <c r="G4347"/>
      <c r="H4347"/>
    </row>
    <row r="4348" spans="5:8">
      <c r="E4348"/>
      <c r="F4348"/>
      <c r="G4348"/>
      <c r="H4348"/>
    </row>
    <row r="4349" spans="5:8">
      <c r="E4349"/>
      <c r="F4349"/>
      <c r="G4349"/>
      <c r="H4349"/>
    </row>
    <row r="4350" spans="5:8">
      <c r="E4350"/>
      <c r="F4350"/>
      <c r="G4350"/>
      <c r="H4350"/>
    </row>
    <row r="4351" spans="5:8">
      <c r="E4351"/>
      <c r="F4351"/>
      <c r="G4351"/>
      <c r="H4351"/>
    </row>
    <row r="4352" spans="5:8">
      <c r="E4352"/>
      <c r="F4352"/>
      <c r="G4352"/>
      <c r="H4352"/>
    </row>
    <row r="4353" spans="5:8">
      <c r="E4353"/>
      <c r="F4353"/>
      <c r="G4353"/>
      <c r="H4353"/>
    </row>
    <row r="4354" spans="5:8">
      <c r="E4354"/>
      <c r="F4354"/>
      <c r="G4354"/>
      <c r="H4354"/>
    </row>
    <row r="4355" spans="5:8">
      <c r="E4355"/>
      <c r="F4355"/>
      <c r="G4355"/>
      <c r="H4355"/>
    </row>
    <row r="4356" spans="5:8">
      <c r="E4356"/>
      <c r="F4356"/>
      <c r="G4356"/>
      <c r="H4356"/>
    </row>
    <row r="4357" spans="5:8">
      <c r="E4357"/>
      <c r="F4357"/>
      <c r="G4357"/>
      <c r="H4357"/>
    </row>
    <row r="4358" spans="5:8">
      <c r="E4358"/>
      <c r="F4358"/>
      <c r="G4358"/>
      <c r="H4358"/>
    </row>
    <row r="4359" spans="5:8">
      <c r="E4359"/>
      <c r="F4359"/>
      <c r="G4359"/>
      <c r="H4359"/>
    </row>
    <row r="4360" spans="5:8">
      <c r="E4360"/>
      <c r="F4360"/>
      <c r="G4360"/>
      <c r="H4360"/>
    </row>
    <row r="4361" spans="5:8">
      <c r="E4361"/>
      <c r="F4361"/>
      <c r="G4361"/>
      <c r="H4361"/>
    </row>
    <row r="4362" spans="5:8">
      <c r="E4362"/>
      <c r="F4362"/>
      <c r="G4362"/>
      <c r="H4362"/>
    </row>
    <row r="4363" spans="5:8">
      <c r="E4363"/>
      <c r="F4363"/>
      <c r="G4363"/>
      <c r="H4363"/>
    </row>
    <row r="4364" spans="5:8">
      <c r="E4364"/>
      <c r="F4364"/>
      <c r="G4364"/>
      <c r="H4364"/>
    </row>
    <row r="4365" spans="5:8">
      <c r="E4365"/>
      <c r="F4365"/>
      <c r="G4365"/>
      <c r="H4365"/>
    </row>
    <row r="4366" spans="5:8">
      <c r="E4366"/>
      <c r="F4366"/>
      <c r="G4366"/>
      <c r="H4366"/>
    </row>
    <row r="4367" spans="5:8">
      <c r="E4367"/>
      <c r="F4367"/>
      <c r="G4367"/>
      <c r="H4367"/>
    </row>
    <row r="4368" spans="5:8">
      <c r="E4368"/>
      <c r="F4368"/>
      <c r="G4368"/>
      <c r="H4368"/>
    </row>
    <row r="4369" spans="5:8">
      <c r="E4369"/>
      <c r="F4369"/>
      <c r="G4369"/>
      <c r="H4369"/>
    </row>
    <row r="4370" spans="5:8">
      <c r="E4370"/>
      <c r="F4370"/>
      <c r="G4370"/>
      <c r="H4370"/>
    </row>
    <row r="4371" spans="5:8">
      <c r="E4371"/>
      <c r="F4371"/>
      <c r="G4371"/>
      <c r="H4371"/>
    </row>
    <row r="4372" spans="5:8">
      <c r="E4372"/>
      <c r="F4372"/>
      <c r="G4372"/>
      <c r="H4372"/>
    </row>
    <row r="4373" spans="5:8">
      <c r="E4373"/>
      <c r="F4373"/>
      <c r="G4373"/>
      <c r="H4373"/>
    </row>
    <row r="4374" spans="5:8">
      <c r="E4374"/>
      <c r="F4374"/>
      <c r="G4374"/>
      <c r="H4374"/>
    </row>
    <row r="4375" spans="5:8">
      <c r="E4375"/>
      <c r="F4375"/>
      <c r="G4375"/>
      <c r="H4375"/>
    </row>
    <row r="4376" spans="5:8">
      <c r="E4376"/>
      <c r="F4376"/>
      <c r="G4376"/>
      <c r="H4376"/>
    </row>
    <row r="4377" spans="5:8">
      <c r="E4377"/>
      <c r="F4377"/>
      <c r="G4377"/>
      <c r="H4377"/>
    </row>
    <row r="4378" spans="5:8">
      <c r="E4378"/>
      <c r="F4378"/>
      <c r="G4378"/>
      <c r="H4378"/>
    </row>
    <row r="4379" spans="5:8">
      <c r="E4379"/>
      <c r="F4379"/>
      <c r="G4379"/>
      <c r="H4379"/>
    </row>
    <row r="4380" spans="5:8">
      <c r="E4380"/>
      <c r="F4380"/>
      <c r="G4380"/>
      <c r="H4380"/>
    </row>
    <row r="4381" spans="5:8">
      <c r="E4381"/>
      <c r="F4381"/>
      <c r="G4381"/>
      <c r="H4381"/>
    </row>
    <row r="4382" spans="5:8">
      <c r="E4382"/>
      <c r="F4382"/>
      <c r="G4382"/>
      <c r="H4382"/>
    </row>
    <row r="4383" spans="5:8">
      <c r="E4383"/>
      <c r="F4383"/>
      <c r="G4383"/>
      <c r="H4383"/>
    </row>
    <row r="4384" spans="5:8">
      <c r="E4384"/>
      <c r="F4384"/>
      <c r="G4384"/>
      <c r="H4384"/>
    </row>
    <row r="4385" spans="5:8">
      <c r="E4385"/>
      <c r="F4385"/>
      <c r="G4385"/>
      <c r="H4385"/>
    </row>
    <row r="4386" spans="5:8">
      <c r="E4386"/>
      <c r="F4386"/>
      <c r="G4386"/>
      <c r="H4386"/>
    </row>
    <row r="4387" spans="5:8">
      <c r="E4387"/>
      <c r="F4387"/>
      <c r="G4387"/>
      <c r="H4387"/>
    </row>
    <row r="4388" spans="5:8">
      <c r="E4388"/>
      <c r="F4388"/>
      <c r="G4388"/>
      <c r="H4388"/>
    </row>
    <row r="4389" spans="5:8">
      <c r="E4389"/>
      <c r="F4389"/>
      <c r="G4389"/>
      <c r="H4389"/>
    </row>
    <row r="4390" spans="5:8">
      <c r="E4390"/>
      <c r="F4390"/>
      <c r="G4390"/>
      <c r="H4390"/>
    </row>
    <row r="4391" spans="5:8">
      <c r="E4391"/>
      <c r="F4391"/>
      <c r="G4391"/>
      <c r="H4391"/>
    </row>
    <row r="4392" spans="5:8">
      <c r="E4392"/>
      <c r="F4392"/>
      <c r="G4392"/>
      <c r="H4392"/>
    </row>
    <row r="4393" spans="5:8">
      <c r="E4393"/>
      <c r="F4393"/>
      <c r="G4393"/>
      <c r="H4393"/>
    </row>
    <row r="4394" spans="5:8">
      <c r="E4394"/>
      <c r="F4394"/>
      <c r="G4394"/>
      <c r="H4394"/>
    </row>
    <row r="4395" spans="5:8">
      <c r="E4395"/>
      <c r="F4395"/>
      <c r="G4395"/>
      <c r="H4395"/>
    </row>
    <row r="4396" spans="5:8">
      <c r="E4396"/>
      <c r="F4396"/>
      <c r="G4396"/>
      <c r="H4396"/>
    </row>
    <row r="4397" spans="5:8">
      <c r="E4397"/>
      <c r="F4397"/>
      <c r="G4397"/>
      <c r="H4397"/>
    </row>
    <row r="4398" spans="5:8">
      <c r="E4398"/>
      <c r="F4398"/>
      <c r="G4398"/>
      <c r="H4398"/>
    </row>
    <row r="4399" spans="5:8">
      <c r="E4399"/>
      <c r="F4399"/>
      <c r="G4399"/>
      <c r="H4399"/>
    </row>
    <row r="4400" spans="5:8">
      <c r="E4400"/>
      <c r="F4400"/>
      <c r="G4400"/>
      <c r="H4400"/>
    </row>
    <row r="4401" spans="5:8">
      <c r="E4401"/>
      <c r="F4401"/>
      <c r="G4401"/>
      <c r="H4401"/>
    </row>
    <row r="4402" spans="5:8">
      <c r="E4402"/>
      <c r="F4402"/>
      <c r="G4402"/>
      <c r="H4402"/>
    </row>
    <row r="4403" spans="5:8">
      <c r="E4403"/>
      <c r="F4403"/>
      <c r="G4403"/>
      <c r="H4403"/>
    </row>
    <row r="4404" spans="5:8">
      <c r="E4404"/>
      <c r="F4404"/>
      <c r="G4404"/>
      <c r="H4404"/>
    </row>
    <row r="4405" spans="5:8">
      <c r="E4405"/>
      <c r="F4405"/>
      <c r="G4405"/>
      <c r="H4405"/>
    </row>
    <row r="4406" spans="5:8">
      <c r="E4406"/>
      <c r="F4406"/>
      <c r="G4406"/>
      <c r="H4406"/>
    </row>
    <row r="4407" spans="5:8">
      <c r="E4407"/>
      <c r="F4407"/>
      <c r="G4407"/>
      <c r="H4407"/>
    </row>
    <row r="4408" spans="5:8">
      <c r="E4408"/>
      <c r="F4408"/>
      <c r="G4408"/>
      <c r="H4408"/>
    </row>
    <row r="4409" spans="5:8">
      <c r="E4409"/>
      <c r="F4409"/>
      <c r="G4409"/>
      <c r="H4409"/>
    </row>
    <row r="4410" spans="5:8">
      <c r="E4410"/>
      <c r="F4410"/>
      <c r="G4410"/>
      <c r="H4410"/>
    </row>
    <row r="4411" spans="5:8">
      <c r="E4411"/>
      <c r="F4411"/>
      <c r="G4411"/>
      <c r="H4411"/>
    </row>
    <row r="4412" spans="5:8">
      <c r="E4412"/>
      <c r="F4412"/>
      <c r="G4412"/>
      <c r="H4412"/>
    </row>
    <row r="4413" spans="5:8">
      <c r="E4413"/>
      <c r="F4413"/>
      <c r="G4413"/>
      <c r="H4413"/>
    </row>
    <row r="4414" spans="5:8">
      <c r="E4414"/>
      <c r="F4414"/>
      <c r="G4414"/>
      <c r="H4414"/>
    </row>
    <row r="4415" spans="5:8">
      <c r="E4415"/>
      <c r="F4415"/>
      <c r="G4415"/>
      <c r="H4415"/>
    </row>
    <row r="4416" spans="5:8">
      <c r="E4416"/>
      <c r="F4416"/>
      <c r="G4416"/>
      <c r="H4416"/>
    </row>
    <row r="4417" spans="5:8">
      <c r="E4417"/>
      <c r="F4417"/>
      <c r="G4417"/>
      <c r="H4417"/>
    </row>
    <row r="4418" spans="5:8">
      <c r="E4418"/>
      <c r="F4418"/>
      <c r="G4418"/>
      <c r="H4418"/>
    </row>
    <row r="4419" spans="5:8">
      <c r="E4419"/>
      <c r="F4419"/>
      <c r="G4419"/>
      <c r="H4419"/>
    </row>
    <row r="4420" spans="5:8">
      <c r="E4420"/>
      <c r="F4420"/>
      <c r="G4420"/>
      <c r="H4420"/>
    </row>
    <row r="4421" spans="5:8">
      <c r="E4421"/>
      <c r="F4421"/>
      <c r="G4421"/>
      <c r="H4421"/>
    </row>
    <row r="4422" spans="5:8">
      <c r="E4422"/>
      <c r="F4422"/>
      <c r="G4422"/>
      <c r="H4422"/>
    </row>
    <row r="4423" spans="5:8">
      <c r="E4423"/>
      <c r="F4423"/>
      <c r="G4423"/>
      <c r="H4423"/>
    </row>
    <row r="4424" spans="5:8">
      <c r="E4424"/>
      <c r="F4424"/>
      <c r="G4424"/>
      <c r="H4424"/>
    </row>
    <row r="4425" spans="5:8">
      <c r="E4425"/>
      <c r="F4425"/>
      <c r="G4425"/>
      <c r="H4425"/>
    </row>
    <row r="4426" spans="5:8">
      <c r="E4426"/>
      <c r="F4426"/>
      <c r="G4426"/>
      <c r="H4426"/>
    </row>
    <row r="4427" spans="5:8">
      <c r="E4427"/>
      <c r="F4427"/>
      <c r="G4427"/>
      <c r="H4427"/>
    </row>
    <row r="4428" spans="5:8">
      <c r="E4428"/>
      <c r="F4428"/>
      <c r="G4428"/>
      <c r="H4428"/>
    </row>
    <row r="4429" spans="5:8">
      <c r="E4429"/>
      <c r="F4429"/>
      <c r="G4429"/>
      <c r="H4429"/>
    </row>
    <row r="4430" spans="5:8">
      <c r="E4430"/>
      <c r="F4430"/>
      <c r="G4430"/>
      <c r="H4430"/>
    </row>
    <row r="4431" spans="5:8">
      <c r="E4431"/>
      <c r="F4431"/>
      <c r="G4431"/>
      <c r="H4431"/>
    </row>
    <row r="4432" spans="5:8">
      <c r="E4432"/>
      <c r="F4432"/>
      <c r="G4432"/>
      <c r="H4432"/>
    </row>
    <row r="4433" spans="5:8">
      <c r="E4433"/>
      <c r="F4433"/>
      <c r="G4433"/>
      <c r="H4433"/>
    </row>
    <row r="4434" spans="5:8">
      <c r="E4434"/>
      <c r="F4434"/>
      <c r="G4434"/>
      <c r="H4434"/>
    </row>
    <row r="4435" spans="5:8">
      <c r="E4435"/>
      <c r="F4435"/>
      <c r="G4435"/>
      <c r="H4435"/>
    </row>
    <row r="4436" spans="5:8">
      <c r="E4436"/>
      <c r="F4436"/>
      <c r="G4436"/>
      <c r="H4436"/>
    </row>
    <row r="4437" spans="5:8">
      <c r="E4437"/>
      <c r="F4437"/>
      <c r="G4437"/>
      <c r="H4437"/>
    </row>
    <row r="4438" spans="5:8">
      <c r="E4438"/>
      <c r="F4438"/>
      <c r="G4438"/>
      <c r="H4438"/>
    </row>
    <row r="4439" spans="5:8">
      <c r="E4439"/>
      <c r="F4439"/>
      <c r="G4439"/>
      <c r="H4439"/>
    </row>
    <row r="4440" spans="5:8">
      <c r="E4440"/>
      <c r="F4440"/>
      <c r="G4440"/>
      <c r="H4440"/>
    </row>
    <row r="4441" spans="5:8">
      <c r="E4441"/>
      <c r="F4441"/>
      <c r="G4441"/>
      <c r="H4441"/>
    </row>
    <row r="4442" spans="5:8">
      <c r="E4442"/>
      <c r="F4442"/>
      <c r="G4442"/>
      <c r="H4442"/>
    </row>
    <row r="4443" spans="5:8">
      <c r="E4443"/>
      <c r="F4443"/>
      <c r="G4443"/>
      <c r="H4443"/>
    </row>
    <row r="4444" spans="5:8">
      <c r="E4444"/>
      <c r="F4444"/>
      <c r="G4444"/>
      <c r="H4444"/>
    </row>
    <row r="4445" spans="5:8">
      <c r="E4445"/>
      <c r="F4445"/>
      <c r="G4445"/>
      <c r="H4445"/>
    </row>
    <row r="4446" spans="5:8">
      <c r="E4446"/>
      <c r="F4446"/>
      <c r="G4446"/>
      <c r="H4446"/>
    </row>
    <row r="4447" spans="5:8">
      <c r="E4447"/>
      <c r="F4447"/>
      <c r="G4447"/>
      <c r="H4447"/>
    </row>
    <row r="4448" spans="5:8">
      <c r="E4448"/>
      <c r="F4448"/>
      <c r="G4448"/>
      <c r="H4448"/>
    </row>
    <row r="4449" spans="5:8">
      <c r="E4449"/>
      <c r="F4449"/>
      <c r="G4449"/>
      <c r="H4449"/>
    </row>
    <row r="4450" spans="5:8">
      <c r="E4450"/>
      <c r="F4450"/>
      <c r="G4450"/>
      <c r="H4450"/>
    </row>
    <row r="4451" spans="5:8">
      <c r="E4451"/>
      <c r="F4451"/>
      <c r="G4451"/>
      <c r="H4451"/>
    </row>
    <row r="4452" spans="5:8">
      <c r="E4452"/>
      <c r="F4452"/>
      <c r="G4452"/>
      <c r="H4452"/>
    </row>
    <row r="4453" spans="5:8">
      <c r="E4453"/>
      <c r="F4453"/>
      <c r="G4453"/>
      <c r="H4453"/>
    </row>
    <row r="4454" spans="5:8">
      <c r="E4454"/>
      <c r="F4454"/>
      <c r="G4454"/>
      <c r="H4454"/>
    </row>
    <row r="4455" spans="5:8">
      <c r="E4455"/>
      <c r="F4455"/>
      <c r="G4455"/>
      <c r="H4455"/>
    </row>
    <row r="4456" spans="5:8">
      <c r="E4456"/>
      <c r="F4456"/>
      <c r="G4456"/>
      <c r="H4456"/>
    </row>
    <row r="4457" spans="5:8">
      <c r="E4457"/>
      <c r="F4457"/>
      <c r="G4457"/>
      <c r="H4457"/>
    </row>
    <row r="4458" spans="5:8">
      <c r="E4458"/>
      <c r="F4458"/>
      <c r="G4458"/>
      <c r="H4458"/>
    </row>
    <row r="4459" spans="5:8">
      <c r="E4459"/>
      <c r="F4459"/>
      <c r="G4459"/>
      <c r="H4459"/>
    </row>
    <row r="4460" spans="5:8">
      <c r="E4460"/>
      <c r="F4460"/>
      <c r="G4460"/>
      <c r="H4460"/>
    </row>
    <row r="4461" spans="5:8">
      <c r="E4461"/>
      <c r="F4461"/>
      <c r="G4461"/>
      <c r="H4461"/>
    </row>
    <row r="4462" spans="5:8">
      <c r="E4462"/>
      <c r="F4462"/>
      <c r="G4462"/>
      <c r="H4462"/>
    </row>
    <row r="4463" spans="5:8">
      <c r="E4463"/>
      <c r="F4463"/>
      <c r="G4463"/>
      <c r="H4463"/>
    </row>
    <row r="4464" spans="5:8">
      <c r="E4464"/>
      <c r="F4464"/>
      <c r="G4464"/>
      <c r="H4464"/>
    </row>
    <row r="4465" spans="5:8">
      <c r="E4465"/>
      <c r="F4465"/>
      <c r="G4465"/>
      <c r="H4465"/>
    </row>
  </sheetData>
  <pageMargins left="0.70866141732283472" right="0.70866141732283472" top="0.74803149606299213" bottom="0.74803149606299213" header="0.31496062992125984" footer="0.31496062992125984"/>
  <pageSetup scale="74" fitToHeight="4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>
    <pageSetUpPr fitToPage="1"/>
  </sheetPr>
  <dimension ref="B1:H130"/>
  <sheetViews>
    <sheetView workbookViewId="0">
      <selection activeCell="D22" sqref="D22"/>
    </sheetView>
  </sheetViews>
  <sheetFormatPr baseColWidth="10" defaultRowHeight="15"/>
  <cols>
    <col min="2" max="2" width="120" style="358" customWidth="1"/>
    <col min="3" max="8" width="11.42578125" style="21"/>
  </cols>
  <sheetData>
    <row r="1" spans="2:8">
      <c r="B1" s="41" t="s">
        <v>1574</v>
      </c>
    </row>
    <row r="3" spans="2:8" ht="16.5">
      <c r="B3" s="360" t="s">
        <v>639</v>
      </c>
      <c r="C3" s="348"/>
      <c r="D3" s="348"/>
      <c r="E3" s="348"/>
      <c r="F3" s="348"/>
      <c r="G3" s="348"/>
      <c r="H3" s="348"/>
    </row>
    <row r="4" spans="2:8">
      <c r="B4" s="349" t="s">
        <v>1317</v>
      </c>
    </row>
    <row r="5" spans="2:8">
      <c r="B5" s="349" t="s">
        <v>1575</v>
      </c>
    </row>
    <row r="6" spans="2:8">
      <c r="B6" s="349" t="s">
        <v>1320</v>
      </c>
    </row>
    <row r="7" spans="2:8">
      <c r="B7" s="349" t="s">
        <v>1322</v>
      </c>
    </row>
    <row r="8" spans="2:8">
      <c r="B8" s="349" t="s">
        <v>1323</v>
      </c>
    </row>
    <row r="9" spans="2:8">
      <c r="B9" s="349" t="s">
        <v>1634</v>
      </c>
    </row>
    <row r="10" spans="2:8" ht="27">
      <c r="B10" s="349" t="s">
        <v>1635</v>
      </c>
    </row>
    <row r="11" spans="2:8">
      <c r="B11" s="349" t="s">
        <v>1636</v>
      </c>
    </row>
    <row r="12" spans="2:8">
      <c r="B12" s="349" t="s">
        <v>1637</v>
      </c>
    </row>
    <row r="13" spans="2:8">
      <c r="B13" s="349" t="s">
        <v>1638</v>
      </c>
    </row>
    <row r="14" spans="2:8">
      <c r="B14" s="349" t="s">
        <v>1639</v>
      </c>
    </row>
    <row r="15" spans="2:8">
      <c r="B15" s="349" t="s">
        <v>1520</v>
      </c>
    </row>
    <row r="16" spans="2:8">
      <c r="B16" s="349" t="s">
        <v>1546</v>
      </c>
    </row>
    <row r="17" spans="2:8">
      <c r="B17" s="349" t="s">
        <v>1547</v>
      </c>
      <c r="H17" s="126"/>
    </row>
    <row r="18" spans="2:8">
      <c r="B18" s="350" t="s">
        <v>1576</v>
      </c>
      <c r="C18" s="351"/>
      <c r="D18" s="351"/>
      <c r="E18" s="351"/>
      <c r="F18" s="351"/>
      <c r="G18" s="351"/>
      <c r="H18" s="352"/>
    </row>
    <row r="19" spans="2:8">
      <c r="B19" s="350" t="s">
        <v>1548</v>
      </c>
      <c r="C19" s="333"/>
      <c r="D19" s="333"/>
      <c r="E19" s="333"/>
      <c r="F19" s="333"/>
      <c r="G19" s="333"/>
      <c r="H19" s="352"/>
    </row>
    <row r="20" spans="2:8">
      <c r="B20" s="350" t="s">
        <v>1557</v>
      </c>
      <c r="C20" s="247"/>
      <c r="D20" s="247"/>
      <c r="E20" s="247"/>
      <c r="F20" s="247"/>
      <c r="G20" s="247"/>
      <c r="H20" s="352"/>
    </row>
    <row r="21" spans="2:8">
      <c r="B21" s="350" t="s">
        <v>1549</v>
      </c>
      <c r="C21" s="333"/>
      <c r="D21" s="333"/>
      <c r="E21" s="333"/>
      <c r="F21" s="333"/>
      <c r="G21" s="333"/>
      <c r="H21" s="247"/>
    </row>
    <row r="22" spans="2:8">
      <c r="B22" s="350" t="s">
        <v>1550</v>
      </c>
      <c r="C22" s="333"/>
      <c r="D22" s="333"/>
      <c r="E22" s="333"/>
      <c r="F22" s="333"/>
      <c r="G22" s="333"/>
      <c r="H22" s="247"/>
    </row>
    <row r="23" spans="2:8">
      <c r="B23" s="350" t="s">
        <v>1577</v>
      </c>
      <c r="C23" s="247"/>
      <c r="D23" s="247"/>
      <c r="E23" s="247"/>
      <c r="F23" s="247"/>
      <c r="G23" s="247"/>
      <c r="H23" s="247"/>
    </row>
    <row r="24" spans="2:8">
      <c r="B24" s="349" t="s">
        <v>1551</v>
      </c>
      <c r="H24" s="126"/>
    </row>
    <row r="25" spans="2:8">
      <c r="B25" s="349" t="s">
        <v>1640</v>
      </c>
    </row>
    <row r="26" spans="2:8">
      <c r="B26" s="350" t="s">
        <v>1578</v>
      </c>
    </row>
    <row r="27" spans="2:8">
      <c r="B27" s="349" t="s">
        <v>1579</v>
      </c>
    </row>
    <row r="28" spans="2:8">
      <c r="B28" s="349" t="s">
        <v>1648</v>
      </c>
    </row>
    <row r="29" spans="2:8">
      <c r="B29" s="349" t="s">
        <v>1580</v>
      </c>
    </row>
    <row r="30" spans="2:8">
      <c r="B30" s="353" t="s">
        <v>1581</v>
      </c>
      <c r="H30" s="126"/>
    </row>
    <row r="31" spans="2:8">
      <c r="B31" s="353" t="s">
        <v>1582</v>
      </c>
      <c r="H31" s="126"/>
    </row>
    <row r="32" spans="2:8">
      <c r="B32" s="354" t="s">
        <v>1583</v>
      </c>
      <c r="C32" s="333"/>
      <c r="D32" s="333"/>
      <c r="E32" s="333"/>
      <c r="F32" s="333"/>
      <c r="G32" s="333"/>
      <c r="H32" s="247"/>
    </row>
    <row r="33" spans="2:8">
      <c r="B33" s="350" t="s">
        <v>1649</v>
      </c>
      <c r="C33" s="333"/>
      <c r="D33" s="333"/>
      <c r="E33" s="333"/>
      <c r="F33" s="333"/>
      <c r="G33" s="333"/>
      <c r="H33" s="247"/>
    </row>
    <row r="34" spans="2:8">
      <c r="B34" s="350" t="s">
        <v>1584</v>
      </c>
      <c r="H34" s="126"/>
    </row>
    <row r="35" spans="2:8">
      <c r="B35" s="350" t="s">
        <v>1585</v>
      </c>
      <c r="H35" s="126"/>
    </row>
    <row r="36" spans="2:8">
      <c r="B36" s="350" t="s">
        <v>1586</v>
      </c>
      <c r="H36" s="126"/>
    </row>
    <row r="37" spans="2:8">
      <c r="B37" s="350" t="s">
        <v>1587</v>
      </c>
    </row>
    <row r="38" spans="2:8">
      <c r="B38" s="350" t="s">
        <v>1588</v>
      </c>
    </row>
    <row r="39" spans="2:8" s="21" customFormat="1" ht="27">
      <c r="B39" s="355" t="s">
        <v>1589</v>
      </c>
    </row>
    <row r="40" spans="2:8" s="21" customFormat="1" ht="27">
      <c r="B40" s="355" t="s">
        <v>1590</v>
      </c>
    </row>
    <row r="41" spans="2:8" s="21" customFormat="1">
      <c r="B41" s="350" t="s">
        <v>1591</v>
      </c>
    </row>
    <row r="42" spans="2:8" s="21" customFormat="1">
      <c r="B42" s="350" t="s">
        <v>1592</v>
      </c>
    </row>
    <row r="43" spans="2:8" s="21" customFormat="1">
      <c r="B43" s="350" t="s">
        <v>1593</v>
      </c>
    </row>
    <row r="44" spans="2:8" s="21" customFormat="1">
      <c r="B44" s="350" t="s">
        <v>1594</v>
      </c>
    </row>
    <row r="45" spans="2:8" s="21" customFormat="1">
      <c r="B45" s="350" t="s">
        <v>1595</v>
      </c>
    </row>
    <row r="46" spans="2:8" s="21" customFormat="1">
      <c r="B46" s="350" t="s">
        <v>1596</v>
      </c>
    </row>
    <row r="47" spans="2:8" s="21" customFormat="1">
      <c r="B47" s="350" t="s">
        <v>1597</v>
      </c>
    </row>
    <row r="48" spans="2:8" s="21" customFormat="1" ht="40.5">
      <c r="B48" s="356" t="s">
        <v>1598</v>
      </c>
    </row>
    <row r="49" spans="2:2" s="21" customFormat="1" ht="27">
      <c r="B49" s="356" t="s">
        <v>1599</v>
      </c>
    </row>
    <row r="50" spans="2:2" s="21" customFormat="1">
      <c r="B50" s="350" t="s">
        <v>1600</v>
      </c>
    </row>
    <row r="51" spans="2:2" s="21" customFormat="1">
      <c r="B51" s="350" t="s">
        <v>1601</v>
      </c>
    </row>
    <row r="52" spans="2:2" s="21" customFormat="1" ht="40.5">
      <c r="B52" s="356" t="s">
        <v>1602</v>
      </c>
    </row>
    <row r="53" spans="2:2" s="21" customFormat="1" ht="54">
      <c r="B53" s="356" t="s">
        <v>1603</v>
      </c>
    </row>
    <row r="54" spans="2:2" s="21" customFormat="1">
      <c r="B54" s="350" t="s">
        <v>1604</v>
      </c>
    </row>
    <row r="55" spans="2:2" s="21" customFormat="1" ht="27">
      <c r="B55" s="356" t="s">
        <v>1605</v>
      </c>
    </row>
    <row r="56" spans="2:2" s="21" customFormat="1" ht="54">
      <c r="B56" s="356" t="s">
        <v>1606</v>
      </c>
    </row>
    <row r="57" spans="2:2" s="21" customFormat="1">
      <c r="B57" s="350" t="s">
        <v>1607</v>
      </c>
    </row>
    <row r="58" spans="2:2" s="21" customFormat="1">
      <c r="B58" s="350" t="s">
        <v>1608</v>
      </c>
    </row>
    <row r="59" spans="2:2" s="21" customFormat="1">
      <c r="B59" s="350" t="s">
        <v>1609</v>
      </c>
    </row>
    <row r="60" spans="2:2" s="21" customFormat="1">
      <c r="B60" s="350" t="s">
        <v>1610</v>
      </c>
    </row>
    <row r="61" spans="2:2" s="21" customFormat="1">
      <c r="B61" s="350" t="s">
        <v>1611</v>
      </c>
    </row>
    <row r="62" spans="2:2" s="21" customFormat="1" ht="27">
      <c r="B62" s="350" t="s">
        <v>1612</v>
      </c>
    </row>
    <row r="63" spans="2:2" s="21" customFormat="1">
      <c r="B63" s="353" t="s">
        <v>1613</v>
      </c>
    </row>
    <row r="64" spans="2:2" s="21" customFormat="1">
      <c r="B64" s="353" t="s">
        <v>1614</v>
      </c>
    </row>
    <row r="65" spans="2:8" s="21" customFormat="1">
      <c r="B65" s="350" t="s">
        <v>1615</v>
      </c>
    </row>
    <row r="66" spans="2:8">
      <c r="B66" s="350" t="s">
        <v>1616</v>
      </c>
    </row>
    <row r="67" spans="2:8">
      <c r="B67" s="350" t="s">
        <v>1617</v>
      </c>
    </row>
    <row r="68" spans="2:8">
      <c r="B68" s="350" t="s">
        <v>1618</v>
      </c>
    </row>
    <row r="69" spans="2:8">
      <c r="B69" s="350" t="s">
        <v>1619</v>
      </c>
    </row>
    <row r="70" spans="2:8">
      <c r="B70" s="350" t="s">
        <v>1620</v>
      </c>
    </row>
    <row r="71" spans="2:8">
      <c r="B71" s="350" t="s">
        <v>1621</v>
      </c>
    </row>
    <row r="72" spans="2:8" ht="27">
      <c r="B72" s="357" t="s">
        <v>1552</v>
      </c>
      <c r="H72" s="352"/>
    </row>
    <row r="73" spans="2:8">
      <c r="B73" s="350" t="s">
        <v>1553</v>
      </c>
    </row>
    <row r="74" spans="2:8">
      <c r="B74" s="357" t="s">
        <v>1554</v>
      </c>
    </row>
    <row r="75" spans="2:8">
      <c r="B75" s="357" t="s">
        <v>1555</v>
      </c>
    </row>
    <row r="76" spans="2:8">
      <c r="B76" s="350" t="s">
        <v>1556</v>
      </c>
    </row>
    <row r="77" spans="2:8">
      <c r="B77" s="357" t="s">
        <v>1645</v>
      </c>
    </row>
    <row r="78" spans="2:8">
      <c r="B78" s="357" t="s">
        <v>1558</v>
      </c>
    </row>
    <row r="79" spans="2:8">
      <c r="B79" s="350" t="s">
        <v>1559</v>
      </c>
    </row>
    <row r="80" spans="2:8">
      <c r="B80" s="357" t="s">
        <v>1622</v>
      </c>
    </row>
    <row r="81" spans="2:2">
      <c r="B81" s="357" t="s">
        <v>1560</v>
      </c>
    </row>
    <row r="82" spans="2:2" s="21" customFormat="1">
      <c r="B82" s="350" t="s">
        <v>1561</v>
      </c>
    </row>
    <row r="83" spans="2:2" s="21" customFormat="1">
      <c r="B83" s="357" t="s">
        <v>1562</v>
      </c>
    </row>
    <row r="84" spans="2:2" s="21" customFormat="1">
      <c r="B84" s="357" t="s">
        <v>1563</v>
      </c>
    </row>
    <row r="85" spans="2:2" s="21" customFormat="1">
      <c r="B85" s="350" t="s">
        <v>1623</v>
      </c>
    </row>
    <row r="86" spans="2:2" s="21" customFormat="1">
      <c r="B86" s="357" t="s">
        <v>1624</v>
      </c>
    </row>
    <row r="87" spans="2:2" s="21" customFormat="1">
      <c r="B87" s="357" t="s">
        <v>1625</v>
      </c>
    </row>
    <row r="88" spans="2:2" s="21" customFormat="1">
      <c r="B88" s="357" t="s">
        <v>1626</v>
      </c>
    </row>
    <row r="89" spans="2:2" s="21" customFormat="1">
      <c r="B89" s="357" t="s">
        <v>1627</v>
      </c>
    </row>
    <row r="90" spans="2:2" s="21" customFormat="1">
      <c r="B90" s="357" t="s">
        <v>1564</v>
      </c>
    </row>
    <row r="91" spans="2:2" s="21" customFormat="1">
      <c r="B91" s="357" t="s">
        <v>1641</v>
      </c>
    </row>
    <row r="92" spans="2:2" s="21" customFormat="1" ht="27">
      <c r="B92" s="357" t="s">
        <v>1628</v>
      </c>
    </row>
    <row r="93" spans="2:2" s="21" customFormat="1" ht="27">
      <c r="B93" s="357" t="s">
        <v>1629</v>
      </c>
    </row>
    <row r="94" spans="2:2" s="21" customFormat="1">
      <c r="B94" s="357" t="s">
        <v>1642</v>
      </c>
    </row>
    <row r="95" spans="2:2" s="21" customFormat="1">
      <c r="B95" s="357" t="s">
        <v>1646</v>
      </c>
    </row>
    <row r="96" spans="2:2" s="21" customFormat="1" ht="27">
      <c r="B96" s="357" t="s">
        <v>1647</v>
      </c>
    </row>
    <row r="97" spans="2:2" s="21" customFormat="1">
      <c r="B97" s="357" t="s">
        <v>1650</v>
      </c>
    </row>
    <row r="98" spans="2:2" s="21" customFormat="1">
      <c r="B98" s="357" t="s">
        <v>1630</v>
      </c>
    </row>
    <row r="99" spans="2:2" s="21" customFormat="1">
      <c r="B99" s="357" t="s">
        <v>1631</v>
      </c>
    </row>
    <row r="100" spans="2:2" s="21" customFormat="1">
      <c r="B100" s="357" t="s">
        <v>1632</v>
      </c>
    </row>
    <row r="101" spans="2:2" s="21" customFormat="1">
      <c r="B101" s="357" t="s">
        <v>1643</v>
      </c>
    </row>
    <row r="102" spans="2:2" s="21" customFormat="1">
      <c r="B102" s="357" t="s">
        <v>1565</v>
      </c>
    </row>
    <row r="103" spans="2:2" s="21" customFormat="1">
      <c r="B103" s="357" t="s">
        <v>1566</v>
      </c>
    </row>
    <row r="104" spans="2:2" s="21" customFormat="1">
      <c r="B104" s="357" t="s">
        <v>1567</v>
      </c>
    </row>
    <row r="105" spans="2:2" s="21" customFormat="1">
      <c r="B105" s="357" t="s">
        <v>1568</v>
      </c>
    </row>
    <row r="106" spans="2:2" s="21" customFormat="1">
      <c r="B106" s="357" t="s">
        <v>1569</v>
      </c>
    </row>
    <row r="107" spans="2:2" s="21" customFormat="1">
      <c r="B107" s="357" t="s">
        <v>1570</v>
      </c>
    </row>
    <row r="108" spans="2:2" s="21" customFormat="1">
      <c r="B108" s="357" t="s">
        <v>1571</v>
      </c>
    </row>
    <row r="109" spans="2:2" s="21" customFormat="1">
      <c r="B109" s="357" t="s">
        <v>1572</v>
      </c>
    </row>
    <row r="110" spans="2:2" s="21" customFormat="1">
      <c r="B110" s="357" t="s">
        <v>1527</v>
      </c>
    </row>
    <row r="111" spans="2:2" s="21" customFormat="1">
      <c r="B111" s="357" t="s">
        <v>1644</v>
      </c>
    </row>
    <row r="112" spans="2:2" s="21" customFormat="1">
      <c r="B112" s="357" t="s">
        <v>1528</v>
      </c>
    </row>
    <row r="113" spans="2:2" s="21" customFormat="1">
      <c r="B113" s="357" t="s">
        <v>1529</v>
      </c>
    </row>
    <row r="114" spans="2:2" s="21" customFormat="1">
      <c r="B114" s="357" t="s">
        <v>1532</v>
      </c>
    </row>
    <row r="115" spans="2:2" s="21" customFormat="1">
      <c r="B115" s="357" t="s">
        <v>1573</v>
      </c>
    </row>
    <row r="116" spans="2:2">
      <c r="B116" s="359"/>
    </row>
    <row r="117" spans="2:2">
      <c r="B117" s="359"/>
    </row>
    <row r="118" spans="2:2">
      <c r="B118" s="359"/>
    </row>
    <row r="119" spans="2:2">
      <c r="B119" s="359"/>
    </row>
    <row r="120" spans="2:2">
      <c r="B120" s="359"/>
    </row>
    <row r="121" spans="2:2">
      <c r="B121" s="359"/>
    </row>
    <row r="122" spans="2:2">
      <c r="B122" s="359"/>
    </row>
    <row r="123" spans="2:2">
      <c r="B123" s="359"/>
    </row>
    <row r="124" spans="2:2">
      <c r="B124" s="359"/>
    </row>
    <row r="125" spans="2:2">
      <c r="B125" s="359"/>
    </row>
    <row r="126" spans="2:2">
      <c r="B126" s="359"/>
    </row>
    <row r="127" spans="2:2">
      <c r="B127" s="359"/>
    </row>
    <row r="128" spans="2:2">
      <c r="B128" s="359"/>
    </row>
    <row r="129" spans="2:2">
      <c r="B129" s="359"/>
    </row>
    <row r="130" spans="2:2">
      <c r="B130" s="359"/>
    </row>
  </sheetData>
  <pageMargins left="0.70866141732283472" right="0.70866141732283472" top="0.74803149606299213" bottom="0.74803149606299213" header="0.31496062992125984" footer="0.31496062992125984"/>
  <pageSetup scale="68" fitToHeight="1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Z53"/>
  <sheetViews>
    <sheetView showGridLines="0" tabSelected="1" zoomScale="110" zoomScaleNormal="110" zoomScaleSheetLayoutView="100" workbookViewId="0">
      <pane xSplit="21165" topLeftCell="AG1"/>
      <selection activeCell="C13" sqref="C13"/>
      <selection pane="topRight" activeCell="AN37" sqref="AN37"/>
    </sheetView>
  </sheetViews>
  <sheetFormatPr baseColWidth="10" defaultRowHeight="17.25"/>
  <cols>
    <col min="1" max="1" width="5" style="364" customWidth="1"/>
    <col min="2" max="2" width="59.140625" style="362" customWidth="1"/>
    <col min="3" max="3" width="14.42578125" style="363" customWidth="1"/>
    <col min="4" max="8" width="14.42578125" style="362" customWidth="1"/>
    <col min="9" max="9" width="2.42578125" style="362" customWidth="1"/>
    <col min="10" max="11" width="11.42578125" style="362" customWidth="1"/>
    <col min="12" max="16384" width="11.42578125" style="362"/>
  </cols>
  <sheetData>
    <row r="1" spans="1:11" ht="15" customHeight="1">
      <c r="A1" s="361" t="s">
        <v>1674</v>
      </c>
    </row>
    <row r="2" spans="1:11" ht="15.75" customHeight="1">
      <c r="A2" s="361" t="s">
        <v>1675</v>
      </c>
    </row>
    <row r="3" spans="1:11" ht="15.75" customHeight="1">
      <c r="A3" s="361" t="s">
        <v>1679</v>
      </c>
    </row>
    <row r="4" spans="1:11" ht="5.0999999999999996" customHeight="1">
      <c r="C4" s="362"/>
    </row>
    <row r="5" spans="1:11" ht="12.75" customHeight="1">
      <c r="A5" s="366"/>
      <c r="B5" s="367"/>
      <c r="C5" s="368" t="s">
        <v>1671</v>
      </c>
      <c r="D5" s="368"/>
      <c r="E5" s="369"/>
      <c r="F5" s="369"/>
      <c r="G5" s="369"/>
      <c r="H5" s="370"/>
      <c r="I5" s="370"/>
      <c r="J5" s="370"/>
      <c r="K5" s="370"/>
    </row>
    <row r="6" spans="1:11" ht="12.75" customHeight="1">
      <c r="A6" s="371" t="s">
        <v>607</v>
      </c>
      <c r="B6" s="372"/>
      <c r="C6" s="380" t="s">
        <v>1651</v>
      </c>
      <c r="D6" s="380" t="s">
        <v>1661</v>
      </c>
      <c r="E6" s="380" t="s">
        <v>1662</v>
      </c>
      <c r="F6" s="368" t="s">
        <v>1652</v>
      </c>
      <c r="G6" s="368"/>
      <c r="H6" s="368"/>
      <c r="I6" s="368"/>
      <c r="J6" s="368" t="s">
        <v>1653</v>
      </c>
      <c r="K6" s="368"/>
    </row>
    <row r="7" spans="1:11" ht="34.5">
      <c r="A7" s="371"/>
      <c r="B7" s="414" t="s">
        <v>647</v>
      </c>
      <c r="C7" s="381"/>
      <c r="D7" s="381"/>
      <c r="E7" s="381"/>
      <c r="F7" s="415" t="s">
        <v>1676</v>
      </c>
      <c r="G7" s="415" t="s">
        <v>1677</v>
      </c>
      <c r="H7" s="415" t="s">
        <v>1678</v>
      </c>
      <c r="I7" s="373"/>
      <c r="J7" s="374" t="s">
        <v>1661</v>
      </c>
      <c r="K7" s="374" t="s">
        <v>1663</v>
      </c>
    </row>
    <row r="8" spans="1:11">
      <c r="A8" s="375"/>
      <c r="B8" s="376"/>
      <c r="C8" s="374" t="s">
        <v>1654</v>
      </c>
      <c r="D8" s="374" t="s">
        <v>1655</v>
      </c>
      <c r="E8" s="374" t="s">
        <v>1656</v>
      </c>
      <c r="F8" s="373" t="s">
        <v>1657</v>
      </c>
      <c r="G8" s="373" t="s">
        <v>1658</v>
      </c>
      <c r="H8" s="373" t="s">
        <v>1659</v>
      </c>
      <c r="I8" s="373"/>
      <c r="J8" s="373" t="s">
        <v>1670</v>
      </c>
      <c r="K8" s="373" t="s">
        <v>1660</v>
      </c>
    </row>
    <row r="9" spans="1:11">
      <c r="A9" s="418" t="s">
        <v>650</v>
      </c>
      <c r="B9" s="433"/>
      <c r="C9" s="419">
        <v>280488031481</v>
      </c>
      <c r="D9" s="419">
        <v>293905744976.66003</v>
      </c>
      <c r="E9" s="419">
        <v>293905744976.66003</v>
      </c>
      <c r="F9" s="419">
        <v>240211537734.15997</v>
      </c>
      <c r="G9" s="419">
        <v>271514552716.10992</v>
      </c>
      <c r="H9" s="419">
        <v>293843612919.78998</v>
      </c>
      <c r="I9" s="420"/>
      <c r="J9" s="421">
        <v>99.978859869896382</v>
      </c>
      <c r="K9" s="421">
        <v>99.978859869896382</v>
      </c>
    </row>
    <row r="10" spans="1:11">
      <c r="A10" s="422" t="s">
        <v>1341</v>
      </c>
      <c r="B10" s="434"/>
      <c r="C10" s="423">
        <v>9938000</v>
      </c>
      <c r="D10" s="423">
        <v>11428895.5</v>
      </c>
      <c r="E10" s="423">
        <v>11428895.5</v>
      </c>
      <c r="F10" s="423">
        <v>9928895.5</v>
      </c>
      <c r="G10" s="423">
        <v>11428895.5</v>
      </c>
      <c r="H10" s="423">
        <v>11428895.5</v>
      </c>
      <c r="I10" s="424"/>
      <c r="J10" s="425">
        <v>100</v>
      </c>
      <c r="K10" s="425">
        <v>100</v>
      </c>
    </row>
    <row r="11" spans="1:11" ht="31.5">
      <c r="A11" s="426"/>
      <c r="B11" s="427" t="s">
        <v>147</v>
      </c>
      <c r="C11" s="428">
        <v>9938000</v>
      </c>
      <c r="D11" s="428">
        <v>11428895.5</v>
      </c>
      <c r="E11" s="428">
        <v>11428895.5</v>
      </c>
      <c r="F11" s="428">
        <v>9928895.5</v>
      </c>
      <c r="G11" s="428">
        <v>11428895.5</v>
      </c>
      <c r="H11" s="428">
        <v>11428895.5</v>
      </c>
      <c r="I11" s="416"/>
      <c r="J11" s="429">
        <v>100</v>
      </c>
      <c r="K11" s="429">
        <v>100</v>
      </c>
    </row>
    <row r="12" spans="1:11">
      <c r="A12" s="422" t="s">
        <v>1325</v>
      </c>
      <c r="B12" s="434"/>
      <c r="C12" s="423">
        <v>9313142088</v>
      </c>
      <c r="D12" s="423">
        <v>9436686029.3100052</v>
      </c>
      <c r="E12" s="423">
        <v>9436686029.3100052</v>
      </c>
      <c r="F12" s="423">
        <v>9285107546.2099991</v>
      </c>
      <c r="G12" s="423">
        <v>9327299972.3900032</v>
      </c>
      <c r="H12" s="423">
        <v>9430032142.3400059</v>
      </c>
      <c r="I12" s="424"/>
      <c r="J12" s="425">
        <v>99.92948915594593</v>
      </c>
      <c r="K12" s="425">
        <v>99.92948915594593</v>
      </c>
    </row>
    <row r="13" spans="1:11">
      <c r="A13" s="426"/>
      <c r="B13" s="427" t="s">
        <v>177</v>
      </c>
      <c r="C13" s="428">
        <v>2158517346</v>
      </c>
      <c r="D13" s="428">
        <v>2349102181.0600052</v>
      </c>
      <c r="E13" s="428">
        <v>2349102181.0600052</v>
      </c>
      <c r="F13" s="428">
        <v>2300673822.0999999</v>
      </c>
      <c r="G13" s="428">
        <v>2332717819.860003</v>
      </c>
      <c r="H13" s="428">
        <v>2343627567.3500056</v>
      </c>
      <c r="I13" s="416"/>
      <c r="J13" s="429">
        <v>99.766948677067376</v>
      </c>
      <c r="K13" s="429">
        <v>99.766948677067376</v>
      </c>
    </row>
    <row r="14" spans="1:11">
      <c r="A14" s="426"/>
      <c r="B14" s="427" t="s">
        <v>178</v>
      </c>
      <c r="C14" s="428">
        <v>7048184117</v>
      </c>
      <c r="D14" s="428">
        <v>7086580448.250001</v>
      </c>
      <c r="E14" s="428">
        <v>7086580448.250001</v>
      </c>
      <c r="F14" s="428">
        <v>6983604324.1099987</v>
      </c>
      <c r="G14" s="428">
        <v>6993578752.5299997</v>
      </c>
      <c r="H14" s="428">
        <v>7085401174.9899998</v>
      </c>
      <c r="I14" s="416"/>
      <c r="J14" s="429">
        <v>99.983359064804063</v>
      </c>
      <c r="K14" s="429">
        <v>99.983359064804063</v>
      </c>
    </row>
    <row r="15" spans="1:11">
      <c r="A15" s="426"/>
      <c r="B15" s="435" t="s">
        <v>1664</v>
      </c>
      <c r="C15" s="428">
        <v>106440625</v>
      </c>
      <c r="D15" s="428">
        <v>1003400</v>
      </c>
      <c r="E15" s="428">
        <v>1003400</v>
      </c>
      <c r="F15" s="428">
        <v>829400</v>
      </c>
      <c r="G15" s="428">
        <v>1003400</v>
      </c>
      <c r="H15" s="428">
        <v>1003400</v>
      </c>
      <c r="I15" s="416"/>
      <c r="J15" s="429">
        <v>100</v>
      </c>
      <c r="K15" s="429">
        <v>100</v>
      </c>
    </row>
    <row r="16" spans="1:11">
      <c r="A16" s="422" t="s">
        <v>1327</v>
      </c>
      <c r="B16" s="434"/>
      <c r="C16" s="423">
        <v>683180051</v>
      </c>
      <c r="D16" s="423">
        <v>678976926.74000001</v>
      </c>
      <c r="E16" s="423">
        <v>678976926.74000001</v>
      </c>
      <c r="F16" s="423">
        <v>514677897.68999994</v>
      </c>
      <c r="G16" s="423">
        <v>574866578</v>
      </c>
      <c r="H16" s="423">
        <v>672095792.81999993</v>
      </c>
      <c r="I16" s="424"/>
      <c r="J16" s="425">
        <v>98.986543776525849</v>
      </c>
      <c r="K16" s="425">
        <v>98.986543776525849</v>
      </c>
    </row>
    <row r="17" spans="1:11">
      <c r="A17" s="426"/>
      <c r="B17" s="435" t="s">
        <v>1665</v>
      </c>
      <c r="C17" s="428">
        <v>258661113</v>
      </c>
      <c r="D17" s="428">
        <v>263593514.41000003</v>
      </c>
      <c r="E17" s="428">
        <v>263593514.41000003</v>
      </c>
      <c r="F17" s="428">
        <v>186469115.78</v>
      </c>
      <c r="G17" s="428">
        <v>214643641.41000003</v>
      </c>
      <c r="H17" s="428">
        <v>259610213.38</v>
      </c>
      <c r="I17" s="416"/>
      <c r="J17" s="429">
        <v>98.488847102738532</v>
      </c>
      <c r="K17" s="429">
        <v>98.488847102738532</v>
      </c>
    </row>
    <row r="18" spans="1:11">
      <c r="A18" s="426"/>
      <c r="B18" s="427" t="s">
        <v>1666</v>
      </c>
      <c r="C18" s="428">
        <v>145024407</v>
      </c>
      <c r="D18" s="428">
        <v>138775923.77999997</v>
      </c>
      <c r="E18" s="428">
        <v>138775923.77999997</v>
      </c>
      <c r="F18" s="428">
        <v>105982216.15000002</v>
      </c>
      <c r="G18" s="428">
        <v>114073023.86</v>
      </c>
      <c r="H18" s="428">
        <v>137486113.04999998</v>
      </c>
      <c r="I18" s="416"/>
      <c r="J18" s="429">
        <v>99.070580332043249</v>
      </c>
      <c r="K18" s="429">
        <v>99.070580332043249</v>
      </c>
    </row>
    <row r="19" spans="1:11">
      <c r="A19" s="426"/>
      <c r="B19" s="435" t="s">
        <v>1667</v>
      </c>
      <c r="C19" s="428">
        <v>279494531</v>
      </c>
      <c r="D19" s="428">
        <v>276607488.54999995</v>
      </c>
      <c r="E19" s="428">
        <v>276607488.54999995</v>
      </c>
      <c r="F19" s="428">
        <v>222226565.75999993</v>
      </c>
      <c r="G19" s="428">
        <v>246149912.72999999</v>
      </c>
      <c r="H19" s="428">
        <v>274999466.38999999</v>
      </c>
      <c r="I19" s="416"/>
      <c r="J19" s="429">
        <v>99.418662824918684</v>
      </c>
      <c r="K19" s="429">
        <v>99.418662824918684</v>
      </c>
    </row>
    <row r="20" spans="1:11">
      <c r="A20" s="422" t="s">
        <v>1328</v>
      </c>
      <c r="B20" s="434"/>
      <c r="C20" s="423">
        <v>448300000</v>
      </c>
      <c r="D20" s="423">
        <v>261594089.21000001</v>
      </c>
      <c r="E20" s="423">
        <v>261594089.21000001</v>
      </c>
      <c r="F20" s="423">
        <v>208198281.22999999</v>
      </c>
      <c r="G20" s="423">
        <v>257453187.22999996</v>
      </c>
      <c r="H20" s="423">
        <v>260725271.89999998</v>
      </c>
      <c r="I20" s="424"/>
      <c r="J20" s="425">
        <v>99.667875787016513</v>
      </c>
      <c r="K20" s="425">
        <v>99.667875787016513</v>
      </c>
    </row>
    <row r="21" spans="1:11">
      <c r="A21" s="426"/>
      <c r="B21" s="435" t="s">
        <v>295</v>
      </c>
      <c r="C21" s="428">
        <v>448300000</v>
      </c>
      <c r="D21" s="428">
        <v>261594089.21000001</v>
      </c>
      <c r="E21" s="428">
        <v>261594089.21000001</v>
      </c>
      <c r="F21" s="428">
        <v>208198281.22999999</v>
      </c>
      <c r="G21" s="428">
        <v>257453187.22999996</v>
      </c>
      <c r="H21" s="428">
        <v>260725271.89999998</v>
      </c>
      <c r="I21" s="416"/>
      <c r="J21" s="429">
        <v>99.667875787016513</v>
      </c>
      <c r="K21" s="429">
        <v>99.667875787016513</v>
      </c>
    </row>
    <row r="22" spans="1:11">
      <c r="A22" s="422" t="s">
        <v>1329</v>
      </c>
      <c r="B22" s="434"/>
      <c r="C22" s="423">
        <v>248119854</v>
      </c>
      <c r="D22" s="423">
        <v>344045143.68000001</v>
      </c>
      <c r="E22" s="423">
        <v>344045143.68000001</v>
      </c>
      <c r="F22" s="423">
        <v>324248608.19999993</v>
      </c>
      <c r="G22" s="423">
        <v>327326809.74999994</v>
      </c>
      <c r="H22" s="423">
        <v>342673259.61999995</v>
      </c>
      <c r="I22" s="424"/>
      <c r="J22" s="425">
        <v>99.60124882295213</v>
      </c>
      <c r="K22" s="425">
        <v>99.60124882295213</v>
      </c>
    </row>
    <row r="23" spans="1:11">
      <c r="A23" s="426"/>
      <c r="B23" s="435" t="s">
        <v>334</v>
      </c>
      <c r="C23" s="428">
        <v>56658770</v>
      </c>
      <c r="D23" s="428">
        <v>52687944.450000003</v>
      </c>
      <c r="E23" s="428">
        <v>52687944.450000003</v>
      </c>
      <c r="F23" s="428">
        <v>52357410.829999998</v>
      </c>
      <c r="G23" s="428">
        <v>52583435.829999998</v>
      </c>
      <c r="H23" s="428">
        <v>52587887.829999998</v>
      </c>
      <c r="I23" s="416"/>
      <c r="J23" s="429">
        <v>99.810095798869213</v>
      </c>
      <c r="K23" s="429">
        <v>99.810095798869213</v>
      </c>
    </row>
    <row r="24" spans="1:11" ht="31.5">
      <c r="A24" s="426"/>
      <c r="B24" s="427" t="s">
        <v>346</v>
      </c>
      <c r="C24" s="428">
        <v>156624720</v>
      </c>
      <c r="D24" s="428">
        <v>259463225.15000004</v>
      </c>
      <c r="E24" s="428">
        <v>259463225.15000004</v>
      </c>
      <c r="F24" s="428">
        <v>239997223.28999996</v>
      </c>
      <c r="G24" s="428">
        <v>242849399.83999994</v>
      </c>
      <c r="H24" s="428">
        <v>258261938.52999997</v>
      </c>
      <c r="I24" s="416"/>
      <c r="J24" s="429">
        <v>99.537010834847379</v>
      </c>
      <c r="K24" s="429">
        <v>99.537010834847379</v>
      </c>
    </row>
    <row r="25" spans="1:11">
      <c r="A25" s="426"/>
      <c r="B25" s="435" t="s">
        <v>352</v>
      </c>
      <c r="C25" s="428">
        <v>34836364</v>
      </c>
      <c r="D25" s="428">
        <v>31893974.079999998</v>
      </c>
      <c r="E25" s="428">
        <v>31893974.079999998</v>
      </c>
      <c r="F25" s="428">
        <v>31893974.080000002</v>
      </c>
      <c r="G25" s="428">
        <v>31893974.080000002</v>
      </c>
      <c r="H25" s="428">
        <v>31823433.260000002</v>
      </c>
      <c r="I25" s="416"/>
      <c r="J25" s="429">
        <v>99.778827123195569</v>
      </c>
      <c r="K25" s="429">
        <v>99.778827123195569</v>
      </c>
    </row>
    <row r="26" spans="1:11">
      <c r="A26" s="422" t="s">
        <v>1331</v>
      </c>
      <c r="B26" s="434"/>
      <c r="C26" s="423">
        <v>290689915</v>
      </c>
      <c r="D26" s="423">
        <v>286235415.52999997</v>
      </c>
      <c r="E26" s="423">
        <v>286235415.52999997</v>
      </c>
      <c r="F26" s="423">
        <v>210730367.42000002</v>
      </c>
      <c r="G26" s="423">
        <v>235764986.56999996</v>
      </c>
      <c r="H26" s="423">
        <v>275710816.17999995</v>
      </c>
      <c r="I26" s="424"/>
      <c r="J26" s="425">
        <v>96.323096731229967</v>
      </c>
      <c r="K26" s="425">
        <v>96.323096731229967</v>
      </c>
    </row>
    <row r="27" spans="1:11">
      <c r="A27" s="426"/>
      <c r="B27" s="435" t="s">
        <v>417</v>
      </c>
      <c r="C27" s="428">
        <v>290689915</v>
      </c>
      <c r="D27" s="428">
        <v>286235415.52999997</v>
      </c>
      <c r="E27" s="428">
        <v>286235415.52999997</v>
      </c>
      <c r="F27" s="428">
        <v>210730367.42000002</v>
      </c>
      <c r="G27" s="428">
        <v>235764986.56999996</v>
      </c>
      <c r="H27" s="428">
        <v>275710816.17999995</v>
      </c>
      <c r="I27" s="416"/>
      <c r="J27" s="429">
        <v>96.323096731229967</v>
      </c>
      <c r="K27" s="429">
        <v>96.323096731229967</v>
      </c>
    </row>
    <row r="28" spans="1:11">
      <c r="A28" s="422" t="s">
        <v>1332</v>
      </c>
      <c r="B28" s="434"/>
      <c r="C28" s="423">
        <v>263625161573</v>
      </c>
      <c r="D28" s="423">
        <v>277269878476.69</v>
      </c>
      <c r="E28" s="423">
        <v>277269878476.69</v>
      </c>
      <c r="F28" s="423">
        <v>224698519350.90997</v>
      </c>
      <c r="G28" s="423">
        <v>255191213692.66992</v>
      </c>
      <c r="H28" s="423">
        <v>277269878476.69</v>
      </c>
      <c r="I28" s="424"/>
      <c r="J28" s="425">
        <v>100</v>
      </c>
      <c r="K28" s="425">
        <v>100</v>
      </c>
    </row>
    <row r="29" spans="1:11">
      <c r="A29" s="426"/>
      <c r="B29" s="435" t="s">
        <v>1668</v>
      </c>
      <c r="C29" s="428">
        <v>263625161573</v>
      </c>
      <c r="D29" s="428">
        <v>277269878476.69</v>
      </c>
      <c r="E29" s="428">
        <v>277269878476.69</v>
      </c>
      <c r="F29" s="428">
        <v>224698519350.90997</v>
      </c>
      <c r="G29" s="428">
        <v>255191213692.66992</v>
      </c>
      <c r="H29" s="428">
        <v>277269878476.69</v>
      </c>
      <c r="I29" s="416"/>
      <c r="J29" s="429">
        <v>100</v>
      </c>
      <c r="K29" s="429">
        <v>100</v>
      </c>
    </row>
    <row r="30" spans="1:11">
      <c r="A30" s="422" t="s">
        <v>1353</v>
      </c>
      <c r="B30" s="434"/>
      <c r="C30" s="423">
        <v>5869500000</v>
      </c>
      <c r="D30" s="423">
        <v>5616900000</v>
      </c>
      <c r="E30" s="423">
        <v>5616900000</v>
      </c>
      <c r="F30" s="423">
        <v>4960126787</v>
      </c>
      <c r="G30" s="423">
        <v>5589198594</v>
      </c>
      <c r="H30" s="423">
        <v>5581068264.7400026</v>
      </c>
      <c r="I30" s="424"/>
      <c r="J30" s="425">
        <v>99.362072757927024</v>
      </c>
      <c r="K30" s="425">
        <v>99.362072757927024</v>
      </c>
    </row>
    <row r="31" spans="1:11">
      <c r="A31" s="430"/>
      <c r="B31" s="431" t="s">
        <v>1669</v>
      </c>
      <c r="C31" s="432">
        <v>5869500000</v>
      </c>
      <c r="D31" s="432">
        <v>5616900000</v>
      </c>
      <c r="E31" s="432">
        <v>5616900000</v>
      </c>
      <c r="F31" s="432">
        <v>4960126787</v>
      </c>
      <c r="G31" s="432">
        <v>5589198594</v>
      </c>
      <c r="H31" s="432">
        <v>5581068264.7400026</v>
      </c>
      <c r="I31" s="416"/>
      <c r="J31" s="417">
        <v>99.362072757927024</v>
      </c>
      <c r="K31" s="417">
        <v>99.362072757927024</v>
      </c>
    </row>
    <row r="32" spans="1:11">
      <c r="A32" s="377" t="s">
        <v>1673</v>
      </c>
      <c r="B32" s="378"/>
      <c r="C32" s="379"/>
      <c r="D32" s="379"/>
      <c r="E32" s="379"/>
      <c r="F32" s="379"/>
      <c r="G32" s="379"/>
      <c r="H32" s="379"/>
      <c r="I32" s="379"/>
      <c r="J32" s="379"/>
      <c r="K32" s="379"/>
    </row>
    <row r="33" spans="1:11">
      <c r="A33" s="377" t="s">
        <v>1672</v>
      </c>
      <c r="B33" s="378"/>
      <c r="C33" s="379"/>
      <c r="D33" s="379"/>
      <c r="E33" s="379"/>
      <c r="F33" s="379"/>
      <c r="G33" s="379"/>
      <c r="H33" s="379"/>
      <c r="I33" s="379"/>
      <c r="J33" s="379"/>
      <c r="K33" s="379"/>
    </row>
    <row r="34" spans="1:11">
      <c r="B34" s="365"/>
      <c r="C34" s="362"/>
    </row>
    <row r="35" spans="1:11">
      <c r="B35" s="365"/>
      <c r="C35" s="362"/>
    </row>
    <row r="36" spans="1:11">
      <c r="B36" s="365"/>
      <c r="C36" s="362"/>
    </row>
    <row r="37" spans="1:11">
      <c r="B37" s="365"/>
      <c r="C37" s="362"/>
    </row>
    <row r="38" spans="1:11">
      <c r="B38" s="365"/>
      <c r="C38" s="362"/>
    </row>
    <row r="39" spans="1:11">
      <c r="B39" s="365"/>
      <c r="C39" s="362"/>
    </row>
    <row r="40" spans="1:11">
      <c r="B40" s="365"/>
      <c r="C40" s="362"/>
    </row>
    <row r="41" spans="1:11">
      <c r="B41" s="365"/>
      <c r="C41" s="362"/>
    </row>
    <row r="42" spans="1:11">
      <c r="B42" s="365"/>
      <c r="C42" s="362"/>
    </row>
    <row r="43" spans="1:11">
      <c r="B43" s="365"/>
      <c r="C43" s="362"/>
    </row>
    <row r="44" spans="1:11">
      <c r="B44" s="365"/>
      <c r="C44" s="362"/>
    </row>
    <row r="45" spans="1:11">
      <c r="B45" s="365"/>
      <c r="C45" s="362"/>
    </row>
    <row r="46" spans="1:11">
      <c r="B46" s="365"/>
      <c r="C46" s="362"/>
    </row>
    <row r="47" spans="1:11">
      <c r="B47" s="365"/>
      <c r="C47" s="362"/>
    </row>
    <row r="48" spans="1:11">
      <c r="B48" s="365"/>
      <c r="C48" s="362"/>
    </row>
    <row r="49" spans="2:3">
      <c r="B49" s="365"/>
      <c r="C49" s="362"/>
    </row>
    <row r="50" spans="2:3">
      <c r="B50" s="365"/>
      <c r="C50" s="362"/>
    </row>
    <row r="51" spans="2:3">
      <c r="B51" s="365"/>
      <c r="C51" s="362"/>
    </row>
    <row r="52" spans="2:3">
      <c r="B52" s="365"/>
      <c r="C52" s="362"/>
    </row>
    <row r="53" spans="2:3">
      <c r="B53" s="365"/>
      <c r="C53" s="362"/>
    </row>
  </sheetData>
  <mergeCells count="3">
    <mergeCell ref="C6:C7"/>
    <mergeCell ref="D6:D7"/>
    <mergeCell ref="E6:E7"/>
  </mergeCells>
  <pageMargins left="0.39370078740157483" right="0.39370078740157483" top="0.39370078740157483" bottom="0.39370078740157483" header="0.39370078740157483" footer="0.39370078740157483"/>
  <pageSetup scale="82" fitToHeight="10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">
    <tabColor rgb="FF00B050"/>
    <pageSetUpPr fitToPage="1"/>
  </sheetPr>
  <dimension ref="A1:G115"/>
  <sheetViews>
    <sheetView view="pageBreakPreview" zoomScaleSheetLayoutView="100" workbookViewId="0">
      <selection activeCell="F7" sqref="F7"/>
    </sheetView>
  </sheetViews>
  <sheetFormatPr baseColWidth="10" defaultRowHeight="15"/>
  <cols>
    <col min="1" max="2" width="14.7109375" style="283" customWidth="1"/>
    <col min="3" max="7" width="13.140625" style="284" customWidth="1"/>
    <col min="8" max="16384" width="11.42578125" style="21"/>
  </cols>
  <sheetData>
    <row r="1" spans="1:7">
      <c r="A1" s="285" t="s">
        <v>1354</v>
      </c>
      <c r="B1" s="286"/>
      <c r="C1" s="287"/>
      <c r="D1" s="287"/>
      <c r="E1" s="287"/>
      <c r="F1" s="287"/>
      <c r="G1" s="287"/>
    </row>
    <row r="2" spans="1:7">
      <c r="A2" s="285"/>
      <c r="B2" s="286">
        <v>1</v>
      </c>
      <c r="C2" s="287">
        <v>2</v>
      </c>
      <c r="D2" s="287">
        <v>3</v>
      </c>
      <c r="E2" s="287">
        <v>4</v>
      </c>
      <c r="F2" s="287">
        <v>5</v>
      </c>
      <c r="G2" s="287">
        <v>6</v>
      </c>
    </row>
    <row r="3" spans="1:7">
      <c r="A3" s="385" t="s">
        <v>607</v>
      </c>
      <c r="B3" s="385" t="s">
        <v>1319</v>
      </c>
      <c r="C3" s="382" t="s">
        <v>1348</v>
      </c>
      <c r="D3" s="382"/>
      <c r="E3" s="382"/>
      <c r="F3" s="382" t="s">
        <v>1349</v>
      </c>
      <c r="G3" s="382" t="s">
        <v>1538</v>
      </c>
    </row>
    <row r="4" spans="1:7" s="12" customFormat="1">
      <c r="A4" s="385"/>
      <c r="B4" s="385"/>
      <c r="C4" s="336" t="s">
        <v>1321</v>
      </c>
      <c r="D4" s="336" t="s">
        <v>1521</v>
      </c>
      <c r="E4" s="336" t="s">
        <v>1539</v>
      </c>
      <c r="F4" s="382"/>
      <c r="G4" s="382"/>
    </row>
    <row r="5" spans="1:7">
      <c r="A5" s="383" t="s">
        <v>650</v>
      </c>
      <c r="B5" s="384"/>
      <c r="C5" s="134">
        <f>+C6+C8+C10+C16+C18+C24+C42+C67+C69+C74+C76+C80+C82+C111+C113</f>
        <v>37423683079</v>
      </c>
      <c r="D5" s="134">
        <f>+D6+D8+D10+D16+D18+D24+D42+D67+D69+D74+D76+D80+D82+D111+D113</f>
        <v>580300000</v>
      </c>
      <c r="E5" s="134">
        <f>+D5+C5</f>
        <v>38003983079</v>
      </c>
      <c r="F5" s="133">
        <f>+F6+F8+F10+F16+F18+F24+F42+F67+F69+F74+F76+F80+F82+F111+F113</f>
        <v>10357383851</v>
      </c>
      <c r="G5" s="133">
        <f>+E5+F5</f>
        <v>48361366930</v>
      </c>
    </row>
    <row r="6" spans="1:7">
      <c r="A6" s="337" t="s">
        <v>1350</v>
      </c>
      <c r="B6" s="338"/>
      <c r="C6" s="339">
        <v>50400045</v>
      </c>
      <c r="D6" s="339">
        <v>0</v>
      </c>
      <c r="E6" s="339">
        <f t="shared" ref="E6:E70" si="0">+D6+C6</f>
        <v>50400045</v>
      </c>
      <c r="F6" s="340">
        <f>+F7</f>
        <v>0</v>
      </c>
      <c r="G6" s="340">
        <f t="shared" ref="G6:G70" si="1">+E6+F6</f>
        <v>50400045</v>
      </c>
    </row>
    <row r="7" spans="1:7">
      <c r="A7" s="337"/>
      <c r="B7" s="341" t="s">
        <v>28</v>
      </c>
      <c r="C7" s="342">
        <v>50400045</v>
      </c>
      <c r="D7" s="342">
        <v>0</v>
      </c>
      <c r="E7" s="342">
        <f t="shared" si="0"/>
        <v>50400045</v>
      </c>
      <c r="F7" s="343"/>
      <c r="G7" s="343">
        <f t="shared" si="1"/>
        <v>50400045</v>
      </c>
    </row>
    <row r="8" spans="1:7">
      <c r="A8" s="337" t="s">
        <v>1338</v>
      </c>
      <c r="B8" s="344"/>
      <c r="C8" s="339">
        <v>17952097</v>
      </c>
      <c r="D8" s="339">
        <v>0</v>
      </c>
      <c r="E8" s="339">
        <f t="shared" si="0"/>
        <v>17952097</v>
      </c>
      <c r="F8" s="340">
        <f>+F9</f>
        <v>0</v>
      </c>
      <c r="G8" s="340">
        <f t="shared" si="1"/>
        <v>17952097</v>
      </c>
    </row>
    <row r="9" spans="1:7">
      <c r="A9" s="337"/>
      <c r="B9" s="341" t="s">
        <v>45</v>
      </c>
      <c r="C9" s="342">
        <v>17952097</v>
      </c>
      <c r="D9" s="342">
        <v>0</v>
      </c>
      <c r="E9" s="342">
        <f t="shared" si="0"/>
        <v>17952097</v>
      </c>
      <c r="F9" s="343"/>
      <c r="G9" s="343">
        <f t="shared" si="1"/>
        <v>17952097</v>
      </c>
    </row>
    <row r="10" spans="1:7">
      <c r="A10" s="337" t="s">
        <v>1341</v>
      </c>
      <c r="B10" s="344"/>
      <c r="C10" s="339">
        <f>+SUM(C11:C15)</f>
        <v>1387614856</v>
      </c>
      <c r="D10" s="339">
        <v>0</v>
      </c>
      <c r="E10" s="340">
        <f>+SUM(E11:E15)</f>
        <v>1387614856</v>
      </c>
      <c r="F10" s="340">
        <f>+SUM(F11:F15)</f>
        <v>332600000</v>
      </c>
      <c r="G10" s="340">
        <f t="shared" si="1"/>
        <v>1720214856</v>
      </c>
    </row>
    <row r="11" spans="1:7">
      <c r="A11" s="337"/>
      <c r="B11" s="341" t="s">
        <v>112</v>
      </c>
      <c r="C11" s="342">
        <v>0</v>
      </c>
      <c r="D11" s="342">
        <v>0</v>
      </c>
      <c r="E11" s="342">
        <f t="shared" si="0"/>
        <v>0</v>
      </c>
      <c r="F11" s="343">
        <v>11000000</v>
      </c>
      <c r="G11" s="343">
        <f t="shared" si="1"/>
        <v>11000000</v>
      </c>
    </row>
    <row r="12" spans="1:7">
      <c r="A12" s="337"/>
      <c r="B12" s="341" t="s">
        <v>136</v>
      </c>
      <c r="C12" s="342">
        <v>59260000</v>
      </c>
      <c r="D12" s="342">
        <v>0</v>
      </c>
      <c r="E12" s="342">
        <f t="shared" si="0"/>
        <v>59260000</v>
      </c>
      <c r="F12" s="343"/>
      <c r="G12" s="343">
        <f t="shared" si="1"/>
        <v>59260000</v>
      </c>
    </row>
    <row r="13" spans="1:7">
      <c r="A13" s="337"/>
      <c r="B13" s="341" t="s">
        <v>115</v>
      </c>
      <c r="C13" s="342">
        <v>1087515419</v>
      </c>
      <c r="D13" s="342">
        <v>0</v>
      </c>
      <c r="E13" s="342">
        <f t="shared" si="0"/>
        <v>1087515419</v>
      </c>
      <c r="F13" s="345">
        <v>318000000</v>
      </c>
      <c r="G13" s="343">
        <f t="shared" si="1"/>
        <v>1405515419</v>
      </c>
    </row>
    <row r="14" spans="1:7">
      <c r="A14" s="337"/>
      <c r="B14" s="341" t="s">
        <v>117</v>
      </c>
      <c r="C14" s="342">
        <v>124202635</v>
      </c>
      <c r="D14" s="342">
        <v>0</v>
      </c>
      <c r="E14" s="342">
        <f t="shared" si="0"/>
        <v>124202635</v>
      </c>
      <c r="F14" s="343"/>
      <c r="G14" s="343">
        <f t="shared" si="1"/>
        <v>124202635</v>
      </c>
    </row>
    <row r="15" spans="1:7">
      <c r="A15" s="337"/>
      <c r="B15" s="341" t="s">
        <v>107</v>
      </c>
      <c r="C15" s="342">
        <v>116636802</v>
      </c>
      <c r="D15" s="342">
        <v>0</v>
      </c>
      <c r="E15" s="342">
        <f t="shared" si="0"/>
        <v>116636802</v>
      </c>
      <c r="F15" s="343">
        <v>3600000</v>
      </c>
      <c r="G15" s="343">
        <f t="shared" si="1"/>
        <v>120236802</v>
      </c>
    </row>
    <row r="16" spans="1:7">
      <c r="A16" s="337" t="s">
        <v>1324</v>
      </c>
      <c r="B16" s="344"/>
      <c r="C16" s="339">
        <f>+C17</f>
        <v>131265446</v>
      </c>
      <c r="D16" s="340">
        <f>+D17</f>
        <v>0</v>
      </c>
      <c r="E16" s="339">
        <f t="shared" si="0"/>
        <v>131265446</v>
      </c>
      <c r="F16" s="340">
        <f>+F17</f>
        <v>0</v>
      </c>
      <c r="G16" s="340">
        <f t="shared" si="1"/>
        <v>131265446</v>
      </c>
    </row>
    <row r="17" spans="1:7">
      <c r="A17" s="337"/>
      <c r="B17" s="341" t="s">
        <v>154</v>
      </c>
      <c r="C17" s="342">
        <v>131265446</v>
      </c>
      <c r="D17" s="342">
        <v>0</v>
      </c>
      <c r="E17" s="342">
        <f t="shared" si="0"/>
        <v>131265446</v>
      </c>
      <c r="F17" s="343"/>
      <c r="G17" s="343">
        <f t="shared" si="1"/>
        <v>131265446</v>
      </c>
    </row>
    <row r="18" spans="1:7">
      <c r="A18" s="337" t="s">
        <v>1325</v>
      </c>
      <c r="B18" s="344"/>
      <c r="C18" s="339">
        <f>+SUM(C19:C23)</f>
        <v>1266254370</v>
      </c>
      <c r="D18" s="339">
        <f>+SUM(D19:D23)</f>
        <v>0</v>
      </c>
      <c r="E18" s="339">
        <f>+D18+C18</f>
        <v>1266254370</v>
      </c>
      <c r="F18" s="340">
        <f>+SUM(F19:F23)</f>
        <v>549752029</v>
      </c>
      <c r="G18" s="340">
        <f t="shared" si="1"/>
        <v>1816006399</v>
      </c>
    </row>
    <row r="19" spans="1:7">
      <c r="A19" s="337"/>
      <c r="B19" s="341" t="s">
        <v>167</v>
      </c>
      <c r="C19" s="342">
        <v>206982224</v>
      </c>
      <c r="D19" s="342">
        <v>0</v>
      </c>
      <c r="E19" s="342">
        <f t="shared" si="0"/>
        <v>206982224</v>
      </c>
      <c r="F19" s="343">
        <v>15000</v>
      </c>
      <c r="G19" s="343">
        <f t="shared" si="1"/>
        <v>206997224</v>
      </c>
    </row>
    <row r="20" spans="1:7">
      <c r="A20" s="337"/>
      <c r="B20" s="341" t="s">
        <v>172</v>
      </c>
      <c r="C20" s="342">
        <v>304789151</v>
      </c>
      <c r="D20" s="342">
        <v>0</v>
      </c>
      <c r="E20" s="342">
        <f t="shared" si="0"/>
        <v>304789151</v>
      </c>
      <c r="F20" s="343"/>
      <c r="G20" s="343">
        <f t="shared" si="1"/>
        <v>304789151</v>
      </c>
    </row>
    <row r="21" spans="1:7" ht="28.5" customHeight="1">
      <c r="A21" s="337"/>
      <c r="B21" s="346" t="s">
        <v>175</v>
      </c>
      <c r="C21" s="342">
        <v>589210474</v>
      </c>
      <c r="D21" s="342">
        <v>0</v>
      </c>
      <c r="E21" s="342">
        <f t="shared" si="0"/>
        <v>589210474</v>
      </c>
      <c r="F21" s="343"/>
      <c r="G21" s="343">
        <f t="shared" si="1"/>
        <v>589210474</v>
      </c>
    </row>
    <row r="22" spans="1:7">
      <c r="A22" s="337"/>
      <c r="B22" s="341" t="s">
        <v>169</v>
      </c>
      <c r="C22" s="342">
        <v>165272521</v>
      </c>
      <c r="D22" s="342">
        <v>0</v>
      </c>
      <c r="E22" s="342">
        <f t="shared" si="0"/>
        <v>165272521</v>
      </c>
      <c r="F22" s="343">
        <v>27486654</v>
      </c>
      <c r="G22" s="343">
        <f t="shared" si="1"/>
        <v>192759175</v>
      </c>
    </row>
    <row r="23" spans="1:7">
      <c r="A23" s="337"/>
      <c r="B23" s="347" t="s">
        <v>1543</v>
      </c>
      <c r="C23" s="342">
        <v>0</v>
      </c>
      <c r="D23" s="342">
        <v>0</v>
      </c>
      <c r="E23" s="342">
        <f t="shared" si="0"/>
        <v>0</v>
      </c>
      <c r="F23" s="343">
        <v>522250375</v>
      </c>
      <c r="G23" s="343">
        <f t="shared" si="1"/>
        <v>522250375</v>
      </c>
    </row>
    <row r="24" spans="1:7">
      <c r="A24" s="337" t="s">
        <v>1326</v>
      </c>
      <c r="B24" s="344"/>
      <c r="C24" s="339">
        <f>+SUM(C25:C41)</f>
        <v>11664730234</v>
      </c>
      <c r="D24" s="339">
        <f>+SUM(D25:D41)</f>
        <v>53000000</v>
      </c>
      <c r="E24" s="339">
        <f t="shared" si="0"/>
        <v>11717730234</v>
      </c>
      <c r="F24" s="340">
        <f>+SUM(F25:F41)</f>
        <v>1053331777</v>
      </c>
      <c r="G24" s="340">
        <f t="shared" si="1"/>
        <v>12771062011</v>
      </c>
    </row>
    <row r="25" spans="1:7" ht="15" customHeight="1">
      <c r="A25" s="337"/>
      <c r="B25" s="346" t="s">
        <v>190</v>
      </c>
      <c r="C25" s="342">
        <v>5473103</v>
      </c>
      <c r="D25" s="342">
        <v>0</v>
      </c>
      <c r="E25" s="342">
        <f t="shared" si="0"/>
        <v>5473103</v>
      </c>
      <c r="F25" s="343">
        <v>305000</v>
      </c>
      <c r="G25" s="343">
        <f t="shared" si="1"/>
        <v>5778103</v>
      </c>
    </row>
    <row r="26" spans="1:7" ht="31.5" customHeight="1">
      <c r="A26" s="337"/>
      <c r="B26" s="346" t="s">
        <v>195</v>
      </c>
      <c r="C26" s="342">
        <v>1832976326</v>
      </c>
      <c r="D26" s="342">
        <v>50000000</v>
      </c>
      <c r="E26" s="342">
        <f t="shared" si="0"/>
        <v>1882976326</v>
      </c>
      <c r="F26" s="343">
        <v>411707425</v>
      </c>
      <c r="G26" s="343">
        <f t="shared" si="1"/>
        <v>2294683751</v>
      </c>
    </row>
    <row r="27" spans="1:7" ht="30.75" customHeight="1">
      <c r="A27" s="337"/>
      <c r="B27" s="346" t="s">
        <v>184</v>
      </c>
      <c r="C27" s="342">
        <v>97589517</v>
      </c>
      <c r="D27" s="342">
        <v>0</v>
      </c>
      <c r="E27" s="342">
        <f t="shared" si="0"/>
        <v>97589517</v>
      </c>
      <c r="F27" s="343">
        <v>48478080</v>
      </c>
      <c r="G27" s="343">
        <f t="shared" si="1"/>
        <v>146067597</v>
      </c>
    </row>
    <row r="28" spans="1:7" ht="15" customHeight="1">
      <c r="A28" s="337"/>
      <c r="B28" s="346" t="s">
        <v>201</v>
      </c>
      <c r="C28" s="342">
        <v>2963635</v>
      </c>
      <c r="D28" s="342">
        <v>0</v>
      </c>
      <c r="E28" s="342">
        <f t="shared" si="0"/>
        <v>2963635</v>
      </c>
      <c r="F28" s="343"/>
      <c r="G28" s="343">
        <f t="shared" si="1"/>
        <v>2963635</v>
      </c>
    </row>
    <row r="29" spans="1:7" ht="15" customHeight="1">
      <c r="A29" s="337"/>
      <c r="B29" s="346" t="s">
        <v>186</v>
      </c>
      <c r="C29" s="342">
        <v>144293434</v>
      </c>
      <c r="D29" s="342">
        <v>0</v>
      </c>
      <c r="E29" s="342">
        <f t="shared" si="0"/>
        <v>144293434</v>
      </c>
      <c r="F29" s="343"/>
      <c r="G29" s="343">
        <f t="shared" si="1"/>
        <v>144293434</v>
      </c>
    </row>
    <row r="30" spans="1:7" ht="15" customHeight="1">
      <c r="A30" s="337"/>
      <c r="B30" s="346" t="s">
        <v>206</v>
      </c>
      <c r="C30" s="342">
        <v>1128739463</v>
      </c>
      <c r="D30" s="342">
        <v>0</v>
      </c>
      <c r="E30" s="342">
        <f t="shared" si="0"/>
        <v>1128739463</v>
      </c>
      <c r="F30" s="343"/>
      <c r="G30" s="343">
        <f t="shared" si="1"/>
        <v>1128739463</v>
      </c>
    </row>
    <row r="31" spans="1:7" ht="15" customHeight="1">
      <c r="A31" s="337"/>
      <c r="B31" s="346" t="s">
        <v>188</v>
      </c>
      <c r="C31" s="342">
        <v>3103052</v>
      </c>
      <c r="D31" s="342">
        <v>0</v>
      </c>
      <c r="E31" s="342">
        <f t="shared" si="0"/>
        <v>3103052</v>
      </c>
      <c r="F31" s="343"/>
      <c r="G31" s="343">
        <f t="shared" si="1"/>
        <v>3103052</v>
      </c>
    </row>
    <row r="32" spans="1:7" ht="15" customHeight="1">
      <c r="A32" s="337"/>
      <c r="B32" s="346" t="s">
        <v>182</v>
      </c>
      <c r="C32" s="342">
        <v>462608774</v>
      </c>
      <c r="D32" s="342">
        <v>3000000</v>
      </c>
      <c r="E32" s="342">
        <f t="shared" si="0"/>
        <v>465608774</v>
      </c>
      <c r="F32" s="343">
        <v>98113382</v>
      </c>
      <c r="G32" s="343">
        <f t="shared" si="1"/>
        <v>563722156</v>
      </c>
    </row>
    <row r="33" spans="1:7" ht="15" customHeight="1">
      <c r="A33" s="337"/>
      <c r="B33" s="346" t="s">
        <v>194</v>
      </c>
      <c r="C33" s="342">
        <v>173649690</v>
      </c>
      <c r="D33" s="342">
        <v>0</v>
      </c>
      <c r="E33" s="342">
        <f t="shared" si="0"/>
        <v>173649690</v>
      </c>
      <c r="F33" s="343"/>
      <c r="G33" s="343">
        <f t="shared" si="1"/>
        <v>173649690</v>
      </c>
    </row>
    <row r="34" spans="1:7" ht="15" customHeight="1">
      <c r="A34" s="337"/>
      <c r="B34" s="346" t="s">
        <v>189</v>
      </c>
      <c r="C34" s="342">
        <v>605609026</v>
      </c>
      <c r="D34" s="342">
        <v>0</v>
      </c>
      <c r="E34" s="342">
        <f t="shared" si="0"/>
        <v>605609026</v>
      </c>
      <c r="F34" s="343"/>
      <c r="G34" s="343">
        <f t="shared" si="1"/>
        <v>605609026</v>
      </c>
    </row>
    <row r="35" spans="1:7" ht="15" customHeight="1">
      <c r="A35" s="337"/>
      <c r="B35" s="346" t="s">
        <v>198</v>
      </c>
      <c r="C35" s="342">
        <v>0</v>
      </c>
      <c r="D35" s="342">
        <v>0</v>
      </c>
      <c r="E35" s="342">
        <f t="shared" si="0"/>
        <v>0</v>
      </c>
      <c r="F35" s="343"/>
      <c r="G35" s="343">
        <f t="shared" si="1"/>
        <v>0</v>
      </c>
    </row>
    <row r="36" spans="1:7" ht="15" customHeight="1">
      <c r="A36" s="337"/>
      <c r="B36" s="346" t="s">
        <v>187</v>
      </c>
      <c r="C36" s="342">
        <v>8031457</v>
      </c>
      <c r="D36" s="342">
        <v>0</v>
      </c>
      <c r="E36" s="342">
        <f t="shared" si="0"/>
        <v>8031457</v>
      </c>
      <c r="F36" s="343"/>
      <c r="G36" s="343">
        <f t="shared" si="1"/>
        <v>8031457</v>
      </c>
    </row>
    <row r="37" spans="1:7" ht="15" customHeight="1">
      <c r="A37" s="337"/>
      <c r="B37" s="346" t="s">
        <v>205</v>
      </c>
      <c r="C37" s="342">
        <v>70565800</v>
      </c>
      <c r="D37" s="342">
        <v>0</v>
      </c>
      <c r="E37" s="342">
        <f t="shared" si="0"/>
        <v>70565800</v>
      </c>
      <c r="F37" s="343"/>
      <c r="G37" s="343">
        <f t="shared" si="1"/>
        <v>70565800</v>
      </c>
    </row>
    <row r="38" spans="1:7" ht="15" customHeight="1">
      <c r="A38" s="337"/>
      <c r="B38" s="346" t="s">
        <v>197</v>
      </c>
      <c r="C38" s="342">
        <v>114555789</v>
      </c>
      <c r="D38" s="342">
        <v>0</v>
      </c>
      <c r="E38" s="342">
        <f t="shared" si="0"/>
        <v>114555789</v>
      </c>
      <c r="F38" s="343">
        <v>2340320</v>
      </c>
      <c r="G38" s="343">
        <f t="shared" si="1"/>
        <v>116896109</v>
      </c>
    </row>
    <row r="39" spans="1:7" ht="15" customHeight="1">
      <c r="A39" s="337"/>
      <c r="B39" s="346" t="s">
        <v>193</v>
      </c>
      <c r="C39" s="342">
        <v>1208283556</v>
      </c>
      <c r="D39" s="342">
        <v>0</v>
      </c>
      <c r="E39" s="342">
        <f t="shared" si="0"/>
        <v>1208283556</v>
      </c>
      <c r="F39" s="343"/>
      <c r="G39" s="343">
        <f t="shared" si="1"/>
        <v>1208283556</v>
      </c>
    </row>
    <row r="40" spans="1:7" ht="15" customHeight="1">
      <c r="A40" s="337"/>
      <c r="B40" s="346" t="s">
        <v>183</v>
      </c>
      <c r="C40" s="342">
        <v>5769731040</v>
      </c>
      <c r="D40" s="342">
        <v>0</v>
      </c>
      <c r="E40" s="342">
        <f t="shared" si="0"/>
        <v>5769731040</v>
      </c>
      <c r="F40" s="343">
        <v>492387570</v>
      </c>
      <c r="G40" s="343">
        <f t="shared" si="1"/>
        <v>6262118610</v>
      </c>
    </row>
    <row r="41" spans="1:7" ht="15" customHeight="1">
      <c r="A41" s="337"/>
      <c r="B41" s="346" t="s">
        <v>192</v>
      </c>
      <c r="C41" s="342">
        <v>36556572</v>
      </c>
      <c r="D41" s="342">
        <v>0</v>
      </c>
      <c r="E41" s="342">
        <f t="shared" si="0"/>
        <v>36556572</v>
      </c>
      <c r="F41" s="343"/>
      <c r="G41" s="343">
        <f t="shared" si="1"/>
        <v>36556572</v>
      </c>
    </row>
    <row r="42" spans="1:7">
      <c r="A42" s="337" t="s">
        <v>1327</v>
      </c>
      <c r="B42" s="344"/>
      <c r="C42" s="339">
        <f>+SUM(C43:C66)</f>
        <v>4205775999</v>
      </c>
      <c r="D42" s="340">
        <f>+SUM(D43:D66)</f>
        <v>27300000</v>
      </c>
      <c r="E42" s="339">
        <f t="shared" si="0"/>
        <v>4233075999</v>
      </c>
      <c r="F42" s="340">
        <f>+SUM(F43:F66)</f>
        <v>0</v>
      </c>
      <c r="G42" s="340">
        <f t="shared" si="1"/>
        <v>4233075999</v>
      </c>
    </row>
    <row r="43" spans="1:7">
      <c r="A43" s="337"/>
      <c r="B43" s="344" t="s">
        <v>224</v>
      </c>
      <c r="C43" s="342">
        <v>67196913</v>
      </c>
      <c r="D43" s="342">
        <v>0</v>
      </c>
      <c r="E43" s="342">
        <f t="shared" si="0"/>
        <v>67196913</v>
      </c>
      <c r="F43" s="343"/>
      <c r="G43" s="343">
        <f t="shared" si="1"/>
        <v>67196913</v>
      </c>
    </row>
    <row r="44" spans="1:7">
      <c r="A44" s="337"/>
      <c r="B44" s="344" t="s">
        <v>226</v>
      </c>
      <c r="C44" s="342">
        <v>16547277</v>
      </c>
      <c r="D44" s="342">
        <v>0</v>
      </c>
      <c r="E44" s="342">
        <f t="shared" si="0"/>
        <v>16547277</v>
      </c>
      <c r="F44" s="343"/>
      <c r="G44" s="343">
        <f t="shared" si="1"/>
        <v>16547277</v>
      </c>
    </row>
    <row r="45" spans="1:7" ht="30.75" customHeight="1">
      <c r="A45" s="337"/>
      <c r="B45" s="346" t="s">
        <v>222</v>
      </c>
      <c r="C45" s="342">
        <v>18063997</v>
      </c>
      <c r="D45" s="342">
        <v>0</v>
      </c>
      <c r="E45" s="342">
        <f t="shared" si="0"/>
        <v>18063997</v>
      </c>
      <c r="F45" s="343"/>
      <c r="G45" s="343">
        <f t="shared" si="1"/>
        <v>18063997</v>
      </c>
    </row>
    <row r="46" spans="1:7">
      <c r="A46" s="337"/>
      <c r="B46" s="344" t="s">
        <v>223</v>
      </c>
      <c r="C46" s="342">
        <v>2002823485</v>
      </c>
      <c r="D46" s="342">
        <v>0</v>
      </c>
      <c r="E46" s="342">
        <f t="shared" si="0"/>
        <v>2002823485</v>
      </c>
      <c r="F46" s="343"/>
      <c r="G46" s="343">
        <f t="shared" si="1"/>
        <v>2002823485</v>
      </c>
    </row>
    <row r="47" spans="1:7">
      <c r="A47" s="337"/>
      <c r="B47" s="344" t="s">
        <v>229</v>
      </c>
      <c r="C47" s="342">
        <v>32836723</v>
      </c>
      <c r="D47" s="342">
        <v>0</v>
      </c>
      <c r="E47" s="342">
        <f t="shared" si="0"/>
        <v>32836723</v>
      </c>
      <c r="F47" s="343"/>
      <c r="G47" s="343">
        <f t="shared" si="1"/>
        <v>32836723</v>
      </c>
    </row>
    <row r="48" spans="1:7">
      <c r="A48" s="337"/>
      <c r="B48" s="344" t="s">
        <v>230</v>
      </c>
      <c r="C48" s="342">
        <v>17545312</v>
      </c>
      <c r="D48" s="342">
        <v>0</v>
      </c>
      <c r="E48" s="342">
        <f t="shared" si="0"/>
        <v>17545312</v>
      </c>
      <c r="F48" s="343"/>
      <c r="G48" s="343">
        <f t="shared" si="1"/>
        <v>17545312</v>
      </c>
    </row>
    <row r="49" spans="1:7">
      <c r="A49" s="337"/>
      <c r="B49" s="344" t="s">
        <v>231</v>
      </c>
      <c r="C49" s="342">
        <v>606582682</v>
      </c>
      <c r="D49" s="342">
        <v>0</v>
      </c>
      <c r="E49" s="342">
        <f t="shared" si="0"/>
        <v>606582682</v>
      </c>
      <c r="F49" s="343"/>
      <c r="G49" s="343">
        <f t="shared" si="1"/>
        <v>606582682</v>
      </c>
    </row>
    <row r="50" spans="1:7">
      <c r="A50" s="337"/>
      <c r="B50" s="344" t="s">
        <v>228</v>
      </c>
      <c r="C50" s="342">
        <v>27170656</v>
      </c>
      <c r="D50" s="342">
        <v>0</v>
      </c>
      <c r="E50" s="342">
        <f t="shared" si="0"/>
        <v>27170656</v>
      </c>
      <c r="F50" s="343"/>
      <c r="G50" s="343">
        <f t="shared" si="1"/>
        <v>27170656</v>
      </c>
    </row>
    <row r="51" spans="1:7">
      <c r="A51" s="337"/>
      <c r="B51" s="344" t="s">
        <v>246</v>
      </c>
      <c r="C51" s="342">
        <v>1883182</v>
      </c>
      <c r="D51" s="342">
        <v>0</v>
      </c>
      <c r="E51" s="342">
        <f t="shared" si="0"/>
        <v>1883182</v>
      </c>
      <c r="F51" s="343"/>
      <c r="G51" s="343">
        <f t="shared" si="1"/>
        <v>1883182</v>
      </c>
    </row>
    <row r="52" spans="1:7">
      <c r="A52" s="337"/>
      <c r="B52" s="344" t="s">
        <v>245</v>
      </c>
      <c r="C52" s="342">
        <v>5144396</v>
      </c>
      <c r="D52" s="342">
        <v>0</v>
      </c>
      <c r="E52" s="342">
        <f t="shared" si="0"/>
        <v>5144396</v>
      </c>
      <c r="F52" s="343"/>
      <c r="G52" s="343">
        <f t="shared" si="1"/>
        <v>5144396</v>
      </c>
    </row>
    <row r="53" spans="1:7">
      <c r="A53" s="337"/>
      <c r="B53" s="344" t="s">
        <v>243</v>
      </c>
      <c r="C53" s="342">
        <v>24411170</v>
      </c>
      <c r="D53" s="342">
        <v>5000000</v>
      </c>
      <c r="E53" s="342">
        <f t="shared" si="0"/>
        <v>29411170</v>
      </c>
      <c r="F53" s="343"/>
      <c r="G53" s="343">
        <f t="shared" si="1"/>
        <v>29411170</v>
      </c>
    </row>
    <row r="54" spans="1:7">
      <c r="A54" s="337"/>
      <c r="B54" s="344" t="s">
        <v>232</v>
      </c>
      <c r="C54" s="342">
        <v>57334841</v>
      </c>
      <c r="D54" s="342">
        <v>0</v>
      </c>
      <c r="E54" s="342">
        <f t="shared" si="0"/>
        <v>57334841</v>
      </c>
      <c r="F54" s="343"/>
      <c r="G54" s="343">
        <f t="shared" si="1"/>
        <v>57334841</v>
      </c>
    </row>
    <row r="55" spans="1:7">
      <c r="A55" s="337"/>
      <c r="B55" s="344" t="s">
        <v>233</v>
      </c>
      <c r="C55" s="342">
        <v>85001587</v>
      </c>
      <c r="D55" s="342">
        <v>0</v>
      </c>
      <c r="E55" s="342">
        <f t="shared" si="0"/>
        <v>85001587</v>
      </c>
      <c r="F55" s="343"/>
      <c r="G55" s="343">
        <f t="shared" si="1"/>
        <v>85001587</v>
      </c>
    </row>
    <row r="56" spans="1:7">
      <c r="A56" s="337"/>
      <c r="B56" s="344" t="s">
        <v>235</v>
      </c>
      <c r="C56" s="342">
        <v>195854342</v>
      </c>
      <c r="D56" s="342">
        <v>0</v>
      </c>
      <c r="E56" s="342">
        <f t="shared" si="0"/>
        <v>195854342</v>
      </c>
      <c r="F56" s="343"/>
      <c r="G56" s="343">
        <f t="shared" si="1"/>
        <v>195854342</v>
      </c>
    </row>
    <row r="57" spans="1:7">
      <c r="A57" s="337"/>
      <c r="B57" s="344" t="s">
        <v>234</v>
      </c>
      <c r="C57" s="342">
        <v>87073926</v>
      </c>
      <c r="D57" s="342">
        <v>0</v>
      </c>
      <c r="E57" s="342">
        <f t="shared" si="0"/>
        <v>87073926</v>
      </c>
      <c r="F57" s="343"/>
      <c r="G57" s="343">
        <f t="shared" si="1"/>
        <v>87073926</v>
      </c>
    </row>
    <row r="58" spans="1:7">
      <c r="A58" s="337"/>
      <c r="B58" s="344" t="s">
        <v>236</v>
      </c>
      <c r="C58" s="342">
        <v>146122747</v>
      </c>
      <c r="D58" s="342">
        <v>17300000</v>
      </c>
      <c r="E58" s="342">
        <f t="shared" si="0"/>
        <v>163422747</v>
      </c>
      <c r="F58" s="343"/>
      <c r="G58" s="343">
        <f t="shared" si="1"/>
        <v>163422747</v>
      </c>
    </row>
    <row r="59" spans="1:7">
      <c r="A59" s="337"/>
      <c r="B59" s="344" t="s">
        <v>237</v>
      </c>
      <c r="C59" s="342">
        <v>78293702</v>
      </c>
      <c r="D59" s="342">
        <v>0</v>
      </c>
      <c r="E59" s="342">
        <f t="shared" si="0"/>
        <v>78293702</v>
      </c>
      <c r="F59" s="343"/>
      <c r="G59" s="343">
        <f t="shared" si="1"/>
        <v>78293702</v>
      </c>
    </row>
    <row r="60" spans="1:7">
      <c r="A60" s="337"/>
      <c r="B60" s="344" t="s">
        <v>238</v>
      </c>
      <c r="C60" s="342">
        <v>142930925</v>
      </c>
      <c r="D60" s="342">
        <v>0</v>
      </c>
      <c r="E60" s="342">
        <f t="shared" si="0"/>
        <v>142930925</v>
      </c>
      <c r="F60" s="343"/>
      <c r="G60" s="343">
        <f t="shared" si="1"/>
        <v>142930925</v>
      </c>
    </row>
    <row r="61" spans="1:7">
      <c r="A61" s="337"/>
      <c r="B61" s="344" t="s">
        <v>239</v>
      </c>
      <c r="C61" s="342">
        <v>94856913</v>
      </c>
      <c r="D61" s="342">
        <v>0</v>
      </c>
      <c r="E61" s="342">
        <f t="shared" si="0"/>
        <v>94856913</v>
      </c>
      <c r="F61" s="343"/>
      <c r="G61" s="343">
        <f t="shared" si="1"/>
        <v>94856913</v>
      </c>
    </row>
    <row r="62" spans="1:7">
      <c r="A62" s="337"/>
      <c r="B62" s="344" t="s">
        <v>225</v>
      </c>
      <c r="C62" s="342">
        <v>96058885</v>
      </c>
      <c r="D62" s="342">
        <v>0</v>
      </c>
      <c r="E62" s="342">
        <f t="shared" si="0"/>
        <v>96058885</v>
      </c>
      <c r="F62" s="343"/>
      <c r="G62" s="343">
        <f t="shared" si="1"/>
        <v>96058885</v>
      </c>
    </row>
    <row r="63" spans="1:7">
      <c r="A63" s="337"/>
      <c r="B63" s="344" t="s">
        <v>240</v>
      </c>
      <c r="C63" s="342">
        <v>71506299</v>
      </c>
      <c r="D63" s="342">
        <v>0</v>
      </c>
      <c r="E63" s="342">
        <f t="shared" si="0"/>
        <v>71506299</v>
      </c>
      <c r="F63" s="343"/>
      <c r="G63" s="343">
        <f t="shared" si="1"/>
        <v>71506299</v>
      </c>
    </row>
    <row r="64" spans="1:7">
      <c r="A64" s="337"/>
      <c r="B64" s="344" t="s">
        <v>241</v>
      </c>
      <c r="C64" s="342">
        <v>298952921</v>
      </c>
      <c r="D64" s="342">
        <v>5000000</v>
      </c>
      <c r="E64" s="342">
        <f t="shared" si="0"/>
        <v>303952921</v>
      </c>
      <c r="F64" s="343"/>
      <c r="G64" s="343">
        <f t="shared" si="1"/>
        <v>303952921</v>
      </c>
    </row>
    <row r="65" spans="1:7">
      <c r="A65" s="337"/>
      <c r="B65" s="344" t="s">
        <v>227</v>
      </c>
      <c r="C65" s="342">
        <v>400000</v>
      </c>
      <c r="D65" s="342">
        <v>0</v>
      </c>
      <c r="E65" s="342">
        <f t="shared" si="0"/>
        <v>400000</v>
      </c>
      <c r="F65" s="343"/>
      <c r="G65" s="343">
        <f t="shared" si="1"/>
        <v>400000</v>
      </c>
    </row>
    <row r="66" spans="1:7">
      <c r="A66" s="337"/>
      <c r="B66" s="344" t="s">
        <v>242</v>
      </c>
      <c r="C66" s="342">
        <v>31183118</v>
      </c>
      <c r="D66" s="342">
        <v>0</v>
      </c>
      <c r="E66" s="342">
        <f t="shared" si="0"/>
        <v>31183118</v>
      </c>
      <c r="F66" s="343"/>
      <c r="G66" s="343">
        <f t="shared" si="1"/>
        <v>31183118</v>
      </c>
    </row>
    <row r="67" spans="1:7">
      <c r="A67" s="337" t="s">
        <v>1351</v>
      </c>
      <c r="B67" s="344"/>
      <c r="C67" s="339">
        <f>C68</f>
        <v>5000000</v>
      </c>
      <c r="D67" s="339">
        <v>0</v>
      </c>
      <c r="E67" s="339">
        <f t="shared" si="0"/>
        <v>5000000</v>
      </c>
      <c r="F67" s="340">
        <f>+F68</f>
        <v>0</v>
      </c>
      <c r="G67" s="340">
        <f t="shared" si="1"/>
        <v>5000000</v>
      </c>
    </row>
    <row r="68" spans="1:7">
      <c r="A68" s="337"/>
      <c r="B68" s="344" t="s">
        <v>266</v>
      </c>
      <c r="C68" s="342">
        <v>5000000</v>
      </c>
      <c r="D68" s="342">
        <v>0</v>
      </c>
      <c r="E68" s="342">
        <f t="shared" si="0"/>
        <v>5000000</v>
      </c>
      <c r="F68" s="343"/>
      <c r="G68" s="343">
        <f t="shared" si="1"/>
        <v>5000000</v>
      </c>
    </row>
    <row r="69" spans="1:7">
      <c r="A69" s="337" t="s">
        <v>1329</v>
      </c>
      <c r="B69" s="344"/>
      <c r="C69" s="339">
        <v>566560715</v>
      </c>
      <c r="D69" s="339">
        <v>0</v>
      </c>
      <c r="E69" s="339">
        <f t="shared" si="0"/>
        <v>566560715</v>
      </c>
      <c r="F69" s="340">
        <f>+SUM(F70:F73)</f>
        <v>0</v>
      </c>
      <c r="G69" s="340">
        <f t="shared" si="1"/>
        <v>566560715</v>
      </c>
    </row>
    <row r="70" spans="1:7">
      <c r="A70" s="337"/>
      <c r="B70" s="344" t="s">
        <v>300</v>
      </c>
      <c r="C70" s="342">
        <v>20000000</v>
      </c>
      <c r="D70" s="342">
        <v>0</v>
      </c>
      <c r="E70" s="342">
        <f t="shared" si="0"/>
        <v>20000000</v>
      </c>
      <c r="F70" s="343"/>
      <c r="G70" s="343">
        <f t="shared" si="1"/>
        <v>20000000</v>
      </c>
    </row>
    <row r="71" spans="1:7">
      <c r="A71" s="337"/>
      <c r="B71" s="344" t="s">
        <v>308</v>
      </c>
      <c r="C71" s="342">
        <v>251271193</v>
      </c>
      <c r="D71" s="342">
        <v>0</v>
      </c>
      <c r="E71" s="342">
        <f t="shared" ref="E71:E114" si="2">+D71+C71</f>
        <v>251271193</v>
      </c>
      <c r="F71" s="343"/>
      <c r="G71" s="343">
        <f t="shared" ref="G71:G114" si="3">+E71+F71</f>
        <v>251271193</v>
      </c>
    </row>
    <row r="72" spans="1:7">
      <c r="A72" s="337"/>
      <c r="B72" s="344" t="s">
        <v>306</v>
      </c>
      <c r="C72" s="342">
        <v>290289522</v>
      </c>
      <c r="D72" s="342">
        <v>0</v>
      </c>
      <c r="E72" s="342">
        <f t="shared" si="2"/>
        <v>290289522</v>
      </c>
      <c r="F72" s="343"/>
      <c r="G72" s="343">
        <f t="shared" si="3"/>
        <v>290289522</v>
      </c>
    </row>
    <row r="73" spans="1:7">
      <c r="A73" s="337"/>
      <c r="B73" s="344" t="s">
        <v>303</v>
      </c>
      <c r="C73" s="342">
        <v>5000000</v>
      </c>
      <c r="D73" s="342">
        <v>0</v>
      </c>
      <c r="E73" s="342">
        <f t="shared" si="2"/>
        <v>5000000</v>
      </c>
      <c r="F73" s="343"/>
      <c r="G73" s="343">
        <f t="shared" si="3"/>
        <v>5000000</v>
      </c>
    </row>
    <row r="74" spans="1:7">
      <c r="A74" s="337" t="s">
        <v>1344</v>
      </c>
      <c r="B74" s="344"/>
      <c r="C74" s="339">
        <f>C75</f>
        <v>2340879</v>
      </c>
      <c r="D74" s="339">
        <v>0</v>
      </c>
      <c r="E74" s="339">
        <f t="shared" si="2"/>
        <v>2340879</v>
      </c>
      <c r="F74" s="340">
        <f>+F75</f>
        <v>0</v>
      </c>
      <c r="G74" s="340">
        <f t="shared" si="3"/>
        <v>2340879</v>
      </c>
    </row>
    <row r="75" spans="1:7">
      <c r="A75" s="337"/>
      <c r="B75" s="344" t="s">
        <v>358</v>
      </c>
      <c r="C75" s="342">
        <v>2340879</v>
      </c>
      <c r="D75" s="342">
        <v>0</v>
      </c>
      <c r="E75" s="342">
        <f t="shared" si="2"/>
        <v>2340879</v>
      </c>
      <c r="F75" s="343"/>
      <c r="G75" s="343">
        <f t="shared" si="3"/>
        <v>2340879</v>
      </c>
    </row>
    <row r="76" spans="1:7">
      <c r="A76" s="337" t="s">
        <v>1352</v>
      </c>
      <c r="B76" s="344"/>
      <c r="C76" s="339">
        <f>SUM(C77:C79)</f>
        <v>605950344</v>
      </c>
      <c r="D76" s="339">
        <v>0</v>
      </c>
      <c r="E76" s="339">
        <f t="shared" si="2"/>
        <v>605950344</v>
      </c>
      <c r="F76" s="340">
        <f>+SUM(F77:F79)</f>
        <v>5571247782</v>
      </c>
      <c r="G76" s="340">
        <f t="shared" si="3"/>
        <v>6177198126</v>
      </c>
    </row>
    <row r="77" spans="1:7">
      <c r="A77" s="337"/>
      <c r="B77" s="344" t="s">
        <v>365</v>
      </c>
      <c r="C77" s="342">
        <v>154235945</v>
      </c>
      <c r="D77" s="342">
        <v>0</v>
      </c>
      <c r="E77" s="342">
        <f t="shared" si="2"/>
        <v>154235945</v>
      </c>
      <c r="F77" s="343">
        <v>749405786</v>
      </c>
      <c r="G77" s="343">
        <f t="shared" si="3"/>
        <v>903641731</v>
      </c>
    </row>
    <row r="78" spans="1:7">
      <c r="A78" s="337"/>
      <c r="B78" s="344" t="s">
        <v>363</v>
      </c>
      <c r="C78" s="342">
        <v>0</v>
      </c>
      <c r="D78" s="342">
        <v>0</v>
      </c>
      <c r="E78" s="342">
        <f t="shared" si="2"/>
        <v>0</v>
      </c>
      <c r="F78" s="343">
        <v>4623786538</v>
      </c>
      <c r="G78" s="343">
        <f t="shared" si="3"/>
        <v>4623786538</v>
      </c>
    </row>
    <row r="79" spans="1:7">
      <c r="A79" s="337"/>
      <c r="B79" s="344" t="s">
        <v>361</v>
      </c>
      <c r="C79" s="342">
        <v>451714399</v>
      </c>
      <c r="D79" s="342">
        <v>0</v>
      </c>
      <c r="E79" s="342">
        <f t="shared" si="2"/>
        <v>451714399</v>
      </c>
      <c r="F79" s="343">
        <v>198055458</v>
      </c>
      <c r="G79" s="343">
        <f t="shared" si="3"/>
        <v>649769857</v>
      </c>
    </row>
    <row r="80" spans="1:7">
      <c r="A80" s="337" t="s">
        <v>1345</v>
      </c>
      <c r="B80" s="344"/>
      <c r="C80" s="339">
        <f>C81</f>
        <v>18716725</v>
      </c>
      <c r="D80" s="339">
        <v>0</v>
      </c>
      <c r="E80" s="339">
        <f t="shared" si="2"/>
        <v>18716725</v>
      </c>
      <c r="F80" s="340">
        <f>+F81</f>
        <v>0</v>
      </c>
      <c r="G80" s="340">
        <f t="shared" si="3"/>
        <v>18716725</v>
      </c>
    </row>
    <row r="81" spans="1:7">
      <c r="A81" s="337"/>
      <c r="B81" s="344" t="s">
        <v>430</v>
      </c>
      <c r="C81" s="342">
        <v>18716725</v>
      </c>
      <c r="D81" s="342">
        <v>0</v>
      </c>
      <c r="E81" s="342">
        <f t="shared" si="2"/>
        <v>18716725</v>
      </c>
      <c r="F81" s="343"/>
      <c r="G81" s="343">
        <f t="shared" si="3"/>
        <v>18716725</v>
      </c>
    </row>
    <row r="82" spans="1:7">
      <c r="A82" s="337" t="s">
        <v>1353</v>
      </c>
      <c r="B82" s="344"/>
      <c r="C82" s="339">
        <v>17279570709</v>
      </c>
      <c r="D82" s="339">
        <v>500000000</v>
      </c>
      <c r="E82" s="339">
        <f>+D82+C82</f>
        <v>17779570709</v>
      </c>
      <c r="F82" s="340">
        <f>+SUM(F83:F110)</f>
        <v>2510969157</v>
      </c>
      <c r="G82" s="340">
        <f>+E82+F82</f>
        <v>20290539866</v>
      </c>
    </row>
    <row r="83" spans="1:7">
      <c r="A83" s="337"/>
      <c r="B83" s="344" t="s">
        <v>464</v>
      </c>
      <c r="C83" s="342">
        <v>136139566</v>
      </c>
      <c r="D83" s="342">
        <v>0</v>
      </c>
      <c r="E83" s="342">
        <f t="shared" si="2"/>
        <v>136139566</v>
      </c>
      <c r="F83" s="343">
        <v>165178061</v>
      </c>
      <c r="G83" s="343">
        <f t="shared" si="3"/>
        <v>301317627</v>
      </c>
    </row>
    <row r="84" spans="1:7">
      <c r="A84" s="337"/>
      <c r="B84" s="344" t="s">
        <v>447</v>
      </c>
      <c r="C84" s="342">
        <v>169203768</v>
      </c>
      <c r="D84" s="342">
        <v>0</v>
      </c>
      <c r="E84" s="342">
        <f t="shared" si="2"/>
        <v>169203768</v>
      </c>
      <c r="F84" s="343">
        <v>16338634</v>
      </c>
      <c r="G84" s="343">
        <f t="shared" si="3"/>
        <v>185542402</v>
      </c>
    </row>
    <row r="85" spans="1:7" ht="30" customHeight="1">
      <c r="A85" s="337"/>
      <c r="B85" s="346" t="s">
        <v>458</v>
      </c>
      <c r="C85" s="342">
        <v>344015103</v>
      </c>
      <c r="D85" s="342">
        <v>0</v>
      </c>
      <c r="E85" s="342">
        <f t="shared" si="2"/>
        <v>344015103</v>
      </c>
      <c r="F85" s="343">
        <v>44027315</v>
      </c>
      <c r="G85" s="343">
        <f t="shared" si="3"/>
        <v>388042418</v>
      </c>
    </row>
    <row r="86" spans="1:7">
      <c r="A86" s="337"/>
      <c r="B86" s="344" t="s">
        <v>459</v>
      </c>
      <c r="C86" s="342">
        <v>234457637</v>
      </c>
      <c r="D86" s="342">
        <v>0</v>
      </c>
      <c r="E86" s="342">
        <f t="shared" si="2"/>
        <v>234457637</v>
      </c>
      <c r="F86" s="343">
        <v>28196400</v>
      </c>
      <c r="G86" s="343">
        <f t="shared" si="3"/>
        <v>262654037</v>
      </c>
    </row>
    <row r="87" spans="1:7" ht="30" customHeight="1">
      <c r="A87" s="337"/>
      <c r="B87" s="346" t="s">
        <v>441</v>
      </c>
      <c r="C87" s="342">
        <v>43865885</v>
      </c>
      <c r="D87" s="342">
        <v>0</v>
      </c>
      <c r="E87" s="342">
        <f t="shared" si="2"/>
        <v>43865885</v>
      </c>
      <c r="F87" s="343">
        <v>8650500</v>
      </c>
      <c r="G87" s="343">
        <f t="shared" si="3"/>
        <v>52516385</v>
      </c>
    </row>
    <row r="88" spans="1:7">
      <c r="A88" s="337"/>
      <c r="B88" s="344" t="s">
        <v>442</v>
      </c>
      <c r="C88" s="342">
        <v>131173865</v>
      </c>
      <c r="D88" s="342">
        <v>0</v>
      </c>
      <c r="E88" s="342">
        <f t="shared" si="2"/>
        <v>131173865</v>
      </c>
      <c r="F88" s="343">
        <v>27351834</v>
      </c>
      <c r="G88" s="343">
        <f t="shared" si="3"/>
        <v>158525699</v>
      </c>
    </row>
    <row r="89" spans="1:7">
      <c r="A89" s="337"/>
      <c r="B89" s="344" t="s">
        <v>443</v>
      </c>
      <c r="C89" s="342">
        <v>133396620</v>
      </c>
      <c r="D89" s="342">
        <v>0</v>
      </c>
      <c r="E89" s="342">
        <f t="shared" si="2"/>
        <v>133396620</v>
      </c>
      <c r="F89" s="343">
        <v>24000000</v>
      </c>
      <c r="G89" s="343">
        <f t="shared" si="3"/>
        <v>157396620</v>
      </c>
    </row>
    <row r="90" spans="1:7">
      <c r="A90" s="337"/>
      <c r="B90" s="344" t="s">
        <v>462</v>
      </c>
      <c r="C90" s="342">
        <v>124470484</v>
      </c>
      <c r="D90" s="342">
        <v>0</v>
      </c>
      <c r="E90" s="342">
        <f t="shared" si="2"/>
        <v>124470484</v>
      </c>
      <c r="F90" s="343">
        <v>28000000</v>
      </c>
      <c r="G90" s="343">
        <f t="shared" si="3"/>
        <v>152470484</v>
      </c>
    </row>
    <row r="91" spans="1:7" ht="30.75" customHeight="1">
      <c r="A91" s="337"/>
      <c r="B91" s="346" t="s">
        <v>444</v>
      </c>
      <c r="C91" s="342">
        <v>110337635</v>
      </c>
      <c r="D91" s="342">
        <v>0</v>
      </c>
      <c r="E91" s="342">
        <f t="shared" si="2"/>
        <v>110337635</v>
      </c>
      <c r="F91" s="343">
        <v>44248420</v>
      </c>
      <c r="G91" s="343">
        <f t="shared" si="3"/>
        <v>154586055</v>
      </c>
    </row>
    <row r="92" spans="1:7" ht="30" customHeight="1">
      <c r="A92" s="337"/>
      <c r="B92" s="346" t="s">
        <v>461</v>
      </c>
      <c r="C92" s="342">
        <v>70454673</v>
      </c>
      <c r="D92" s="342">
        <v>0</v>
      </c>
      <c r="E92" s="342">
        <f t="shared" si="2"/>
        <v>70454673</v>
      </c>
      <c r="F92" s="343">
        <v>35000000</v>
      </c>
      <c r="G92" s="343">
        <f t="shared" si="3"/>
        <v>105454673</v>
      </c>
    </row>
    <row r="93" spans="1:7">
      <c r="A93" s="337"/>
      <c r="B93" s="344" t="s">
        <v>445</v>
      </c>
      <c r="C93" s="342">
        <v>251832735</v>
      </c>
      <c r="D93" s="342">
        <v>0</v>
      </c>
      <c r="E93" s="342">
        <f t="shared" si="2"/>
        <v>251832735</v>
      </c>
      <c r="F93" s="343">
        <v>23970000</v>
      </c>
      <c r="G93" s="343">
        <f t="shared" si="3"/>
        <v>275802735</v>
      </c>
    </row>
    <row r="94" spans="1:7">
      <c r="A94" s="337"/>
      <c r="B94" s="344" t="s">
        <v>446</v>
      </c>
      <c r="C94" s="342">
        <v>302868136</v>
      </c>
      <c r="D94" s="342">
        <v>0</v>
      </c>
      <c r="E94" s="342">
        <f t="shared" si="2"/>
        <v>302868136</v>
      </c>
      <c r="F94" s="343">
        <v>30415072</v>
      </c>
      <c r="G94" s="343">
        <f t="shared" si="3"/>
        <v>333283208</v>
      </c>
    </row>
    <row r="95" spans="1:7">
      <c r="A95" s="337"/>
      <c r="B95" s="344" t="s">
        <v>448</v>
      </c>
      <c r="C95" s="342">
        <v>119920166</v>
      </c>
      <c r="D95" s="342">
        <v>0</v>
      </c>
      <c r="E95" s="342">
        <f t="shared" si="2"/>
        <v>119920166</v>
      </c>
      <c r="F95" s="343">
        <v>20200798</v>
      </c>
      <c r="G95" s="343">
        <f t="shared" si="3"/>
        <v>140120964</v>
      </c>
    </row>
    <row r="96" spans="1:7">
      <c r="A96" s="337"/>
      <c r="B96" s="344" t="s">
        <v>449</v>
      </c>
      <c r="C96" s="342">
        <v>200415449</v>
      </c>
      <c r="D96" s="342">
        <v>0</v>
      </c>
      <c r="E96" s="342">
        <f t="shared" si="2"/>
        <v>200415449</v>
      </c>
      <c r="F96" s="343">
        <v>3907641</v>
      </c>
      <c r="G96" s="343">
        <f t="shared" si="3"/>
        <v>204323090</v>
      </c>
    </row>
    <row r="97" spans="1:7" ht="29.25" customHeight="1">
      <c r="A97" s="337"/>
      <c r="B97" s="346" t="s">
        <v>460</v>
      </c>
      <c r="C97" s="342">
        <v>110937942</v>
      </c>
      <c r="D97" s="342">
        <v>0</v>
      </c>
      <c r="E97" s="342">
        <f t="shared" si="2"/>
        <v>110937942</v>
      </c>
      <c r="F97" s="343">
        <v>53000000</v>
      </c>
      <c r="G97" s="343">
        <f t="shared" si="3"/>
        <v>163937942</v>
      </c>
    </row>
    <row r="98" spans="1:7">
      <c r="A98" s="337"/>
      <c r="B98" s="344" t="s">
        <v>463</v>
      </c>
      <c r="C98" s="342">
        <v>149613299</v>
      </c>
      <c r="D98" s="342">
        <v>0</v>
      </c>
      <c r="E98" s="342">
        <f t="shared" si="2"/>
        <v>149613299</v>
      </c>
      <c r="F98" s="343">
        <v>393000000</v>
      </c>
      <c r="G98" s="343">
        <f t="shared" si="3"/>
        <v>542613299</v>
      </c>
    </row>
    <row r="99" spans="1:7">
      <c r="A99" s="337"/>
      <c r="B99" s="344" t="s">
        <v>465</v>
      </c>
      <c r="C99" s="342">
        <v>13381100697</v>
      </c>
      <c r="D99" s="342">
        <v>500000000</v>
      </c>
      <c r="E99" s="342">
        <f t="shared" si="2"/>
        <v>13881100697</v>
      </c>
      <c r="F99" s="343">
        <v>2150000</v>
      </c>
      <c r="G99" s="343">
        <f t="shared" si="3"/>
        <v>13883250697</v>
      </c>
    </row>
    <row r="100" spans="1:7">
      <c r="A100" s="337"/>
      <c r="B100" s="344" t="s">
        <v>450</v>
      </c>
      <c r="C100" s="342">
        <v>202926687</v>
      </c>
      <c r="D100" s="342">
        <v>0</v>
      </c>
      <c r="E100" s="342">
        <f t="shared" si="2"/>
        <v>202926687</v>
      </c>
      <c r="F100" s="343">
        <v>30048174</v>
      </c>
      <c r="G100" s="343">
        <f t="shared" si="3"/>
        <v>232974861</v>
      </c>
    </row>
    <row r="101" spans="1:7">
      <c r="A101" s="337"/>
      <c r="B101" s="344" t="s">
        <v>451</v>
      </c>
      <c r="C101" s="342">
        <v>239272825</v>
      </c>
      <c r="D101" s="342">
        <v>0</v>
      </c>
      <c r="E101" s="342">
        <f t="shared" si="2"/>
        <v>239272825</v>
      </c>
      <c r="F101" s="343">
        <v>48474984</v>
      </c>
      <c r="G101" s="343">
        <f t="shared" si="3"/>
        <v>287747809</v>
      </c>
    </row>
    <row r="102" spans="1:7">
      <c r="A102" s="337"/>
      <c r="B102" s="344" t="s">
        <v>452</v>
      </c>
      <c r="C102" s="342">
        <v>93087326</v>
      </c>
      <c r="D102" s="342">
        <v>0</v>
      </c>
      <c r="E102" s="342">
        <f t="shared" si="2"/>
        <v>93087326</v>
      </c>
      <c r="F102" s="343">
        <v>2995600</v>
      </c>
      <c r="G102" s="343">
        <f t="shared" si="3"/>
        <v>96082926</v>
      </c>
    </row>
    <row r="103" spans="1:7">
      <c r="A103" s="337"/>
      <c r="B103" s="344" t="s">
        <v>453</v>
      </c>
      <c r="C103" s="342">
        <v>72401204</v>
      </c>
      <c r="D103" s="342">
        <v>0</v>
      </c>
      <c r="E103" s="342">
        <f t="shared" si="2"/>
        <v>72401204</v>
      </c>
      <c r="F103" s="343">
        <v>3500000</v>
      </c>
      <c r="G103" s="343">
        <f t="shared" si="3"/>
        <v>75901204</v>
      </c>
    </row>
    <row r="104" spans="1:7">
      <c r="A104" s="337"/>
      <c r="B104" s="344" t="s">
        <v>467</v>
      </c>
      <c r="C104" s="342">
        <v>45887748</v>
      </c>
      <c r="D104" s="342">
        <v>0</v>
      </c>
      <c r="E104" s="342">
        <f t="shared" si="2"/>
        <v>45887748</v>
      </c>
      <c r="F104" s="343">
        <v>78648503</v>
      </c>
      <c r="G104" s="343">
        <f t="shared" si="3"/>
        <v>124536251</v>
      </c>
    </row>
    <row r="105" spans="1:7">
      <c r="A105" s="337"/>
      <c r="B105" s="344" t="s">
        <v>454</v>
      </c>
      <c r="C105" s="342">
        <v>208060201</v>
      </c>
      <c r="D105" s="342">
        <v>0</v>
      </c>
      <c r="E105" s="342">
        <f t="shared" si="2"/>
        <v>208060201</v>
      </c>
      <c r="F105" s="343">
        <v>41007000</v>
      </c>
      <c r="G105" s="343">
        <f t="shared" si="3"/>
        <v>249067201</v>
      </c>
    </row>
    <row r="106" spans="1:7">
      <c r="A106" s="337"/>
      <c r="B106" s="344" t="s">
        <v>455</v>
      </c>
      <c r="C106" s="342">
        <v>108703555</v>
      </c>
      <c r="D106" s="342">
        <v>0</v>
      </c>
      <c r="E106" s="342">
        <f t="shared" si="2"/>
        <v>108703555</v>
      </c>
      <c r="F106" s="343">
        <v>5108820</v>
      </c>
      <c r="G106" s="343">
        <f t="shared" si="3"/>
        <v>113812375</v>
      </c>
    </row>
    <row r="107" spans="1:7">
      <c r="A107" s="337"/>
      <c r="B107" s="344" t="s">
        <v>456</v>
      </c>
      <c r="C107" s="342">
        <v>200553310</v>
      </c>
      <c r="D107" s="342">
        <v>0</v>
      </c>
      <c r="E107" s="342">
        <f t="shared" si="2"/>
        <v>200553310</v>
      </c>
      <c r="F107" s="343">
        <v>45000000</v>
      </c>
      <c r="G107" s="343">
        <f t="shared" si="3"/>
        <v>245553310</v>
      </c>
    </row>
    <row r="108" spans="1:7">
      <c r="A108" s="337"/>
      <c r="B108" s="344" t="s">
        <v>457</v>
      </c>
      <c r="C108" s="342">
        <v>94474193</v>
      </c>
      <c r="D108" s="342">
        <v>0</v>
      </c>
      <c r="E108" s="342">
        <f t="shared" si="2"/>
        <v>94474193</v>
      </c>
      <c r="F108" s="343">
        <v>9000000</v>
      </c>
      <c r="G108" s="343">
        <f t="shared" si="3"/>
        <v>103474193</v>
      </c>
    </row>
    <row r="109" spans="1:7">
      <c r="A109" s="337"/>
      <c r="B109" s="344" t="s">
        <v>1544</v>
      </c>
      <c r="C109" s="342">
        <v>0</v>
      </c>
      <c r="D109" s="342">
        <v>0</v>
      </c>
      <c r="E109" s="342">
        <f t="shared" si="2"/>
        <v>0</v>
      </c>
      <c r="F109" s="343">
        <v>826765924</v>
      </c>
      <c r="G109" s="343">
        <f t="shared" si="3"/>
        <v>826765924</v>
      </c>
    </row>
    <row r="110" spans="1:7">
      <c r="A110" s="337"/>
      <c r="B110" s="344" t="s">
        <v>1545</v>
      </c>
      <c r="C110" s="342">
        <v>0</v>
      </c>
      <c r="D110" s="342">
        <v>0</v>
      </c>
      <c r="E110" s="342">
        <f t="shared" si="2"/>
        <v>0</v>
      </c>
      <c r="F110" s="343">
        <v>472785477</v>
      </c>
      <c r="G110" s="343">
        <f t="shared" si="3"/>
        <v>472785477</v>
      </c>
    </row>
    <row r="111" spans="1:7">
      <c r="A111" s="337" t="s">
        <v>1540</v>
      </c>
      <c r="B111" s="344"/>
      <c r="C111" s="339">
        <f>C112</f>
        <v>167512154</v>
      </c>
      <c r="D111" s="339">
        <f>D112</f>
        <v>0</v>
      </c>
      <c r="E111" s="339">
        <f t="shared" si="2"/>
        <v>167512154</v>
      </c>
      <c r="F111" s="339">
        <f>F112</f>
        <v>329032517</v>
      </c>
      <c r="G111" s="340">
        <f t="shared" si="3"/>
        <v>496544671</v>
      </c>
    </row>
    <row r="112" spans="1:7">
      <c r="A112" s="337"/>
      <c r="B112" s="344" t="s">
        <v>475</v>
      </c>
      <c r="C112" s="342">
        <v>167512154</v>
      </c>
      <c r="D112" s="342">
        <v>0</v>
      </c>
      <c r="E112" s="342">
        <f t="shared" si="2"/>
        <v>167512154</v>
      </c>
      <c r="F112" s="343">
        <v>329032517</v>
      </c>
      <c r="G112" s="343">
        <f t="shared" si="3"/>
        <v>496544671</v>
      </c>
    </row>
    <row r="113" spans="1:7">
      <c r="A113" s="337" t="s">
        <v>1541</v>
      </c>
      <c r="B113" s="344"/>
      <c r="C113" s="339">
        <f>C114</f>
        <v>54038506</v>
      </c>
      <c r="D113" s="339">
        <f>D114</f>
        <v>0</v>
      </c>
      <c r="E113" s="339">
        <f t="shared" si="2"/>
        <v>54038506</v>
      </c>
      <c r="F113" s="339">
        <f>F114</f>
        <v>10450589</v>
      </c>
      <c r="G113" s="340">
        <f t="shared" si="3"/>
        <v>64489095</v>
      </c>
    </row>
    <row r="114" spans="1:7">
      <c r="A114" s="337"/>
      <c r="B114" s="344" t="s">
        <v>1542</v>
      </c>
      <c r="C114" s="342">
        <v>54038506</v>
      </c>
      <c r="D114" s="342">
        <v>0</v>
      </c>
      <c r="E114" s="342">
        <f t="shared" si="2"/>
        <v>54038506</v>
      </c>
      <c r="F114" s="343">
        <v>10450589</v>
      </c>
      <c r="G114" s="343">
        <f t="shared" si="3"/>
        <v>64489095</v>
      </c>
    </row>
    <row r="115" spans="1:7">
      <c r="A115" s="337"/>
      <c r="B115" s="344"/>
      <c r="C115" s="342"/>
      <c r="D115" s="342"/>
      <c r="E115" s="342"/>
      <c r="F115" s="343"/>
      <c r="G115" s="343"/>
    </row>
  </sheetData>
  <mergeCells count="6">
    <mergeCell ref="G3:G4"/>
    <mergeCell ref="A5:B5"/>
    <mergeCell ref="A3:A4"/>
    <mergeCell ref="B3:B4"/>
    <mergeCell ref="C3:E3"/>
    <mergeCell ref="F3:F4"/>
  </mergeCells>
  <pageMargins left="0.70866141732283472" right="0.70866141732283472" top="0.74803149606299213" bottom="0.74803149606299213" header="0.31496062992125984" footer="0.31496062992125984"/>
  <pageSetup scale="94" fitToHeight="99" orientation="portrait" r:id="rId1"/>
  <headerFooter>
    <oddFooter>&amp;L&amp;A&amp;R&amp;P/&amp;N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21">
    <tabColor rgb="FF00B050"/>
    <pageSetUpPr fitToPage="1"/>
  </sheetPr>
  <dimension ref="A1:AS229"/>
  <sheetViews>
    <sheetView view="pageBreakPreview" topLeftCell="Q133" zoomScaleSheetLayoutView="100" workbookViewId="0">
      <selection activeCell="X50" sqref="X50"/>
    </sheetView>
  </sheetViews>
  <sheetFormatPr baseColWidth="10" defaultRowHeight="15"/>
  <cols>
    <col min="1" max="1" width="7" style="9" customWidth="1"/>
    <col min="2" max="2" width="6.140625" style="15" bestFit="1" customWidth="1"/>
    <col min="3" max="3" width="5.85546875" style="14" bestFit="1" customWidth="1"/>
    <col min="4" max="4" width="34.42578125" style="14" customWidth="1"/>
    <col min="5" max="5" width="88.140625" style="15" bestFit="1" customWidth="1"/>
    <col min="6" max="6" width="24" bestFit="1" customWidth="1"/>
    <col min="7" max="7" width="23.140625" style="19" bestFit="1" customWidth="1"/>
    <col min="8" max="9" width="21.42578125" customWidth="1"/>
    <col min="10" max="10" width="23.7109375" bestFit="1" customWidth="1"/>
    <col min="11" max="12" width="16.28515625" bestFit="1" customWidth="1"/>
    <col min="13" max="13" width="12.5703125" style="9" bestFit="1" customWidth="1"/>
    <col min="14" max="14" width="3.85546875" style="200" bestFit="1" customWidth="1"/>
    <col min="15" max="15" width="4.42578125" style="199" customWidth="1"/>
    <col min="16" max="16" width="41.7109375" style="199" customWidth="1"/>
    <col min="17" max="17" width="29.5703125" style="200" customWidth="1"/>
    <col min="18" max="19" width="7.28515625" style="261" customWidth="1"/>
    <col min="20" max="20" width="11.42578125" style="195"/>
    <col min="21" max="23" width="11.42578125" style="225"/>
    <col min="24" max="27" width="11.42578125" style="225" customWidth="1"/>
    <col min="28" max="28" width="10.140625" style="222" hidden="1" customWidth="1"/>
    <col min="29" max="30" width="9.42578125" style="222" hidden="1" customWidth="1"/>
    <col min="31" max="33" width="10.140625" style="257" bestFit="1" customWidth="1"/>
    <col min="34" max="34" width="10.140625" style="222" bestFit="1" customWidth="1"/>
    <col min="35" max="35" width="11.7109375" bestFit="1" customWidth="1"/>
    <col min="37" max="37" width="11.5703125" style="195" customWidth="1"/>
    <col min="38" max="44" width="11.5703125" style="225" customWidth="1"/>
    <col min="45" max="45" width="11.5703125" style="222" customWidth="1"/>
  </cols>
  <sheetData>
    <row r="1" spans="1:45">
      <c r="A1"/>
      <c r="B1"/>
      <c r="M1" s="8"/>
      <c r="N1" s="8"/>
      <c r="T1" s="211"/>
      <c r="U1" s="211"/>
      <c r="V1" s="211"/>
      <c r="W1" s="211"/>
      <c r="X1" s="211"/>
      <c r="Y1" s="211"/>
      <c r="Z1" s="211"/>
      <c r="AA1" s="211"/>
      <c r="AB1" s="212"/>
      <c r="AC1" s="212"/>
      <c r="AD1" s="212"/>
      <c r="AE1" s="254"/>
      <c r="AF1" s="254"/>
      <c r="AG1" s="254"/>
    </row>
    <row r="2" spans="1:45">
      <c r="A2" s="3" t="s">
        <v>473</v>
      </c>
      <c r="B2" s="4">
        <v>1</v>
      </c>
      <c r="M2" s="8"/>
      <c r="N2" s="201"/>
      <c r="T2" s="213" t="s">
        <v>1334</v>
      </c>
      <c r="U2" s="214"/>
      <c r="V2" s="214"/>
      <c r="W2" s="214"/>
      <c r="X2" s="214"/>
      <c r="Y2" s="214"/>
      <c r="Z2" s="214"/>
      <c r="AA2" s="214"/>
      <c r="AB2" s="226"/>
      <c r="AC2" s="226"/>
      <c r="AD2" s="226"/>
      <c r="AE2" s="255"/>
      <c r="AF2" s="255"/>
      <c r="AG2" s="255"/>
      <c r="AH2" s="233"/>
      <c r="AK2" s="213" t="s">
        <v>1633</v>
      </c>
      <c r="AL2" s="214"/>
      <c r="AM2" s="214"/>
      <c r="AN2" s="214"/>
      <c r="AO2" s="214"/>
      <c r="AP2" s="214"/>
      <c r="AQ2" s="214"/>
      <c r="AR2" s="214"/>
      <c r="AS2" s="233"/>
    </row>
    <row r="3" spans="1:45">
      <c r="A3"/>
      <c r="B3"/>
      <c r="C3"/>
      <c r="D3"/>
      <c r="E3"/>
      <c r="G3"/>
      <c r="M3" s="8"/>
      <c r="N3" s="8"/>
      <c r="O3" s="8"/>
      <c r="P3" s="8"/>
      <c r="Q3" s="8"/>
      <c r="R3" s="262"/>
      <c r="S3" s="262"/>
      <c r="T3" s="215"/>
      <c r="U3" s="216"/>
      <c r="V3" s="216"/>
      <c r="W3" s="216"/>
      <c r="X3" s="216"/>
      <c r="Y3" s="216"/>
      <c r="Z3" s="216"/>
      <c r="AA3" s="216"/>
      <c r="AB3" s="389" t="s">
        <v>1384</v>
      </c>
      <c r="AC3" s="389"/>
      <c r="AD3" s="389"/>
      <c r="AE3" s="390" t="s">
        <v>1534</v>
      </c>
      <c r="AF3" s="390" t="s">
        <v>1533</v>
      </c>
      <c r="AG3" s="390" t="s">
        <v>1535</v>
      </c>
      <c r="AH3"/>
      <c r="AK3" s="215"/>
      <c r="AL3" s="216"/>
      <c r="AM3" s="216"/>
      <c r="AN3" s="216"/>
      <c r="AO3" s="216"/>
      <c r="AP3" s="216"/>
      <c r="AQ3" s="216"/>
      <c r="AR3" s="216"/>
      <c r="AS3"/>
    </row>
    <row r="4" spans="1:45" s="12" customFormat="1" ht="15" customHeight="1">
      <c r="A4" s="9"/>
      <c r="B4" s="9"/>
      <c r="C4" s="9"/>
      <c r="D4" s="9"/>
      <c r="E4" s="9"/>
      <c r="F4" s="6" t="s">
        <v>636</v>
      </c>
      <c r="G4" s="7"/>
      <c r="H4" s="5"/>
      <c r="I4" s="5"/>
      <c r="J4" s="5"/>
      <c r="K4"/>
      <c r="L4"/>
      <c r="M4" s="9"/>
      <c r="N4" s="9"/>
      <c r="O4" s="9"/>
      <c r="P4" s="9"/>
      <c r="Q4" s="9"/>
      <c r="R4" s="263"/>
      <c r="S4" s="263"/>
      <c r="T4" s="231" t="s">
        <v>607</v>
      </c>
      <c r="U4" s="232"/>
      <c r="V4" s="227" t="s">
        <v>1335</v>
      </c>
      <c r="W4" s="227"/>
      <c r="X4" s="227"/>
      <c r="Y4" s="227"/>
      <c r="Z4" s="227"/>
      <c r="AA4" s="228"/>
      <c r="AB4" s="229" t="s">
        <v>644</v>
      </c>
      <c r="AC4" s="229" t="s">
        <v>637</v>
      </c>
      <c r="AD4" s="229" t="s">
        <v>638</v>
      </c>
      <c r="AE4" s="391"/>
      <c r="AF4" s="391"/>
      <c r="AG4" s="391"/>
      <c r="AH4" s="229" t="s">
        <v>642</v>
      </c>
      <c r="AK4" s="231" t="s">
        <v>607</v>
      </c>
      <c r="AL4" s="232"/>
      <c r="AM4" s="227" t="s">
        <v>1335</v>
      </c>
      <c r="AN4" s="227"/>
      <c r="AO4" s="227"/>
      <c r="AP4" s="227"/>
      <c r="AQ4" s="227"/>
      <c r="AR4" s="228"/>
      <c r="AS4" s="229" t="s">
        <v>642</v>
      </c>
    </row>
    <row r="5" spans="1:45">
      <c r="A5" s="10" t="s">
        <v>606</v>
      </c>
      <c r="B5" s="13" t="s">
        <v>608</v>
      </c>
      <c r="C5" s="13" t="s">
        <v>0</v>
      </c>
      <c r="D5" s="13" t="s">
        <v>1</v>
      </c>
      <c r="E5" s="11" t="s">
        <v>3</v>
      </c>
      <c r="F5" s="12" t="s">
        <v>643</v>
      </c>
      <c r="G5" s="20" t="s">
        <v>644</v>
      </c>
      <c r="H5" s="12" t="s">
        <v>640</v>
      </c>
      <c r="I5" s="12" t="s">
        <v>641</v>
      </c>
      <c r="J5" s="12" t="s">
        <v>642</v>
      </c>
      <c r="N5" s="9"/>
      <c r="O5" s="9"/>
      <c r="P5" s="9"/>
      <c r="Q5" s="9"/>
      <c r="R5" s="263" t="s">
        <v>1469</v>
      </c>
      <c r="S5" s="263" t="s">
        <v>1470</v>
      </c>
      <c r="T5" s="217" t="s">
        <v>650</v>
      </c>
      <c r="U5" s="218"/>
      <c r="V5" s="218"/>
      <c r="W5" s="218"/>
      <c r="X5" s="218"/>
      <c r="Y5" s="218"/>
      <c r="Z5" s="218"/>
      <c r="AA5" s="218"/>
      <c r="AB5" s="220">
        <f t="shared" ref="AB5:AH5" si="0">+AB6+AB11+AB16+AB25+AB32+AB51+AB55+AB58+AB63+AB72+AB87+AB126+AB129+AB134+AB137+AB144+AB153+AB156+AB173+AB180+AB185+AB188+AB191+AB194+AB197</f>
        <v>93412747000</v>
      </c>
      <c r="AC5" s="220">
        <f t="shared" si="0"/>
        <v>5997553585</v>
      </c>
      <c r="AD5" s="220">
        <f t="shared" si="0"/>
        <v>5680047488</v>
      </c>
      <c r="AE5" s="220">
        <f t="shared" si="0"/>
        <v>2106100000</v>
      </c>
      <c r="AF5" s="220">
        <f t="shared" si="0"/>
        <v>12385951292</v>
      </c>
      <c r="AG5" s="220">
        <f t="shared" si="0"/>
        <v>534455903.0456534</v>
      </c>
      <c r="AH5" s="220">
        <f t="shared" si="0"/>
        <v>15136603699.045654</v>
      </c>
      <c r="AK5" s="217" t="s">
        <v>650</v>
      </c>
      <c r="AL5" s="218"/>
      <c r="AM5" s="218"/>
      <c r="AN5" s="218"/>
      <c r="AO5" s="218"/>
      <c r="AP5" s="218"/>
      <c r="AQ5" s="218"/>
      <c r="AR5" s="218"/>
      <c r="AS5" s="220">
        <f>+AH5</f>
        <v>15136603699.045654</v>
      </c>
    </row>
    <row r="6" spans="1:45">
      <c r="A6">
        <v>1</v>
      </c>
      <c r="B6" t="s">
        <v>612</v>
      </c>
      <c r="C6">
        <v>1</v>
      </c>
      <c r="D6" t="s">
        <v>487</v>
      </c>
      <c r="E6" t="s">
        <v>486</v>
      </c>
      <c r="F6" s="5">
        <v>4735873304</v>
      </c>
      <c r="G6" s="7">
        <v>5293515928</v>
      </c>
      <c r="H6" s="5">
        <v>2000000000</v>
      </c>
      <c r="I6" s="5"/>
      <c r="J6" s="5">
        <v>3293515928</v>
      </c>
      <c r="M6" s="41" t="s">
        <v>606</v>
      </c>
      <c r="N6" s="198" t="s">
        <v>608</v>
      </c>
      <c r="O6" s="198" t="s">
        <v>0</v>
      </c>
      <c r="P6" s="198" t="s">
        <v>1</v>
      </c>
      <c r="Q6" s="9" t="s">
        <v>3</v>
      </c>
      <c r="R6" s="264" t="s">
        <v>1383</v>
      </c>
      <c r="S6" s="264" t="s">
        <v>1382</v>
      </c>
      <c r="T6" s="217" t="s">
        <v>1370</v>
      </c>
      <c r="U6" s="218"/>
      <c r="V6" s="218"/>
      <c r="W6" s="218"/>
      <c r="X6" s="218"/>
      <c r="Y6" s="218"/>
      <c r="Z6" s="218"/>
      <c r="AA6" s="218"/>
      <c r="AB6" s="220">
        <f t="shared" ref="AB6:AH6" si="1">+AB8+AB10</f>
        <v>6702210604</v>
      </c>
      <c r="AC6" s="220">
        <f t="shared" si="1"/>
        <v>2076600000</v>
      </c>
      <c r="AD6" s="220">
        <f t="shared" si="1"/>
        <v>0</v>
      </c>
      <c r="AE6" s="220">
        <f t="shared" si="1"/>
        <v>0</v>
      </c>
      <c r="AF6" s="220">
        <f t="shared" si="1"/>
        <v>45000000</v>
      </c>
      <c r="AG6" s="220">
        <f t="shared" si="1"/>
        <v>0</v>
      </c>
      <c r="AH6" s="220">
        <f t="shared" si="1"/>
        <v>45000000</v>
      </c>
      <c r="AK6" s="217" t="s">
        <v>1370</v>
      </c>
      <c r="AL6" s="218"/>
      <c r="AM6" s="218"/>
      <c r="AN6" s="218"/>
      <c r="AO6" s="218"/>
      <c r="AP6" s="218"/>
      <c r="AQ6" s="218"/>
      <c r="AR6" s="218"/>
      <c r="AS6" s="220">
        <f>+AH6</f>
        <v>45000000</v>
      </c>
    </row>
    <row r="7" spans="1:45">
      <c r="A7"/>
      <c r="B7"/>
      <c r="C7"/>
      <c r="D7" t="s">
        <v>1385</v>
      </c>
      <c r="E7"/>
      <c r="F7" s="5">
        <v>4735873304</v>
      </c>
      <c r="G7" s="7">
        <v>5293515928</v>
      </c>
      <c r="H7" s="5">
        <v>2000000000</v>
      </c>
      <c r="I7" s="5"/>
      <c r="J7" s="5">
        <v>3293515928</v>
      </c>
      <c r="R7" s="265"/>
      <c r="S7" s="265"/>
      <c r="T7" s="221" t="s">
        <v>487</v>
      </c>
      <c r="U7" s="219"/>
      <c r="V7" s="219"/>
      <c r="W7" s="219"/>
      <c r="X7" s="219"/>
      <c r="Y7" s="219"/>
      <c r="Z7" s="219"/>
      <c r="AA7" s="219"/>
      <c r="AB7" s="223"/>
      <c r="AC7" s="223"/>
      <c r="AD7" s="223"/>
      <c r="AE7" s="256"/>
      <c r="AF7" s="256"/>
      <c r="AG7" s="256"/>
      <c r="AH7" s="223"/>
      <c r="AK7" s="221" t="s">
        <v>487</v>
      </c>
      <c r="AL7" s="219"/>
      <c r="AM7" s="219"/>
      <c r="AN7" s="219"/>
      <c r="AO7" s="219"/>
      <c r="AP7" s="219"/>
      <c r="AQ7" s="219"/>
      <c r="AR7" s="219"/>
      <c r="AS7" s="223"/>
    </row>
    <row r="8" spans="1:45">
      <c r="A8"/>
      <c r="B8"/>
      <c r="C8">
        <v>2</v>
      </c>
      <c r="D8" t="s">
        <v>488</v>
      </c>
      <c r="E8" t="s">
        <v>489</v>
      </c>
      <c r="F8" s="5">
        <v>1226500000</v>
      </c>
      <c r="G8" s="7">
        <v>1408694676</v>
      </c>
      <c r="H8" s="5">
        <v>76600000</v>
      </c>
      <c r="I8" s="5"/>
      <c r="J8" s="5">
        <v>1332094676</v>
      </c>
      <c r="M8" s="8">
        <v>1</v>
      </c>
      <c r="N8" s="8" t="s">
        <v>612</v>
      </c>
      <c r="O8" s="8">
        <v>1</v>
      </c>
      <c r="P8" s="8" t="s">
        <v>487</v>
      </c>
      <c r="Q8" s="8" t="s">
        <v>486</v>
      </c>
      <c r="R8" s="266">
        <v>0</v>
      </c>
      <c r="S8" s="266">
        <v>6.6118626024846451E-3</v>
      </c>
      <c r="T8" s="217"/>
      <c r="U8" s="219" t="s">
        <v>486</v>
      </c>
      <c r="V8" s="219"/>
      <c r="W8" s="219"/>
      <c r="X8" s="219"/>
      <c r="Y8" s="219"/>
      <c r="Z8" s="219"/>
      <c r="AA8" s="219"/>
      <c r="AB8" s="223">
        <f>+GETPIVOTDATA("PPEF 2011 ",$A$4,"No. Ramo",$M8,"IPP",$N8,"PP",$O8,"Programa Presupuestario (PP)",$P8,"Unidad Responsable (UR)",$Q8)</f>
        <v>5293515928</v>
      </c>
      <c r="AC8" s="223">
        <f>+GETPIVOTDATA("Reducción ",$A$4,"No. Ramo",$M8,"IPP",$N8,"PP",$O8,"Programa Presupuestario (PP)",$P8,"Unidad Responsable (UR)",$Q8)</f>
        <v>2000000000</v>
      </c>
      <c r="AD8" s="223">
        <f>+GETPIVOTDATA("Ampliación ",$A$4,"No. Ramo",$M8,"IPP",$N8,"PP",$O8,"Programa Presupuestario (PP)",$P8,"Unidad Responsable (UR)",$Q8)</f>
        <v>0</v>
      </c>
      <c r="AE8" s="256"/>
      <c r="AF8" s="256">
        <f>+AB8*S8</f>
        <v>35000000</v>
      </c>
      <c r="AG8" s="256"/>
      <c r="AH8" s="223">
        <f>+AG8+AF8+AE8</f>
        <v>35000000</v>
      </c>
      <c r="AK8" s="217"/>
      <c r="AL8" s="219" t="s">
        <v>486</v>
      </c>
      <c r="AM8" s="219"/>
      <c r="AN8" s="219"/>
      <c r="AO8" s="219"/>
      <c r="AP8" s="219"/>
      <c r="AQ8" s="219"/>
      <c r="AR8" s="219"/>
      <c r="AS8" s="223">
        <f>+AH8</f>
        <v>35000000</v>
      </c>
    </row>
    <row r="9" spans="1:45">
      <c r="A9"/>
      <c r="B9"/>
      <c r="C9"/>
      <c r="D9" t="s">
        <v>1386</v>
      </c>
      <c r="E9"/>
      <c r="F9" s="5">
        <v>1226500000</v>
      </c>
      <c r="G9" s="7">
        <v>1408694676</v>
      </c>
      <c r="H9" s="5">
        <v>76600000</v>
      </c>
      <c r="I9" s="5"/>
      <c r="J9" s="5">
        <v>1332094676</v>
      </c>
      <c r="M9" s="8"/>
      <c r="N9" s="8"/>
      <c r="O9" s="8"/>
      <c r="P9" s="8"/>
      <c r="Q9" s="8"/>
      <c r="R9" s="266"/>
      <c r="S9" s="266"/>
      <c r="T9" s="221" t="s">
        <v>488</v>
      </c>
      <c r="U9" s="219"/>
      <c r="V9" s="219"/>
      <c r="W9" s="219"/>
      <c r="X9" s="219"/>
      <c r="Y9" s="219"/>
      <c r="Z9" s="219"/>
      <c r="AA9" s="219"/>
      <c r="AB9" s="223" t="s">
        <v>1375</v>
      </c>
      <c r="AC9" s="223" t="s">
        <v>1375</v>
      </c>
      <c r="AD9" s="223" t="s">
        <v>1375</v>
      </c>
      <c r="AE9" s="256" t="s">
        <v>1375</v>
      </c>
      <c r="AF9" s="256" t="s">
        <v>1375</v>
      </c>
      <c r="AG9" s="256" t="s">
        <v>1375</v>
      </c>
      <c r="AH9" s="223"/>
      <c r="AK9" s="386" t="s">
        <v>488</v>
      </c>
      <c r="AL9" s="387"/>
      <c r="AM9" s="387"/>
      <c r="AN9" s="387"/>
      <c r="AO9" s="387"/>
      <c r="AP9" s="387"/>
      <c r="AQ9" s="387"/>
      <c r="AR9" s="388"/>
      <c r="AS9" s="223"/>
    </row>
    <row r="10" spans="1:45">
      <c r="A10">
        <v>3</v>
      </c>
      <c r="B10" t="s">
        <v>612</v>
      </c>
      <c r="C10">
        <v>1</v>
      </c>
      <c r="D10" t="s">
        <v>490</v>
      </c>
      <c r="E10" t="s">
        <v>492</v>
      </c>
      <c r="F10" s="5">
        <v>27637455886</v>
      </c>
      <c r="G10" s="7">
        <v>34870022583</v>
      </c>
      <c r="H10" s="5">
        <v>3487000000</v>
      </c>
      <c r="I10" s="5"/>
      <c r="J10" s="5">
        <v>31383022583</v>
      </c>
      <c r="M10" s="8">
        <v>1</v>
      </c>
      <c r="N10" s="8" t="s">
        <v>612</v>
      </c>
      <c r="O10" s="8">
        <v>2</v>
      </c>
      <c r="P10" s="8" t="s">
        <v>488</v>
      </c>
      <c r="Q10" s="8" t="s">
        <v>489</v>
      </c>
      <c r="R10" s="266">
        <v>0</v>
      </c>
      <c r="S10" s="266">
        <f>10000000/AB10</f>
        <v>7.0987703512837017E-3</v>
      </c>
      <c r="T10" s="217"/>
      <c r="U10" s="219" t="s">
        <v>489</v>
      </c>
      <c r="V10" s="219"/>
      <c r="W10" s="219"/>
      <c r="X10" s="219"/>
      <c r="Y10" s="219"/>
      <c r="Z10" s="219"/>
      <c r="AA10" s="219"/>
      <c r="AB10" s="223">
        <f>+GETPIVOTDATA("PPEF 2011 ",$A$4,"No. Ramo",$M10,"IPP",$N10,"PP",$O10,"Programa Presupuestario (PP)",$P10,"Unidad Responsable (UR)",$Q10)</f>
        <v>1408694676</v>
      </c>
      <c r="AC10" s="223">
        <f>+GETPIVOTDATA("Reducción ",$A$4,"No. Ramo",$M10,"IPP",$N10,"PP",$O10,"Programa Presupuestario (PP)",$P10,"Unidad Responsable (UR)",$Q10)</f>
        <v>76600000</v>
      </c>
      <c r="AD10" s="223">
        <f>+GETPIVOTDATA("Ampliación ",$A$4,"No. Ramo",$M10,"IPP",$N10,"PP",$O10,"Programa Presupuestario (PP)",$P10,"Unidad Responsable (UR)",$Q10)</f>
        <v>0</v>
      </c>
      <c r="AE10" s="256"/>
      <c r="AF10" s="256">
        <f>+AB10*S10</f>
        <v>10000000</v>
      </c>
      <c r="AG10" s="256"/>
      <c r="AH10" s="223">
        <f>+AG10+AF10+AE10</f>
        <v>10000000</v>
      </c>
      <c r="AK10" s="217"/>
      <c r="AL10" s="219" t="s">
        <v>489</v>
      </c>
      <c r="AM10" s="219"/>
      <c r="AN10" s="219"/>
      <c r="AO10" s="219"/>
      <c r="AP10" s="219"/>
      <c r="AQ10" s="219"/>
      <c r="AR10" s="219"/>
      <c r="AS10" s="223">
        <f>+AH10</f>
        <v>10000000</v>
      </c>
    </row>
    <row r="11" spans="1:45">
      <c r="A11"/>
      <c r="B11"/>
      <c r="C11"/>
      <c r="D11"/>
      <c r="E11" t="s">
        <v>493</v>
      </c>
      <c r="F11" s="5">
        <v>1376061502</v>
      </c>
      <c r="G11" s="7">
        <v>1410720150</v>
      </c>
      <c r="H11" s="5"/>
      <c r="I11" s="5"/>
      <c r="J11" s="5">
        <v>1410720150</v>
      </c>
      <c r="M11" s="8"/>
      <c r="N11" s="8"/>
      <c r="O11" s="8"/>
      <c r="P11" s="8"/>
      <c r="Q11" s="8"/>
      <c r="R11" s="266"/>
      <c r="S11" s="266"/>
      <c r="T11" s="217" t="s">
        <v>1336</v>
      </c>
      <c r="U11" s="219"/>
      <c r="V11" s="219"/>
      <c r="W11" s="219"/>
      <c r="X11" s="219"/>
      <c r="Y11" s="219"/>
      <c r="Z11" s="219"/>
      <c r="AA11" s="219"/>
      <c r="AB11" s="220">
        <f t="shared" ref="AB11:AH11" si="2">+AB13+AB14+AB15</f>
        <v>40934623056</v>
      </c>
      <c r="AC11" s="220">
        <f t="shared" si="2"/>
        <v>3487000000</v>
      </c>
      <c r="AD11" s="220">
        <f t="shared" si="2"/>
        <v>0</v>
      </c>
      <c r="AE11" s="220">
        <f t="shared" si="2"/>
        <v>0</v>
      </c>
      <c r="AF11" s="220">
        <f t="shared" si="2"/>
        <v>80900000</v>
      </c>
      <c r="AG11" s="220">
        <f t="shared" si="2"/>
        <v>0</v>
      </c>
      <c r="AH11" s="220">
        <f t="shared" si="2"/>
        <v>80900000</v>
      </c>
      <c r="AK11" s="217" t="s">
        <v>1336</v>
      </c>
      <c r="AL11" s="219"/>
      <c r="AM11" s="219"/>
      <c r="AN11" s="219"/>
      <c r="AO11" s="219"/>
      <c r="AP11" s="219"/>
      <c r="AQ11" s="219"/>
      <c r="AR11" s="219"/>
      <c r="AS11" s="220">
        <f>+AH11</f>
        <v>80900000</v>
      </c>
    </row>
    <row r="12" spans="1:45">
      <c r="A12"/>
      <c r="B12"/>
      <c r="C12"/>
      <c r="D12"/>
      <c r="E12" t="s">
        <v>491</v>
      </c>
      <c r="F12" s="5">
        <v>4476176131</v>
      </c>
      <c r="G12" s="7">
        <v>4653880323</v>
      </c>
      <c r="H12" s="5"/>
      <c r="I12" s="5"/>
      <c r="J12" s="5">
        <v>4653880323</v>
      </c>
      <c r="M12" s="8"/>
      <c r="N12" s="8"/>
      <c r="O12" s="8"/>
      <c r="P12" s="8"/>
      <c r="Q12" s="8"/>
      <c r="R12" s="266"/>
      <c r="S12" s="266"/>
      <c r="T12" s="221" t="s">
        <v>490</v>
      </c>
      <c r="U12" s="219"/>
      <c r="V12" s="219"/>
      <c r="W12" s="219"/>
      <c r="X12" s="219"/>
      <c r="Y12" s="219"/>
      <c r="Z12" s="219"/>
      <c r="AA12" s="219"/>
      <c r="AB12" s="223"/>
      <c r="AC12" s="223"/>
      <c r="AD12" s="223"/>
      <c r="AE12" s="256"/>
      <c r="AF12" s="256"/>
      <c r="AG12" s="256"/>
      <c r="AH12" s="223"/>
      <c r="AK12" s="221" t="s">
        <v>490</v>
      </c>
      <c r="AL12" s="219"/>
      <c r="AM12" s="219"/>
      <c r="AN12" s="219"/>
      <c r="AO12" s="219"/>
      <c r="AP12" s="219"/>
      <c r="AQ12" s="219"/>
      <c r="AR12" s="219"/>
      <c r="AS12" s="223"/>
    </row>
    <row r="13" spans="1:45">
      <c r="A13"/>
      <c r="B13"/>
      <c r="C13"/>
      <c r="D13" t="s">
        <v>1387</v>
      </c>
      <c r="E13"/>
      <c r="F13" s="5">
        <v>33489693519</v>
      </c>
      <c r="G13" s="7">
        <v>40934623056</v>
      </c>
      <c r="H13" s="5">
        <v>3487000000</v>
      </c>
      <c r="I13" s="5"/>
      <c r="J13" s="5">
        <v>37447623056</v>
      </c>
      <c r="M13" s="8">
        <v>3</v>
      </c>
      <c r="N13" s="8" t="s">
        <v>612</v>
      </c>
      <c r="O13" s="8">
        <v>1</v>
      </c>
      <c r="P13" s="8" t="s">
        <v>490</v>
      </c>
      <c r="Q13" s="8" t="s">
        <v>492</v>
      </c>
      <c r="R13" s="266">
        <v>0</v>
      </c>
      <c r="S13" s="266">
        <f>63100000/AB13</f>
        <v>1.8095772622402262E-3</v>
      </c>
      <c r="T13" s="217"/>
      <c r="U13" s="219" t="s">
        <v>492</v>
      </c>
      <c r="V13" s="219"/>
      <c r="W13" s="219"/>
      <c r="X13" s="219"/>
      <c r="Y13" s="219"/>
      <c r="Z13" s="219"/>
      <c r="AA13" s="219"/>
      <c r="AB13" s="223">
        <f>+GETPIVOTDATA("PPEF 2011 ",$A$4,"No. Ramo",$M13,"IPP",$N13,"PP",$O13,"Programa Presupuestario (PP)",$P13,"Unidad Responsable (UR)",$Q13)</f>
        <v>34870022583</v>
      </c>
      <c r="AC13" s="223">
        <f>+GETPIVOTDATA("Reducción ",$A$4,"No. Ramo",$M13,"IPP",$N13,"PP",$O13,"Programa Presupuestario (PP)",$P13,"Unidad Responsable (UR)",$Q13)</f>
        <v>3487000000</v>
      </c>
      <c r="AD13" s="223">
        <f>+GETPIVOTDATA("Ampliación ",$A$4,"No. Ramo",$M13,"IPP",$N13,"PP",$O13,"Programa Presupuestario (PP)",$P13,"Unidad Responsable (UR)",$Q13)</f>
        <v>0</v>
      </c>
      <c r="AE13" s="256"/>
      <c r="AF13" s="256">
        <f>+AB13*S13</f>
        <v>63100000</v>
      </c>
      <c r="AG13" s="256"/>
      <c r="AH13" s="223">
        <f>+AG13+AF13+AE13</f>
        <v>63100000</v>
      </c>
      <c r="AK13" s="217"/>
      <c r="AL13" s="219" t="s">
        <v>492</v>
      </c>
      <c r="AM13" s="219"/>
      <c r="AN13" s="219"/>
      <c r="AO13" s="219"/>
      <c r="AP13" s="219"/>
      <c r="AQ13" s="219"/>
      <c r="AR13" s="219"/>
      <c r="AS13" s="223">
        <f>+AH13</f>
        <v>63100000</v>
      </c>
    </row>
    <row r="14" spans="1:45">
      <c r="A14" s="9">
        <v>4</v>
      </c>
      <c r="B14" t="s">
        <v>613</v>
      </c>
      <c r="C14">
        <v>8</v>
      </c>
      <c r="D14" t="s">
        <v>16</v>
      </c>
      <c r="E14" t="s">
        <v>17</v>
      </c>
      <c r="F14" s="5">
        <v>1767588958</v>
      </c>
      <c r="G14" s="7">
        <v>1788773764</v>
      </c>
      <c r="H14" s="5"/>
      <c r="I14" s="5"/>
      <c r="J14" s="5">
        <v>1788773764</v>
      </c>
      <c r="M14" s="8">
        <v>3</v>
      </c>
      <c r="N14" s="8" t="s">
        <v>612</v>
      </c>
      <c r="O14" s="8">
        <v>1</v>
      </c>
      <c r="P14" s="8" t="s">
        <v>490</v>
      </c>
      <c r="Q14" s="8" t="s">
        <v>493</v>
      </c>
      <c r="R14" s="266">
        <v>0</v>
      </c>
      <c r="S14" s="266">
        <v>7.4430070343859478E-3</v>
      </c>
      <c r="T14" s="217"/>
      <c r="U14" s="219" t="s">
        <v>493</v>
      </c>
      <c r="V14" s="219"/>
      <c r="W14" s="219"/>
      <c r="X14" s="219"/>
      <c r="Y14" s="219"/>
      <c r="Z14" s="219"/>
      <c r="AA14" s="219"/>
      <c r="AB14" s="223">
        <f>+GETPIVOTDATA("PPEF 2011 ",$A$4,"No. Ramo",$M14,"IPP",$N14,"PP",$O14,"Programa Presupuestario (PP)",$P14,"Unidad Responsable (UR)",$Q14)</f>
        <v>1410720150</v>
      </c>
      <c r="AC14" s="223">
        <f>+GETPIVOTDATA("Reducción ",$A$4,"No. Ramo",$M14,"IPP",$N14,"PP",$O14,"Programa Presupuestario (PP)",$P14,"Unidad Responsable (UR)",$Q14)</f>
        <v>0</v>
      </c>
      <c r="AD14" s="223">
        <f>+GETPIVOTDATA("Ampliación ",$A$4,"No. Ramo",$M14,"IPP",$N14,"PP",$O14,"Programa Presupuestario (PP)",$P14,"Unidad Responsable (UR)",$Q14)</f>
        <v>0</v>
      </c>
      <c r="AE14" s="256"/>
      <c r="AF14" s="256">
        <f>+AB14*S14</f>
        <v>10500000</v>
      </c>
      <c r="AG14" s="256"/>
      <c r="AH14" s="223">
        <f>+AG14+AF14+AE14</f>
        <v>10500000</v>
      </c>
      <c r="AK14" s="217"/>
      <c r="AL14" s="219" t="s">
        <v>493</v>
      </c>
      <c r="AM14" s="219"/>
      <c r="AN14" s="219"/>
      <c r="AO14" s="219"/>
      <c r="AP14" s="219"/>
      <c r="AQ14" s="219"/>
      <c r="AR14" s="219"/>
      <c r="AS14" s="223">
        <f>+AH14</f>
        <v>10500000</v>
      </c>
    </row>
    <row r="15" spans="1:45">
      <c r="B15"/>
      <c r="C15"/>
      <c r="D15" t="s">
        <v>1388</v>
      </c>
      <c r="E15"/>
      <c r="F15" s="5">
        <v>1767588958</v>
      </c>
      <c r="G15" s="7">
        <v>1788773764</v>
      </c>
      <c r="H15" s="5"/>
      <c r="I15" s="5"/>
      <c r="J15" s="5">
        <v>1788773764</v>
      </c>
      <c r="M15" s="8">
        <v>3</v>
      </c>
      <c r="N15" s="8" t="s">
        <v>612</v>
      </c>
      <c r="O15" s="8">
        <v>1</v>
      </c>
      <c r="P15" s="8" t="s">
        <v>490</v>
      </c>
      <c r="Q15" s="8" t="s">
        <v>491</v>
      </c>
      <c r="R15" s="266">
        <v>0</v>
      </c>
      <c r="S15" s="266">
        <v>1.5685835245746605E-3</v>
      </c>
      <c r="T15" s="217"/>
      <c r="U15" s="219" t="s">
        <v>491</v>
      </c>
      <c r="V15" s="219"/>
      <c r="W15" s="219"/>
      <c r="X15" s="219"/>
      <c r="Y15" s="219"/>
      <c r="Z15" s="219"/>
      <c r="AA15" s="219"/>
      <c r="AB15" s="223">
        <f>+GETPIVOTDATA("PPEF 2011 ",$A$4,"No. Ramo",$M15,"IPP",$N15,"PP",$O15,"Programa Presupuestario (PP)",$P15,"Unidad Responsable (UR)",$Q15)</f>
        <v>4653880323</v>
      </c>
      <c r="AC15" s="223">
        <f>+GETPIVOTDATA("Reducción ",$A$4,"No. Ramo",$M15,"IPP",$N15,"PP",$O15,"Programa Presupuestario (PP)",$P15,"Unidad Responsable (UR)",$Q15)</f>
        <v>0</v>
      </c>
      <c r="AD15" s="223">
        <f>+GETPIVOTDATA("Ampliación ",$A$4,"No. Ramo",$M15,"IPP",$N15,"PP",$O15,"Programa Presupuestario (PP)",$P15,"Unidad Responsable (UR)",$Q15)</f>
        <v>0</v>
      </c>
      <c r="AE15" s="256"/>
      <c r="AF15" s="256">
        <f>+AB15*S15</f>
        <v>7300000</v>
      </c>
      <c r="AG15" s="256"/>
      <c r="AH15" s="223">
        <f>+AG15+AF15+AE15</f>
        <v>7300000</v>
      </c>
      <c r="AK15" s="217"/>
      <c r="AL15" s="219" t="s">
        <v>491</v>
      </c>
      <c r="AM15" s="219"/>
      <c r="AN15" s="219"/>
      <c r="AO15" s="219"/>
      <c r="AP15" s="219"/>
      <c r="AQ15" s="219"/>
      <c r="AR15" s="219"/>
      <c r="AS15" s="223">
        <f>+AH15</f>
        <v>7300000</v>
      </c>
    </row>
    <row r="16" spans="1:45">
      <c r="B16"/>
      <c r="C16">
        <v>11</v>
      </c>
      <c r="D16" t="s">
        <v>19</v>
      </c>
      <c r="E16" t="s">
        <v>20</v>
      </c>
      <c r="F16" s="5">
        <v>102025359</v>
      </c>
      <c r="G16" s="7">
        <v>93996187</v>
      </c>
      <c r="H16" s="5"/>
      <c r="I16" s="5"/>
      <c r="J16" s="5">
        <v>93996187</v>
      </c>
      <c r="M16" s="8"/>
      <c r="N16" s="8"/>
      <c r="O16" s="8"/>
      <c r="P16" s="8"/>
      <c r="Q16" s="8"/>
      <c r="R16" s="266"/>
      <c r="S16" s="266"/>
      <c r="T16" s="217" t="s">
        <v>1337</v>
      </c>
      <c r="U16" s="219"/>
      <c r="V16" s="219"/>
      <c r="W16" s="219"/>
      <c r="X16" s="219"/>
      <c r="Y16" s="219"/>
      <c r="Z16" s="219"/>
      <c r="AA16" s="219"/>
      <c r="AB16" s="220">
        <f t="shared" ref="AB16:AH16" si="3">+SUM(AB17:AB24)</f>
        <v>283450356</v>
      </c>
      <c r="AC16" s="220">
        <f t="shared" si="3"/>
        <v>0</v>
      </c>
      <c r="AD16" s="220">
        <f t="shared" si="3"/>
        <v>42000000</v>
      </c>
      <c r="AE16" s="220">
        <f t="shared" si="3"/>
        <v>42000000</v>
      </c>
      <c r="AF16" s="220">
        <f t="shared" si="3"/>
        <v>4999999.9999999991</v>
      </c>
      <c r="AG16" s="220">
        <f t="shared" si="3"/>
        <v>0</v>
      </c>
      <c r="AH16" s="220">
        <f t="shared" si="3"/>
        <v>157096504</v>
      </c>
      <c r="AK16" s="217" t="s">
        <v>1337</v>
      </c>
      <c r="AL16" s="219"/>
      <c r="AM16" s="219"/>
      <c r="AN16" s="219"/>
      <c r="AO16" s="219"/>
      <c r="AP16" s="219"/>
      <c r="AQ16" s="219"/>
      <c r="AR16" s="219"/>
      <c r="AS16" s="220">
        <f>+AH16</f>
        <v>157096504</v>
      </c>
    </row>
    <row r="17" spans="1:45">
      <c r="B17"/>
      <c r="C17"/>
      <c r="D17" t="s">
        <v>1389</v>
      </c>
      <c r="E17"/>
      <c r="F17" s="5">
        <v>102025359</v>
      </c>
      <c r="G17" s="7">
        <v>93996187</v>
      </c>
      <c r="H17" s="5"/>
      <c r="I17" s="5"/>
      <c r="J17" s="5">
        <v>93996187</v>
      </c>
      <c r="N17" s="8"/>
      <c r="O17" s="8"/>
      <c r="P17" s="8"/>
      <c r="Q17" s="8"/>
      <c r="R17" s="266"/>
      <c r="S17" s="266"/>
      <c r="T17" s="224" t="s">
        <v>19</v>
      </c>
      <c r="U17" s="219"/>
      <c r="V17" s="219"/>
      <c r="W17" s="219"/>
      <c r="X17" s="219"/>
      <c r="Y17" s="219"/>
      <c r="Z17" s="219"/>
      <c r="AA17" s="219"/>
      <c r="AB17" s="223"/>
      <c r="AC17" s="223"/>
      <c r="AD17" s="223"/>
      <c r="AE17" s="256"/>
      <c r="AF17" s="256"/>
      <c r="AG17" s="256"/>
      <c r="AH17" s="223"/>
      <c r="AK17" s="224" t="s">
        <v>16</v>
      </c>
      <c r="AL17" s="219"/>
      <c r="AM17" s="219"/>
      <c r="AN17" s="219"/>
      <c r="AO17" s="219"/>
      <c r="AP17" s="219"/>
      <c r="AQ17" s="219"/>
      <c r="AR17" s="219"/>
      <c r="AS17" s="223"/>
    </row>
    <row r="18" spans="1:45">
      <c r="B18"/>
      <c r="C18">
        <v>15</v>
      </c>
      <c r="D18" t="s">
        <v>22</v>
      </c>
      <c r="E18" t="s">
        <v>23</v>
      </c>
      <c r="F18" s="5">
        <v>123687727</v>
      </c>
      <c r="G18" s="7">
        <v>110096504</v>
      </c>
      <c r="H18" s="5"/>
      <c r="I18" s="5">
        <v>17000000</v>
      </c>
      <c r="J18" s="5">
        <v>127096504</v>
      </c>
      <c r="M18" s="9">
        <v>4</v>
      </c>
      <c r="N18" s="8" t="s">
        <v>613</v>
      </c>
      <c r="O18" s="8">
        <v>11</v>
      </c>
      <c r="P18" s="8" t="s">
        <v>19</v>
      </c>
      <c r="Q18" s="8" t="s">
        <v>20</v>
      </c>
      <c r="R18" s="266">
        <v>0</v>
      </c>
      <c r="S18" s="266">
        <v>5.3193647099748838E-2</v>
      </c>
      <c r="T18" s="217"/>
      <c r="U18" s="219" t="s">
        <v>20</v>
      </c>
      <c r="V18" s="219"/>
      <c r="W18" s="219"/>
      <c r="X18" s="219"/>
      <c r="Y18" s="219"/>
      <c r="Z18" s="219"/>
      <c r="AA18" s="219"/>
      <c r="AB18" s="223">
        <f>+GETPIVOTDATA("PPEF 2011 ",$A$4,"No. Ramo",$M18,"IPP",$N18,"PP",$O18,"Programa Presupuestario (PP)",$P18,"Unidad Responsable (UR)",$Q18)</f>
        <v>93996187</v>
      </c>
      <c r="AC18" s="223">
        <f>+GETPIVOTDATA("Reducción ",$A$4,"No. Ramo",$M18,"IPP",$N18,"PP",$O18,"Programa Presupuestario (PP)",$P18,"Unidad Responsable (UR)",$Q18)</f>
        <v>0</v>
      </c>
      <c r="AD18" s="223">
        <f>+GETPIVOTDATA("Ampliación ",$A$4,"No. Ramo",$M18,"IPP",$N18,"PP",$O18,"Programa Presupuestario (PP)",$P18,"Unidad Responsable (UR)",$Q18)</f>
        <v>0</v>
      </c>
      <c r="AE18" s="256"/>
      <c r="AF18" s="270">
        <f>+AB18*S18</f>
        <v>4999999.9999999991</v>
      </c>
      <c r="AG18" s="256">
        <f>+AD18*S18</f>
        <v>0</v>
      </c>
      <c r="AH18" s="223">
        <f>+AG18+AF18+AE18</f>
        <v>4999999.9999999991</v>
      </c>
      <c r="AK18" s="217"/>
      <c r="AL18" s="219" t="s">
        <v>17</v>
      </c>
      <c r="AM18" s="219"/>
      <c r="AN18" s="219"/>
      <c r="AO18" s="219"/>
      <c r="AP18" s="219"/>
      <c r="AQ18" s="219"/>
      <c r="AR18" s="219"/>
      <c r="AS18" s="223">
        <f>+AH18</f>
        <v>4999999.9999999991</v>
      </c>
    </row>
    <row r="19" spans="1:45">
      <c r="B19"/>
      <c r="C19"/>
      <c r="D19" t="s">
        <v>1390</v>
      </c>
      <c r="E19"/>
      <c r="F19" s="5">
        <v>123687727</v>
      </c>
      <c r="G19" s="7">
        <v>110096504</v>
      </c>
      <c r="H19" s="5"/>
      <c r="I19" s="5">
        <v>17000000</v>
      </c>
      <c r="J19" s="5">
        <v>127096504</v>
      </c>
      <c r="N19" s="8"/>
      <c r="O19" s="8"/>
      <c r="P19" s="8"/>
      <c r="Q19" s="8"/>
      <c r="R19" s="266"/>
      <c r="S19" s="266"/>
      <c r="T19" s="224" t="s">
        <v>22</v>
      </c>
      <c r="U19" s="219"/>
      <c r="V19" s="219"/>
      <c r="W19" s="219"/>
      <c r="X19" s="219"/>
      <c r="Y19" s="219"/>
      <c r="Z19" s="219"/>
      <c r="AA19" s="219"/>
      <c r="AB19" s="223"/>
      <c r="AC19" s="223"/>
      <c r="AD19" s="223"/>
      <c r="AE19" s="256"/>
      <c r="AF19" s="256"/>
      <c r="AG19" s="256"/>
      <c r="AH19" s="223"/>
      <c r="AK19" s="224" t="s">
        <v>19</v>
      </c>
      <c r="AL19" s="219"/>
      <c r="AM19" s="219"/>
      <c r="AN19" s="219"/>
      <c r="AO19" s="219"/>
      <c r="AP19" s="219"/>
      <c r="AQ19" s="219"/>
      <c r="AR19" s="219"/>
      <c r="AS19" s="223"/>
    </row>
    <row r="20" spans="1:45">
      <c r="B20" t="s">
        <v>615</v>
      </c>
      <c r="C20">
        <v>1</v>
      </c>
      <c r="D20" t="s">
        <v>25</v>
      </c>
      <c r="E20" t="s">
        <v>26</v>
      </c>
      <c r="F20" s="5">
        <v>24355051</v>
      </c>
      <c r="G20" s="7">
        <v>29851290</v>
      </c>
      <c r="H20" s="5"/>
      <c r="I20" s="5"/>
      <c r="J20" s="5">
        <v>29851290</v>
      </c>
      <c r="M20" s="9">
        <v>4</v>
      </c>
      <c r="N20" s="8" t="s">
        <v>613</v>
      </c>
      <c r="O20" s="8">
        <v>15</v>
      </c>
      <c r="P20" s="8" t="s">
        <v>22</v>
      </c>
      <c r="Q20" s="8" t="s">
        <v>23</v>
      </c>
      <c r="R20" s="266">
        <v>1</v>
      </c>
      <c r="S20" s="266">
        <v>1</v>
      </c>
      <c r="T20" s="224"/>
      <c r="U20" s="219" t="s">
        <v>23</v>
      </c>
      <c r="V20" s="219"/>
      <c r="W20" s="219"/>
      <c r="X20" s="219"/>
      <c r="Y20" s="219"/>
      <c r="Z20" s="219"/>
      <c r="AA20" s="219"/>
      <c r="AB20" s="223">
        <f>+GETPIVOTDATA("PPEF 2011 ",$A$4,"No. Ramo",$M20,"IPP",$N20,"PP",$O20,"Programa Presupuestario (PP)",$P20,"Unidad Responsable (UR)",$Q20)</f>
        <v>110096504</v>
      </c>
      <c r="AC20" s="223">
        <f>+GETPIVOTDATA("Reducción ",$A$4,"No. Ramo",$M20,"IPP",$N20,"PP",$O20,"Programa Presupuestario (PP)",$P20,"Unidad Responsable (UR)",$Q20)</f>
        <v>0</v>
      </c>
      <c r="AD20" s="223">
        <f>+GETPIVOTDATA("Ampliación ",$A$4,"No. Ramo",$M20,"IPP",$N20,"PP",$O20,"Programa Presupuestario (PP)",$P20,"Unidad Responsable (UR)",$Q20)</f>
        <v>17000000</v>
      </c>
      <c r="AE20" s="256">
        <f>+AD20</f>
        <v>17000000</v>
      </c>
      <c r="AF20" s="223"/>
      <c r="AG20" s="256"/>
      <c r="AH20" s="223">
        <f>+AB20+AE20+AF20+AG20</f>
        <v>127096504</v>
      </c>
      <c r="AK20" s="217"/>
      <c r="AL20" s="219" t="s">
        <v>20</v>
      </c>
      <c r="AM20" s="219"/>
      <c r="AN20" s="219"/>
      <c r="AO20" s="219"/>
      <c r="AP20" s="219"/>
      <c r="AQ20" s="219"/>
      <c r="AR20" s="219"/>
      <c r="AS20" s="223">
        <f>+AH20</f>
        <v>127096504</v>
      </c>
    </row>
    <row r="21" spans="1:45">
      <c r="B21"/>
      <c r="C21"/>
      <c r="D21" t="s">
        <v>1391</v>
      </c>
      <c r="E21"/>
      <c r="F21" s="5">
        <v>24355051</v>
      </c>
      <c r="G21" s="7">
        <v>29851290</v>
      </c>
      <c r="H21" s="5"/>
      <c r="I21" s="5"/>
      <c r="J21" s="5">
        <v>29851290</v>
      </c>
      <c r="N21" s="8"/>
      <c r="O21" s="8"/>
      <c r="P21" s="8"/>
      <c r="Q21" s="8"/>
      <c r="R21" s="266"/>
      <c r="S21" s="266"/>
      <c r="T21" s="224" t="s">
        <v>25</v>
      </c>
      <c r="U21" s="219"/>
      <c r="V21" s="219"/>
      <c r="W21" s="219"/>
      <c r="X21" s="219"/>
      <c r="Y21" s="219"/>
      <c r="Z21" s="219"/>
      <c r="AA21" s="219"/>
      <c r="AB21" s="223"/>
      <c r="AC21" s="223"/>
      <c r="AD21" s="223"/>
      <c r="AE21" s="256"/>
      <c r="AF21" s="256"/>
      <c r="AG21" s="256"/>
      <c r="AH21" s="223"/>
      <c r="AK21" s="224" t="s">
        <v>22</v>
      </c>
      <c r="AL21" s="219"/>
      <c r="AM21" s="219"/>
      <c r="AN21" s="219"/>
      <c r="AO21" s="219"/>
      <c r="AP21" s="219"/>
      <c r="AQ21" s="219"/>
      <c r="AR21" s="219"/>
      <c r="AS21" s="223"/>
    </row>
    <row r="22" spans="1:45">
      <c r="B22" t="s">
        <v>611</v>
      </c>
      <c r="C22">
        <v>1</v>
      </c>
      <c r="D22" t="s">
        <v>29</v>
      </c>
      <c r="E22" t="s">
        <v>30</v>
      </c>
      <c r="F22" s="5">
        <v>38696217</v>
      </c>
      <c r="G22" s="7">
        <v>38090110</v>
      </c>
      <c r="H22" s="5"/>
      <c r="I22" s="5"/>
      <c r="J22" s="5">
        <v>38090110</v>
      </c>
      <c r="M22" s="9">
        <v>4</v>
      </c>
      <c r="N22" s="8" t="s">
        <v>611</v>
      </c>
      <c r="O22" s="8">
        <v>4</v>
      </c>
      <c r="P22" s="8" t="s">
        <v>31</v>
      </c>
      <c r="Q22" s="8" t="s">
        <v>32</v>
      </c>
      <c r="R22" s="266">
        <v>0</v>
      </c>
      <c r="S22" s="266">
        <v>0.16982630776616384</v>
      </c>
      <c r="T22" s="224"/>
      <c r="U22" s="219" t="s">
        <v>32</v>
      </c>
      <c r="V22" s="219"/>
      <c r="W22" s="219"/>
      <c r="X22" s="219"/>
      <c r="Y22" s="219"/>
      <c r="Z22" s="219"/>
      <c r="AA22" s="219"/>
      <c r="AB22" s="223">
        <f>+GETPIVOTDATA("PPEF 2011 ",$A$4,"No. Ramo",$M22,"IPP",$N22,"PP",$O22,"Programa Presupuestario (PP)",$P22,"Unidad Responsable (UR)",$Q22)</f>
        <v>29441846</v>
      </c>
      <c r="AC22" s="223">
        <f>+GETPIVOTDATA("Reducción ",$A$4,"No. Ramo",$M22,"IPP",$N22,"PP",$O22,"Programa Presupuestario (PP)",$P22,"Unidad Responsable (UR)",$Q22)</f>
        <v>0</v>
      </c>
      <c r="AD22" s="223">
        <f>+GETPIVOTDATA("Ampliación ",$A$4,"No. Ramo",$M22,"IPP",$N22,"PP",$O22,"Programa Presupuestario (PP)",$P22,"Unidad Responsable (UR)",$Q22)</f>
        <v>15000000</v>
      </c>
      <c r="AE22" s="256">
        <f>+AD22</f>
        <v>15000000</v>
      </c>
      <c r="AF22" s="256"/>
      <c r="AG22" s="256"/>
      <c r="AH22" s="223">
        <f>+AG22+AF22+AE22</f>
        <v>15000000</v>
      </c>
      <c r="AK22" s="224"/>
      <c r="AL22" s="219" t="s">
        <v>30</v>
      </c>
      <c r="AM22" s="219"/>
      <c r="AN22" s="219"/>
      <c r="AO22" s="219"/>
      <c r="AP22" s="219"/>
      <c r="AQ22" s="219"/>
      <c r="AR22" s="219"/>
      <c r="AS22" s="223">
        <f>+AH22</f>
        <v>15000000</v>
      </c>
    </row>
    <row r="23" spans="1:45">
      <c r="B23"/>
      <c r="C23"/>
      <c r="D23" t="s">
        <v>1392</v>
      </c>
      <c r="E23"/>
      <c r="F23" s="5">
        <v>38696217</v>
      </c>
      <c r="G23" s="7">
        <v>38090110</v>
      </c>
      <c r="H23" s="5"/>
      <c r="I23" s="5"/>
      <c r="J23" s="5">
        <v>38090110</v>
      </c>
      <c r="N23" s="8"/>
      <c r="O23" s="8"/>
      <c r="P23" s="8"/>
      <c r="Q23" s="8"/>
      <c r="R23" s="266"/>
      <c r="S23" s="266"/>
      <c r="T23" s="224" t="s">
        <v>33</v>
      </c>
      <c r="U23" s="219"/>
      <c r="V23" s="219"/>
      <c r="W23" s="219"/>
      <c r="X23" s="219"/>
      <c r="Y23" s="219"/>
      <c r="Z23" s="219"/>
      <c r="AA23" s="219"/>
      <c r="AB23" s="223"/>
      <c r="AC23" s="223"/>
      <c r="AD23" s="223"/>
      <c r="AE23" s="256"/>
      <c r="AF23" s="256"/>
      <c r="AG23" s="256"/>
      <c r="AH23" s="223"/>
      <c r="AK23" s="224" t="s">
        <v>31</v>
      </c>
      <c r="AL23" s="219"/>
      <c r="AM23" s="219"/>
      <c r="AN23" s="219"/>
      <c r="AO23" s="219"/>
      <c r="AP23" s="219"/>
      <c r="AQ23" s="219"/>
      <c r="AR23" s="219"/>
      <c r="AS23" s="223"/>
    </row>
    <row r="24" spans="1:45">
      <c r="B24"/>
      <c r="C24">
        <v>4</v>
      </c>
      <c r="D24" t="s">
        <v>31</v>
      </c>
      <c r="E24" t="s">
        <v>32</v>
      </c>
      <c r="F24" s="5">
        <v>28748038</v>
      </c>
      <c r="G24" s="7">
        <v>29441846</v>
      </c>
      <c r="H24" s="5"/>
      <c r="I24" s="5">
        <v>15000000</v>
      </c>
      <c r="J24" s="5">
        <v>44441846</v>
      </c>
      <c r="M24" s="9">
        <v>4</v>
      </c>
      <c r="N24" s="8" t="s">
        <v>611</v>
      </c>
      <c r="O24" s="8">
        <v>6</v>
      </c>
      <c r="P24" s="8" t="s">
        <v>36</v>
      </c>
      <c r="Q24" s="8" t="s">
        <v>38</v>
      </c>
      <c r="R24" s="266">
        <v>0</v>
      </c>
      <c r="S24" s="266">
        <v>0.10016864593567021</v>
      </c>
      <c r="T24" s="217"/>
      <c r="U24" s="219" t="s">
        <v>38</v>
      </c>
      <c r="V24" s="219"/>
      <c r="W24" s="219"/>
      <c r="X24" s="219"/>
      <c r="Y24" s="219"/>
      <c r="Z24" s="219"/>
      <c r="AA24" s="219"/>
      <c r="AB24" s="223">
        <f>+GETPIVOTDATA("PPEF 2011 ",$A$4,"No. Ramo",$M24,"IPP",$N24,"PP",$O24,"Programa Presupuestario (PP)",$P24,"Unidad Responsable (UR)",$Q24)</f>
        <v>49915819</v>
      </c>
      <c r="AC24" s="223">
        <f>+GETPIVOTDATA("Reducción ",$A$4,"No. Ramo",$M24,"IPP",$N24,"PP",$O24,"Programa Presupuestario (PP)",$P24,"Unidad Responsable (UR)",$Q24)</f>
        <v>0</v>
      </c>
      <c r="AD24" s="223">
        <f>+GETPIVOTDATA("Ampliación ",$A$4,"No. Ramo",$M24,"IPP",$N24,"PP",$O24,"Programa Presupuestario (PP)",$P24,"Unidad Responsable (UR)",$Q24)</f>
        <v>10000000</v>
      </c>
      <c r="AE24" s="256">
        <f>+AD24</f>
        <v>10000000</v>
      </c>
      <c r="AF24" s="223"/>
      <c r="AG24" s="256"/>
      <c r="AH24" s="223">
        <f>+AG24+AF24+AE24</f>
        <v>10000000</v>
      </c>
      <c r="AK24" s="224"/>
      <c r="AL24" s="219" t="s">
        <v>35</v>
      </c>
      <c r="AM24" s="219"/>
      <c r="AN24" s="219"/>
      <c r="AO24" s="219"/>
      <c r="AP24" s="219"/>
      <c r="AQ24" s="219"/>
      <c r="AR24" s="219"/>
      <c r="AS24" s="223">
        <f>+AH24</f>
        <v>10000000</v>
      </c>
    </row>
    <row r="25" spans="1:45">
      <c r="B25"/>
      <c r="C25"/>
      <c r="D25" t="s">
        <v>1393</v>
      </c>
      <c r="E25"/>
      <c r="F25" s="5">
        <v>28748038</v>
      </c>
      <c r="G25" s="7">
        <v>29441846</v>
      </c>
      <c r="H25" s="5"/>
      <c r="I25" s="5">
        <v>15000000</v>
      </c>
      <c r="J25" s="5">
        <v>44441846</v>
      </c>
      <c r="N25" s="8"/>
      <c r="O25" s="8"/>
      <c r="P25" s="8"/>
      <c r="Q25" s="8"/>
      <c r="R25" s="266"/>
      <c r="S25" s="266"/>
      <c r="T25" s="217" t="s">
        <v>1338</v>
      </c>
      <c r="U25" s="219"/>
      <c r="V25" s="219"/>
      <c r="W25" s="219"/>
      <c r="X25" s="219"/>
      <c r="Y25" s="219"/>
      <c r="Z25" s="219"/>
      <c r="AA25" s="219"/>
      <c r="AB25" s="220">
        <f t="shared" ref="AB25:AH25" si="4">+SUM(AB26:AB31)</f>
        <v>205418953</v>
      </c>
      <c r="AC25" s="220">
        <f t="shared" si="4"/>
        <v>0</v>
      </c>
      <c r="AD25" s="220">
        <f t="shared" si="4"/>
        <v>22000000</v>
      </c>
      <c r="AE25" s="220">
        <f t="shared" si="4"/>
        <v>22000000</v>
      </c>
      <c r="AF25" s="220">
        <f t="shared" si="4"/>
        <v>1350000</v>
      </c>
      <c r="AG25" s="220">
        <f t="shared" si="4"/>
        <v>0</v>
      </c>
      <c r="AH25" s="220">
        <f t="shared" si="4"/>
        <v>23350000</v>
      </c>
      <c r="AK25" s="224" t="s">
        <v>36</v>
      </c>
      <c r="AL25" s="219"/>
      <c r="AM25" s="219"/>
      <c r="AN25" s="219"/>
      <c r="AO25" s="219"/>
      <c r="AP25" s="219"/>
      <c r="AQ25" s="219"/>
      <c r="AR25" s="219"/>
      <c r="AS25" s="220">
        <f>+AH25</f>
        <v>23350000</v>
      </c>
    </row>
    <row r="26" spans="1:45">
      <c r="B26"/>
      <c r="C26">
        <v>5</v>
      </c>
      <c r="D26" t="s">
        <v>33</v>
      </c>
      <c r="E26" t="s">
        <v>35</v>
      </c>
      <c r="F26" s="5">
        <v>19343911</v>
      </c>
      <c r="G26" s="7">
        <v>20028571</v>
      </c>
      <c r="H26" s="5"/>
      <c r="I26" s="5"/>
      <c r="J26" s="5">
        <v>20028571</v>
      </c>
      <c r="N26" s="8"/>
      <c r="O26" s="8"/>
      <c r="P26" s="8"/>
      <c r="Q26" s="8"/>
      <c r="R26" s="266"/>
      <c r="S26" s="266"/>
      <c r="T26" s="224" t="s">
        <v>42</v>
      </c>
      <c r="U26" s="219"/>
      <c r="V26" s="219"/>
      <c r="W26" s="219"/>
      <c r="X26" s="219"/>
      <c r="Y26" s="219"/>
      <c r="Z26" s="219"/>
      <c r="AA26" s="219"/>
      <c r="AB26" s="223"/>
      <c r="AC26" s="223"/>
      <c r="AD26" s="223"/>
      <c r="AE26" s="256"/>
      <c r="AF26" s="256"/>
      <c r="AG26" s="256"/>
      <c r="AH26" s="223"/>
      <c r="AK26" s="217"/>
      <c r="AL26" s="219" t="s">
        <v>38</v>
      </c>
      <c r="AM26" s="219"/>
      <c r="AN26" s="219"/>
      <c r="AO26" s="219"/>
      <c r="AP26" s="219"/>
      <c r="AQ26" s="219"/>
      <c r="AR26" s="219"/>
      <c r="AS26" s="223"/>
    </row>
    <row r="27" spans="1:45">
      <c r="B27"/>
      <c r="C27"/>
      <c r="D27" t="s">
        <v>1394</v>
      </c>
      <c r="E27"/>
      <c r="F27" s="5">
        <v>19343911</v>
      </c>
      <c r="G27" s="7">
        <v>20028571</v>
      </c>
      <c r="H27" s="5"/>
      <c r="I27" s="5"/>
      <c r="J27" s="5">
        <v>20028571</v>
      </c>
      <c r="M27" s="9">
        <v>5</v>
      </c>
      <c r="N27" s="8" t="s">
        <v>613</v>
      </c>
      <c r="O27" s="8">
        <v>2</v>
      </c>
      <c r="P27" s="8" t="s">
        <v>42</v>
      </c>
      <c r="Q27" s="8" t="s">
        <v>43</v>
      </c>
      <c r="R27" s="266">
        <v>0</v>
      </c>
      <c r="S27" s="266">
        <f>5.20964838968153%*2</f>
        <v>0.1041929677936306</v>
      </c>
      <c r="T27" s="221"/>
      <c r="U27" s="219" t="s">
        <v>43</v>
      </c>
      <c r="V27" s="219"/>
      <c r="W27" s="219"/>
      <c r="X27" s="219"/>
      <c r="Y27" s="219"/>
      <c r="Z27" s="219"/>
      <c r="AA27" s="219"/>
      <c r="AB27" s="223">
        <f>+GETPIVOTDATA("PPEF 2011 ",$A$4,"No. Ramo",$M27,"IPP",$N27,"PP",$O27,"Programa Presupuestario (PP)",$P27,"Unidad Responsable (UR)",$Q27)</f>
        <v>191951534</v>
      </c>
      <c r="AC27" s="223">
        <f>+GETPIVOTDATA("Reducción ",$A$4,"No. Ramo",$M27,"IPP",$N27,"PP",$O27,"Programa Presupuestario (PP)",$P27,"Unidad Responsable (UR)",$Q27)</f>
        <v>0</v>
      </c>
      <c r="AD27" s="223">
        <f>+GETPIVOTDATA("Ampliación ",$A$4,"No. Ramo",$M27,"IPP",$N27,"PP",$O27,"Programa Presupuestario (PP)",$P27,"Unidad Responsable (UR)",$Q27)</f>
        <v>20000000</v>
      </c>
      <c r="AE27" s="256">
        <f>+AD27</f>
        <v>20000000</v>
      </c>
      <c r="AF27" s="223"/>
      <c r="AG27" s="256"/>
      <c r="AH27" s="223">
        <f>+AG27+AF27+AE27</f>
        <v>20000000</v>
      </c>
      <c r="AK27" s="217" t="s">
        <v>1338</v>
      </c>
      <c r="AL27" s="219"/>
      <c r="AM27" s="219"/>
      <c r="AN27" s="219"/>
      <c r="AO27" s="219"/>
      <c r="AP27" s="219"/>
      <c r="AQ27" s="219"/>
      <c r="AR27" s="219"/>
      <c r="AS27" s="223">
        <f>+AH27</f>
        <v>20000000</v>
      </c>
    </row>
    <row r="28" spans="1:45">
      <c r="B28"/>
      <c r="C28">
        <v>6</v>
      </c>
      <c r="D28" t="s">
        <v>36</v>
      </c>
      <c r="E28" t="s">
        <v>38</v>
      </c>
      <c r="F28" s="5">
        <v>51354409</v>
      </c>
      <c r="G28" s="7">
        <v>49915819</v>
      </c>
      <c r="H28" s="5"/>
      <c r="I28" s="5">
        <v>10000000</v>
      </c>
      <c r="J28" s="5">
        <v>59915819</v>
      </c>
      <c r="N28" s="8"/>
      <c r="O28" s="8"/>
      <c r="P28" s="8"/>
      <c r="Q28" s="8"/>
      <c r="R28" s="266"/>
      <c r="S28" s="266"/>
      <c r="T28" s="221" t="str">
        <f>+P29</f>
        <v>Coordinación de la política exterior de México en materia de derechos humanos y democracia</v>
      </c>
      <c r="U28" s="219"/>
      <c r="V28" s="219"/>
      <c r="W28" s="219"/>
      <c r="X28" s="219"/>
      <c r="Y28" s="219"/>
      <c r="Z28" s="219"/>
      <c r="AA28" s="219"/>
      <c r="AB28" s="223"/>
      <c r="AC28" s="223"/>
      <c r="AD28" s="223"/>
      <c r="AE28" s="256"/>
      <c r="AF28" s="256"/>
      <c r="AG28" s="256"/>
      <c r="AH28" s="223"/>
      <c r="AK28" s="224" t="s">
        <v>42</v>
      </c>
      <c r="AL28" s="219"/>
      <c r="AM28" s="219"/>
      <c r="AN28" s="219"/>
      <c r="AO28" s="219"/>
      <c r="AP28" s="219"/>
      <c r="AQ28" s="219"/>
      <c r="AR28" s="219"/>
      <c r="AS28" s="223"/>
    </row>
    <row r="29" spans="1:45">
      <c r="B29"/>
      <c r="C29"/>
      <c r="D29" t="s">
        <v>1395</v>
      </c>
      <c r="E29"/>
      <c r="F29" s="5">
        <v>51354409</v>
      </c>
      <c r="G29" s="7">
        <v>49915819</v>
      </c>
      <c r="H29" s="5"/>
      <c r="I29" s="5">
        <v>10000000</v>
      </c>
      <c r="J29" s="5">
        <v>59915819</v>
      </c>
      <c r="M29" s="9">
        <v>5</v>
      </c>
      <c r="N29" s="8" t="s">
        <v>1536</v>
      </c>
      <c r="O29" s="8">
        <v>3</v>
      </c>
      <c r="P29" s="129" t="s">
        <v>46</v>
      </c>
      <c r="Q29" s="127" t="s">
        <v>47</v>
      </c>
      <c r="R29" s="266">
        <v>0</v>
      </c>
      <c r="S29" s="266">
        <v>0.16505165002547159</v>
      </c>
      <c r="T29" s="221"/>
      <c r="U29" s="219" t="str">
        <f>+Q29</f>
        <v>Dirección General de Derechos Humanos y Democracia</v>
      </c>
      <c r="V29" s="219"/>
      <c r="W29" s="219"/>
      <c r="X29" s="219"/>
      <c r="Y29" s="219"/>
      <c r="Z29" s="219"/>
      <c r="AA29" s="219"/>
      <c r="AB29" s="223">
        <f>+GETPIVOTDATA("PPEF 2011 ",$A$4,"No. Ramo",$M29,"IPP",$N29,"PP",$O29,"Programa Presupuestario (PP)",$P29,"Unidad Responsable (UR)",$Q29)</f>
        <v>12117419</v>
      </c>
      <c r="AC29" s="223">
        <f>+GETPIVOTDATA("Reducción ",$A$4,"No. Ramo",$M29,"IPP",$N29,"PP",$O29,"Programa Presupuestario (PP)",$P29,"Unidad Responsable (UR)",$Q29)</f>
        <v>0</v>
      </c>
      <c r="AD29" s="223">
        <f>+GETPIVOTDATA("Ampliación ",$A$4,"No. Ramo",$M29,"IPP",$N29,"PP",$O29,"Programa Presupuestario (PP)",$P29,"Unidad Responsable (UR)",$Q29)</f>
        <v>2000000</v>
      </c>
      <c r="AE29" s="256">
        <f>+AD29</f>
        <v>2000000</v>
      </c>
      <c r="AF29" s="223"/>
      <c r="AG29" s="258"/>
      <c r="AH29" s="223">
        <f>+AG29+AF29+AE29</f>
        <v>2000000</v>
      </c>
      <c r="AK29" s="221"/>
      <c r="AL29" s="219" t="s">
        <v>43</v>
      </c>
      <c r="AM29" s="219"/>
      <c r="AN29" s="219"/>
      <c r="AO29" s="219"/>
      <c r="AP29" s="219"/>
      <c r="AQ29" s="219"/>
      <c r="AR29" s="219"/>
      <c r="AS29" s="223">
        <f>+AH29</f>
        <v>2000000</v>
      </c>
    </row>
    <row r="30" spans="1:45">
      <c r="A30" s="9">
        <v>5</v>
      </c>
      <c r="B30" t="s">
        <v>613</v>
      </c>
      <c r="C30">
        <v>2</v>
      </c>
      <c r="D30" t="s">
        <v>42</v>
      </c>
      <c r="E30" t="s">
        <v>43</v>
      </c>
      <c r="F30" s="5">
        <v>195897245</v>
      </c>
      <c r="G30" s="7">
        <v>191951534</v>
      </c>
      <c r="H30" s="5"/>
      <c r="I30" s="5">
        <v>20000000</v>
      </c>
      <c r="J30" s="5">
        <v>211951534</v>
      </c>
      <c r="N30" s="8"/>
      <c r="O30" s="8"/>
      <c r="P30" s="8"/>
      <c r="Q30" s="8"/>
      <c r="R30" s="266"/>
      <c r="S30" s="266"/>
      <c r="T30" s="221" t="str">
        <f>+P31</f>
        <v>Foros, publicaciones y actividades en materia de equidad de género</v>
      </c>
      <c r="U30" s="219"/>
      <c r="V30" s="219"/>
      <c r="W30" s="219"/>
      <c r="X30" s="219"/>
      <c r="Y30" s="219"/>
      <c r="Z30" s="219"/>
      <c r="AA30" s="219"/>
      <c r="AB30" s="253"/>
      <c r="AC30" s="253"/>
      <c r="AD30" s="253"/>
      <c r="AE30" s="258"/>
      <c r="AF30" s="258"/>
      <c r="AG30" s="258"/>
      <c r="AH30" s="223"/>
      <c r="AK30" s="221" t="s">
        <v>49</v>
      </c>
      <c r="AL30" s="219"/>
      <c r="AM30" s="219"/>
      <c r="AN30" s="219"/>
      <c r="AO30" s="219"/>
      <c r="AP30" s="219"/>
      <c r="AQ30" s="219"/>
      <c r="AR30" s="219"/>
      <c r="AS30" s="223"/>
    </row>
    <row r="31" spans="1:45">
      <c r="B31"/>
      <c r="C31"/>
      <c r="D31" t="s">
        <v>1396</v>
      </c>
      <c r="E31"/>
      <c r="F31" s="5">
        <v>195897245</v>
      </c>
      <c r="G31" s="7">
        <v>191951534</v>
      </c>
      <c r="H31" s="5"/>
      <c r="I31" s="5">
        <v>20000000</v>
      </c>
      <c r="J31" s="5">
        <v>211951534</v>
      </c>
      <c r="M31" s="9">
        <v>5</v>
      </c>
      <c r="N31" s="130" t="s">
        <v>611</v>
      </c>
      <c r="O31" s="128">
        <v>8</v>
      </c>
      <c r="P31" s="130" t="s">
        <v>49</v>
      </c>
      <c r="Q31" s="128" t="s">
        <v>47</v>
      </c>
      <c r="R31" s="266">
        <v>1</v>
      </c>
      <c r="S31" s="266">
        <v>1</v>
      </c>
      <c r="T31" s="221"/>
      <c r="U31" s="219" t="s">
        <v>47</v>
      </c>
      <c r="V31" s="219"/>
      <c r="W31" s="219"/>
      <c r="X31" s="219"/>
      <c r="Y31" s="219"/>
      <c r="Z31" s="219"/>
      <c r="AA31" s="219"/>
      <c r="AB31" s="223">
        <f>+GETPIVOTDATA("PPEF 2011 ",$A$4,"No. Ramo",$M31,"IPP",$N31,"PP",$O31,"Programa Presupuestario (PP)",$P31,"Unidad Responsable (UR)",$Q31)</f>
        <v>1350000</v>
      </c>
      <c r="AC31" s="223">
        <f>+GETPIVOTDATA("Reducción ",$A$4,"No. Ramo",$M31,"IPP",$N31,"PP",$O31,"Programa Presupuestario (PP)",$P31,"Unidad Responsable (UR)",$Q31)</f>
        <v>0</v>
      </c>
      <c r="AD31" s="223">
        <f>+GETPIVOTDATA("Ampliación ",$A$4,"No. Ramo",$M31,"IPP",$N31,"PP",$O31,"Programa Presupuestario (PP)",$P31,"Unidad Responsable (UR)",$Q31)</f>
        <v>0</v>
      </c>
      <c r="AE31" s="256"/>
      <c r="AF31" s="256">
        <f>+AB31*S31</f>
        <v>1350000</v>
      </c>
      <c r="AG31" s="256">
        <f>+AD31*S31</f>
        <v>0</v>
      </c>
      <c r="AH31" s="223">
        <f>+AG31+AF31+AE31</f>
        <v>1350000</v>
      </c>
      <c r="AK31" s="221"/>
      <c r="AL31" s="219" t="s">
        <v>47</v>
      </c>
      <c r="AM31" s="219"/>
      <c r="AN31" s="219"/>
      <c r="AO31" s="219"/>
      <c r="AP31" s="219"/>
      <c r="AQ31" s="219"/>
      <c r="AR31" s="219"/>
      <c r="AS31" s="223">
        <f>+AH31</f>
        <v>1350000</v>
      </c>
    </row>
    <row r="32" spans="1:45">
      <c r="B32" t="s">
        <v>611</v>
      </c>
      <c r="C32">
        <v>3</v>
      </c>
      <c r="D32" t="s">
        <v>46</v>
      </c>
      <c r="E32" t="s">
        <v>47</v>
      </c>
      <c r="F32" s="5">
        <v>12649851</v>
      </c>
      <c r="G32" s="7">
        <v>12117419</v>
      </c>
      <c r="H32" s="5"/>
      <c r="I32" s="5">
        <v>2000000</v>
      </c>
      <c r="J32" s="5">
        <v>14117419</v>
      </c>
      <c r="M32" s="202"/>
      <c r="N32" s="129"/>
      <c r="O32" s="127"/>
      <c r="P32" s="129"/>
      <c r="Q32" s="127"/>
      <c r="R32" s="266"/>
      <c r="S32" s="266"/>
      <c r="T32" s="217" t="s">
        <v>1339</v>
      </c>
      <c r="U32" s="219"/>
      <c r="V32" s="219"/>
      <c r="W32" s="219"/>
      <c r="X32" s="219"/>
      <c r="Y32" s="219"/>
      <c r="Z32" s="219"/>
      <c r="AA32" s="219"/>
      <c r="AB32" s="220">
        <f t="shared" ref="AB32:AH32" si="5">+SUM(AB33:AB50)</f>
        <v>6075987747</v>
      </c>
      <c r="AC32" s="220">
        <f t="shared" si="5"/>
        <v>0</v>
      </c>
      <c r="AD32" s="220">
        <f t="shared" si="5"/>
        <v>707000000</v>
      </c>
      <c r="AE32" s="220">
        <f t="shared" si="5"/>
        <v>198000000</v>
      </c>
      <c r="AF32" s="220">
        <f t="shared" si="5"/>
        <v>2933787614</v>
      </c>
      <c r="AG32" s="220">
        <f t="shared" si="5"/>
        <v>329000000</v>
      </c>
      <c r="AH32" s="220">
        <f t="shared" si="5"/>
        <v>3460787614</v>
      </c>
      <c r="AK32" s="217" t="s">
        <v>1339</v>
      </c>
      <c r="AL32" s="219"/>
      <c r="AM32" s="219"/>
      <c r="AN32" s="219"/>
      <c r="AO32" s="219"/>
      <c r="AP32" s="219"/>
      <c r="AQ32" s="219"/>
      <c r="AR32" s="219"/>
      <c r="AS32" s="220">
        <f>+AH32</f>
        <v>3460787614</v>
      </c>
    </row>
    <row r="33" spans="1:45">
      <c r="B33"/>
      <c r="C33"/>
      <c r="D33" t="s">
        <v>1530</v>
      </c>
      <c r="E33"/>
      <c r="F33" s="5">
        <v>12649851</v>
      </c>
      <c r="G33" s="7">
        <v>12117419</v>
      </c>
      <c r="H33" s="5"/>
      <c r="I33" s="5">
        <v>2000000</v>
      </c>
      <c r="J33" s="5">
        <v>14117419</v>
      </c>
      <c r="M33" s="203"/>
      <c r="N33" s="130"/>
      <c r="O33" s="128"/>
      <c r="P33" s="130"/>
      <c r="Q33" s="128"/>
      <c r="R33" s="266"/>
      <c r="S33" s="266"/>
      <c r="T33" s="221" t="s">
        <v>60</v>
      </c>
      <c r="U33" s="219"/>
      <c r="V33" s="219"/>
      <c r="W33" s="219"/>
      <c r="X33" s="219"/>
      <c r="Y33" s="219"/>
      <c r="Z33" s="219"/>
      <c r="AA33" s="219"/>
      <c r="AB33" s="223"/>
      <c r="AC33" s="223"/>
      <c r="AD33" s="223"/>
      <c r="AE33" s="256"/>
      <c r="AF33" s="256"/>
      <c r="AG33" s="256"/>
      <c r="AH33" s="223"/>
      <c r="AK33" s="221" t="s">
        <v>60</v>
      </c>
      <c r="AL33" s="219"/>
      <c r="AM33" s="219"/>
      <c r="AN33" s="219"/>
      <c r="AO33" s="219"/>
      <c r="AP33" s="219"/>
      <c r="AQ33" s="219"/>
      <c r="AR33" s="219"/>
      <c r="AS33" s="223"/>
    </row>
    <row r="34" spans="1:45">
      <c r="B34"/>
      <c r="C34">
        <v>8</v>
      </c>
      <c r="D34" t="s">
        <v>49</v>
      </c>
      <c r="E34" t="s">
        <v>47</v>
      </c>
      <c r="F34" s="5"/>
      <c r="G34" s="7">
        <v>1350000</v>
      </c>
      <c r="H34" s="5"/>
      <c r="I34" s="5"/>
      <c r="J34" s="5">
        <v>1350000</v>
      </c>
      <c r="M34" s="204">
        <v>6</v>
      </c>
      <c r="N34" s="131" t="s">
        <v>4</v>
      </c>
      <c r="O34" s="128">
        <v>19</v>
      </c>
      <c r="P34" s="130" t="s">
        <v>60</v>
      </c>
      <c r="Q34" s="128" t="s">
        <v>62</v>
      </c>
      <c r="R34" s="266">
        <v>1</v>
      </c>
      <c r="S34" s="266">
        <v>1</v>
      </c>
      <c r="T34" s="221"/>
      <c r="U34" s="219" t="s">
        <v>62</v>
      </c>
      <c r="V34" s="219"/>
      <c r="W34" s="219"/>
      <c r="X34" s="219"/>
      <c r="Y34" s="219"/>
      <c r="Z34" s="219"/>
      <c r="AA34" s="219"/>
      <c r="AB34" s="223">
        <f>+GETPIVOTDATA("PPEF 2011 ",$A$4,"No. Ramo",$M34,"IPP",$N34,"PP",$O34,"Programa Presupuestario (PP)",$P34,"Unidad Responsable (UR)",$Q34)</f>
        <v>54334080</v>
      </c>
      <c r="AC34" s="223">
        <f>+GETPIVOTDATA("Reducción ",$A$4,"No. Ramo",$M34,"IPP",$N34,"PP",$O34,"Programa Presupuestario (PP)",$P34,"Unidad Responsable (UR)",$Q34)</f>
        <v>0</v>
      </c>
      <c r="AD34" s="223">
        <f>+GETPIVOTDATA("Ampliación ",$A$4,"No. Ramo",$M34,"IPP",$N34,"PP",$O34,"Programa Presupuestario (PP)",$P34,"Unidad Responsable (UR)",$Q34)</f>
        <v>29000000</v>
      </c>
      <c r="AE34" s="256"/>
      <c r="AF34" s="256">
        <f>+AB34*S34</f>
        <v>54334080</v>
      </c>
      <c r="AG34" s="256">
        <f>+AD34*S34</f>
        <v>29000000</v>
      </c>
      <c r="AH34" s="223">
        <f>+AG34+AF34+AE34</f>
        <v>83334080</v>
      </c>
      <c r="AK34" s="221"/>
      <c r="AL34" s="219" t="s">
        <v>62</v>
      </c>
      <c r="AM34" s="219"/>
      <c r="AN34" s="219"/>
      <c r="AO34" s="219"/>
      <c r="AP34" s="219"/>
      <c r="AQ34" s="219"/>
      <c r="AR34" s="219"/>
      <c r="AS34" s="223">
        <f>+AH34</f>
        <v>83334080</v>
      </c>
    </row>
    <row r="35" spans="1:45">
      <c r="B35"/>
      <c r="C35"/>
      <c r="D35" t="s">
        <v>1397</v>
      </c>
      <c r="E35"/>
      <c r="F35" s="5"/>
      <c r="G35" s="7">
        <v>1350000</v>
      </c>
      <c r="H35" s="5"/>
      <c r="I35" s="5"/>
      <c r="J35" s="5">
        <v>1350000</v>
      </c>
      <c r="M35" s="204"/>
      <c r="N35" s="132"/>
      <c r="O35" s="128"/>
      <c r="P35" s="130"/>
      <c r="Q35" s="128"/>
      <c r="R35" s="266"/>
      <c r="S35" s="266"/>
      <c r="T35" s="221" t="s">
        <v>67</v>
      </c>
      <c r="U35" s="219"/>
      <c r="V35" s="219"/>
      <c r="W35" s="219"/>
      <c r="X35" s="219"/>
      <c r="Y35" s="219"/>
      <c r="Z35" s="219"/>
      <c r="AA35" s="219"/>
      <c r="AB35" s="223"/>
      <c r="AC35" s="223"/>
      <c r="AD35" s="223"/>
      <c r="AE35" s="256"/>
      <c r="AF35" s="256"/>
      <c r="AG35" s="256"/>
      <c r="AH35" s="223"/>
      <c r="AK35" s="221" t="s">
        <v>67</v>
      </c>
      <c r="AL35" s="219"/>
      <c r="AM35" s="219"/>
      <c r="AN35" s="219"/>
      <c r="AO35" s="219"/>
      <c r="AP35" s="219"/>
      <c r="AQ35" s="219"/>
      <c r="AR35" s="219"/>
      <c r="AS35" s="223"/>
    </row>
    <row r="36" spans="1:45">
      <c r="A36">
        <v>6</v>
      </c>
      <c r="B36" t="s">
        <v>4</v>
      </c>
      <c r="C36">
        <v>19</v>
      </c>
      <c r="D36" t="s">
        <v>60</v>
      </c>
      <c r="E36" t="s">
        <v>62</v>
      </c>
      <c r="F36" s="5">
        <v>51800000</v>
      </c>
      <c r="G36" s="7">
        <v>54334080</v>
      </c>
      <c r="H36" s="5"/>
      <c r="I36" s="5">
        <v>29000000</v>
      </c>
      <c r="J36" s="5">
        <v>83334080</v>
      </c>
      <c r="M36" s="204">
        <v>6</v>
      </c>
      <c r="N36" s="131" t="s">
        <v>4</v>
      </c>
      <c r="O36" s="128">
        <v>32</v>
      </c>
      <c r="P36" s="130" t="s">
        <v>67</v>
      </c>
      <c r="Q36" s="128" t="s">
        <v>62</v>
      </c>
      <c r="R36" s="266">
        <v>1</v>
      </c>
      <c r="S36" s="266">
        <f>25000000/AB36</f>
        <v>0.39544364767470513</v>
      </c>
      <c r="T36" s="221"/>
      <c r="U36" s="219" t="s">
        <v>62</v>
      </c>
      <c r="V36" s="219"/>
      <c r="W36" s="219"/>
      <c r="X36" s="219"/>
      <c r="Y36" s="219"/>
      <c r="Z36" s="219"/>
      <c r="AA36" s="219"/>
      <c r="AB36" s="223">
        <f>+GETPIVOTDATA("PPEF 2011 ",$A$4,"No. Ramo",$M36,"IPP",$N36,"PP",$O36,"Programa Presupuestario (PP)",$P36,"Unidad Responsable (UR)",$Q36)</f>
        <v>63220133</v>
      </c>
      <c r="AC36" s="223">
        <f>+GETPIVOTDATA("Reducción ",$A$4,"No. Ramo",$M36,"IPP",$N36,"PP",$O36,"Programa Presupuestario (PP)",$P36,"Unidad Responsable (UR)",$Q36)</f>
        <v>0</v>
      </c>
      <c r="AD36" s="223">
        <f>+GETPIVOTDATA("Ampliación ",$A$4,"No. Ramo",$M36,"IPP",$N36,"PP",$O36,"Programa Presupuestario (PP)",$P36,"Unidad Responsable (UR)",$Q36)</f>
        <v>68000000</v>
      </c>
      <c r="AE36" s="256">
        <f>+AD36</f>
        <v>68000000</v>
      </c>
      <c r="AF36" s="256">
        <f>+AB36*S36</f>
        <v>25000000</v>
      </c>
      <c r="AG36" s="256"/>
      <c r="AH36" s="281">
        <f>+AG36+AF36+AE36</f>
        <v>93000000</v>
      </c>
      <c r="AK36" s="221"/>
      <c r="AL36" s="219" t="s">
        <v>62</v>
      </c>
      <c r="AM36" s="219"/>
      <c r="AN36" s="219"/>
      <c r="AO36" s="219"/>
      <c r="AP36" s="219"/>
      <c r="AQ36" s="219"/>
      <c r="AR36" s="219"/>
      <c r="AS36" s="223">
        <f>+AH36</f>
        <v>93000000</v>
      </c>
    </row>
    <row r="37" spans="1:45">
      <c r="A37"/>
      <c r="B37"/>
      <c r="C37"/>
      <c r="D37" t="s">
        <v>1398</v>
      </c>
      <c r="E37"/>
      <c r="F37" s="5">
        <v>51800000</v>
      </c>
      <c r="G37" s="7">
        <v>54334080</v>
      </c>
      <c r="H37" s="5"/>
      <c r="I37" s="5">
        <v>29000000</v>
      </c>
      <c r="J37" s="5">
        <v>83334080</v>
      </c>
      <c r="M37" s="204"/>
      <c r="N37" s="132"/>
      <c r="O37" s="128"/>
      <c r="P37" s="130"/>
      <c r="Q37" s="128"/>
      <c r="R37" s="266"/>
      <c r="S37" s="266"/>
      <c r="T37" s="221" t="s">
        <v>10</v>
      </c>
      <c r="U37" s="219"/>
      <c r="V37" s="219"/>
      <c r="W37" s="219"/>
      <c r="X37" s="219"/>
      <c r="Y37" s="219"/>
      <c r="Z37" s="219"/>
      <c r="AA37" s="219"/>
      <c r="AB37" s="223"/>
      <c r="AC37" s="223"/>
      <c r="AD37" s="223"/>
      <c r="AE37" s="256"/>
      <c r="AF37" s="256"/>
      <c r="AG37" s="256"/>
      <c r="AH37" s="223"/>
      <c r="AK37" s="221" t="s">
        <v>10</v>
      </c>
      <c r="AL37" s="219"/>
      <c r="AM37" s="219"/>
      <c r="AN37" s="219"/>
      <c r="AO37" s="219"/>
      <c r="AP37" s="219"/>
      <c r="AQ37" s="219"/>
      <c r="AR37" s="219"/>
      <c r="AS37" s="223"/>
    </row>
    <row r="38" spans="1:45">
      <c r="A38"/>
      <c r="B38"/>
      <c r="C38">
        <v>32</v>
      </c>
      <c r="D38" t="s">
        <v>67</v>
      </c>
      <c r="E38" t="s">
        <v>62</v>
      </c>
      <c r="F38" s="5">
        <v>66435917</v>
      </c>
      <c r="G38" s="7">
        <v>63220133</v>
      </c>
      <c r="H38" s="5"/>
      <c r="I38" s="5">
        <v>68000000</v>
      </c>
      <c r="J38" s="5">
        <v>131220133</v>
      </c>
      <c r="M38" s="204">
        <v>6</v>
      </c>
      <c r="N38" s="130" t="s">
        <v>609</v>
      </c>
      <c r="O38" s="128">
        <v>1</v>
      </c>
      <c r="P38" s="130" t="s">
        <v>10</v>
      </c>
      <c r="Q38" s="128" t="s">
        <v>73</v>
      </c>
      <c r="R38" s="266">
        <v>1</v>
      </c>
      <c r="S38" s="266">
        <v>1</v>
      </c>
      <c r="T38" s="221"/>
      <c r="U38" s="219" t="s">
        <v>73</v>
      </c>
      <c r="V38" s="219"/>
      <c r="W38" s="219"/>
      <c r="X38" s="219"/>
      <c r="Y38" s="219"/>
      <c r="Z38" s="219"/>
      <c r="AA38" s="219"/>
      <c r="AB38" s="223">
        <f>+GETPIVOTDATA("PPEF 2011 ",$A$4,"No. Ramo",$M38,"IPP",$N38,"PP",$O38,"Programa Presupuestario (PP)",$P38,"Unidad Responsable (UR)",$Q38)</f>
        <v>12994549</v>
      </c>
      <c r="AC38" s="223">
        <f>+GETPIVOTDATA("Reducción ",$A$4,"No. Ramo",$M38,"IPP",$N38,"PP",$O38,"Programa Presupuestario (PP)",$P38,"Unidad Responsable (UR)",$Q38)</f>
        <v>0</v>
      </c>
      <c r="AD38" s="223">
        <f>+GETPIVOTDATA("Ampliación ",$A$4,"No. Ramo",$M38,"IPP",$N38,"PP",$O38,"Programa Presupuestario (PP)",$P38,"Unidad Responsable (UR)",$Q38)</f>
        <v>0</v>
      </c>
      <c r="AE38" s="256"/>
      <c r="AF38" s="256">
        <f>+AB38*S38</f>
        <v>12994549</v>
      </c>
      <c r="AG38" s="256">
        <f>+AD38*S38</f>
        <v>0</v>
      </c>
      <c r="AH38" s="223">
        <f>+AG38+AF38+AE38</f>
        <v>12994549</v>
      </c>
      <c r="AI38" s="1"/>
      <c r="AK38" s="221"/>
      <c r="AL38" s="219" t="s">
        <v>73</v>
      </c>
      <c r="AM38" s="219"/>
      <c r="AN38" s="219"/>
      <c r="AO38" s="219"/>
      <c r="AP38" s="219"/>
      <c r="AQ38" s="219"/>
      <c r="AR38" s="219"/>
      <c r="AS38" s="223">
        <f>+AH38</f>
        <v>12994549</v>
      </c>
    </row>
    <row r="39" spans="1:45">
      <c r="A39"/>
      <c r="B39"/>
      <c r="C39"/>
      <c r="D39" t="s">
        <v>1399</v>
      </c>
      <c r="E39"/>
      <c r="F39" s="5">
        <v>66435917</v>
      </c>
      <c r="G39" s="7">
        <v>63220133</v>
      </c>
      <c r="H39" s="5"/>
      <c r="I39" s="5">
        <v>68000000</v>
      </c>
      <c r="J39" s="5">
        <v>131220133</v>
      </c>
      <c r="M39" s="204"/>
      <c r="N39" s="130"/>
      <c r="O39" s="128"/>
      <c r="P39" s="130"/>
      <c r="Q39" s="128"/>
      <c r="R39" s="266"/>
      <c r="S39" s="266"/>
      <c r="T39" s="221" t="s">
        <v>11</v>
      </c>
      <c r="U39" s="219"/>
      <c r="V39" s="219"/>
      <c r="W39" s="219"/>
      <c r="X39" s="219"/>
      <c r="Y39" s="219"/>
      <c r="Z39" s="219"/>
      <c r="AA39" s="219"/>
      <c r="AB39" s="223"/>
      <c r="AC39" s="223"/>
      <c r="AD39" s="223"/>
      <c r="AE39" s="256"/>
      <c r="AF39" s="256"/>
      <c r="AG39" s="256"/>
      <c r="AH39" s="223"/>
      <c r="AK39" s="221" t="s">
        <v>11</v>
      </c>
      <c r="AL39" s="219"/>
      <c r="AM39" s="219"/>
      <c r="AN39" s="219"/>
      <c r="AO39" s="219"/>
      <c r="AP39" s="219"/>
      <c r="AQ39" s="219"/>
      <c r="AR39" s="219"/>
      <c r="AS39" s="223"/>
    </row>
    <row r="40" spans="1:45">
      <c r="A40"/>
      <c r="B40" t="s">
        <v>609</v>
      </c>
      <c r="C40">
        <v>1</v>
      </c>
      <c r="D40" t="s">
        <v>10</v>
      </c>
      <c r="E40" t="s">
        <v>73</v>
      </c>
      <c r="F40" s="5">
        <v>15071745</v>
      </c>
      <c r="G40" s="7">
        <v>12994549</v>
      </c>
      <c r="H40" s="5"/>
      <c r="I40" s="5"/>
      <c r="J40" s="5">
        <v>12994549</v>
      </c>
      <c r="M40" s="204">
        <v>6</v>
      </c>
      <c r="N40" s="130" t="s">
        <v>610</v>
      </c>
      <c r="O40" s="128">
        <v>1</v>
      </c>
      <c r="P40" s="130" t="s">
        <v>11</v>
      </c>
      <c r="Q40" s="128" t="s">
        <v>73</v>
      </c>
      <c r="R40" s="266">
        <v>1</v>
      </c>
      <c r="S40" s="266">
        <v>1</v>
      </c>
      <c r="T40" s="221"/>
      <c r="U40" s="219" t="s">
        <v>73</v>
      </c>
      <c r="V40" s="219"/>
      <c r="W40" s="219"/>
      <c r="X40" s="219"/>
      <c r="Y40" s="219"/>
      <c r="Z40" s="219"/>
      <c r="AA40" s="219"/>
      <c r="AB40" s="223">
        <f>+GETPIVOTDATA("PPEF 2011 ",$A$4,"No. Ramo",$M40,"IPP",$N40,"PP",$O40,"Programa Presupuestario (PP)",$P40,"Unidad Responsable (UR)",$Q40)</f>
        <v>6867778</v>
      </c>
      <c r="AC40" s="223">
        <f>+GETPIVOTDATA("Reducción ",$A$4,"No. Ramo",$M40,"IPP",$N40,"PP",$O40,"Programa Presupuestario (PP)",$P40,"Unidad Responsable (UR)",$Q40)</f>
        <v>0</v>
      </c>
      <c r="AD40" s="223">
        <f>+GETPIVOTDATA("Ampliación ",$A$4,"No. Ramo",$M40,"IPP",$N40,"PP",$O40,"Programa Presupuestario (PP)",$P40,"Unidad Responsable (UR)",$Q40)</f>
        <v>0</v>
      </c>
      <c r="AE40" s="256"/>
      <c r="AF40" s="256">
        <f>+AB40*S40</f>
        <v>6867778</v>
      </c>
      <c r="AG40" s="256">
        <f>+AD40*S40</f>
        <v>0</v>
      </c>
      <c r="AH40" s="223">
        <f>+AG40+AF40+AE40</f>
        <v>6867778</v>
      </c>
      <c r="AK40" s="221"/>
      <c r="AL40" s="219" t="s">
        <v>73</v>
      </c>
      <c r="AM40" s="219"/>
      <c r="AN40" s="219"/>
      <c r="AO40" s="219"/>
      <c r="AP40" s="219"/>
      <c r="AQ40" s="219"/>
      <c r="AR40" s="219"/>
      <c r="AS40" s="223">
        <f>+AH40</f>
        <v>6867778</v>
      </c>
    </row>
    <row r="41" spans="1:45">
      <c r="A41"/>
      <c r="B41"/>
      <c r="C41"/>
      <c r="D41" t="s">
        <v>1400</v>
      </c>
      <c r="E41"/>
      <c r="F41" s="5">
        <v>15071745</v>
      </c>
      <c r="G41" s="7">
        <v>12994549</v>
      </c>
      <c r="H41" s="5"/>
      <c r="I41" s="5"/>
      <c r="J41" s="5">
        <v>12994549</v>
      </c>
      <c r="M41" s="204"/>
      <c r="N41" s="130"/>
      <c r="O41" s="128"/>
      <c r="P41" s="130"/>
      <c r="Q41" s="128"/>
      <c r="R41" s="266"/>
      <c r="S41" s="266"/>
      <c r="T41" s="221" t="s">
        <v>76</v>
      </c>
      <c r="U41" s="219"/>
      <c r="V41" s="219"/>
      <c r="W41" s="219"/>
      <c r="X41" s="219"/>
      <c r="Y41" s="219"/>
      <c r="Z41" s="219"/>
      <c r="AA41" s="219"/>
      <c r="AB41" s="223"/>
      <c r="AC41" s="223"/>
      <c r="AD41" s="223"/>
      <c r="AE41" s="256"/>
      <c r="AF41" s="256"/>
      <c r="AG41" s="256"/>
      <c r="AH41" s="223"/>
      <c r="AK41" s="221" t="s">
        <v>76</v>
      </c>
      <c r="AL41" s="219"/>
      <c r="AM41" s="219"/>
      <c r="AN41" s="219"/>
      <c r="AO41" s="219"/>
      <c r="AP41" s="219"/>
      <c r="AQ41" s="219"/>
      <c r="AR41" s="219"/>
      <c r="AS41" s="223"/>
    </row>
    <row r="42" spans="1:45">
      <c r="A42"/>
      <c r="B42" t="s">
        <v>610</v>
      </c>
      <c r="C42">
        <v>1</v>
      </c>
      <c r="D42" t="s">
        <v>11</v>
      </c>
      <c r="E42" t="s">
        <v>73</v>
      </c>
      <c r="F42" s="5">
        <v>7046789</v>
      </c>
      <c r="G42" s="7">
        <v>6867778</v>
      </c>
      <c r="H42" s="5"/>
      <c r="I42" s="5"/>
      <c r="J42" s="5">
        <v>6867778</v>
      </c>
      <c r="M42" s="204">
        <v>6</v>
      </c>
      <c r="N42" s="130" t="s">
        <v>611</v>
      </c>
      <c r="O42" s="128">
        <v>10</v>
      </c>
      <c r="P42" s="130" t="s">
        <v>76</v>
      </c>
      <c r="Q42" s="128" t="s">
        <v>73</v>
      </c>
      <c r="R42" s="266">
        <v>1</v>
      </c>
      <c r="S42" s="266">
        <v>1</v>
      </c>
      <c r="T42" s="221"/>
      <c r="U42" s="219" t="s">
        <v>73</v>
      </c>
      <c r="V42" s="219"/>
      <c r="W42" s="219"/>
      <c r="X42" s="219"/>
      <c r="Y42" s="219"/>
      <c r="Z42" s="219"/>
      <c r="AA42" s="219"/>
      <c r="AB42" s="223">
        <f>+GETPIVOTDATA("PPEF 2011 ",$A$4,"No. Ramo",$M42,"IPP",$N42,"PP",$O42,"Programa Presupuestario (PP)",$P42,"Unidad Responsable (UR)",$Q42)</f>
        <v>337442310</v>
      </c>
      <c r="AC42" s="223">
        <f>+GETPIVOTDATA("Reducción ",$A$4,"No. Ramo",$M42,"IPP",$N42,"PP",$O42,"Programa Presupuestario (PP)",$P42,"Unidad Responsable (UR)",$Q42)</f>
        <v>0</v>
      </c>
      <c r="AD42" s="223">
        <f>+GETPIVOTDATA("Ampliación ",$A$4,"No. Ramo",$M42,"IPP",$N42,"PP",$O42,"Programa Presupuestario (PP)",$P42,"Unidad Responsable (UR)",$Q42)</f>
        <v>0</v>
      </c>
      <c r="AE42" s="256"/>
      <c r="AF42" s="256">
        <f>+AB42*S42</f>
        <v>337442310</v>
      </c>
      <c r="AG42" s="256">
        <f>+AD42*S42</f>
        <v>0</v>
      </c>
      <c r="AH42" s="223">
        <f>+AG42+AF42+AE42</f>
        <v>337442310</v>
      </c>
      <c r="AK42" s="221"/>
      <c r="AL42" s="219" t="s">
        <v>73</v>
      </c>
      <c r="AM42" s="219"/>
      <c r="AN42" s="219"/>
      <c r="AO42" s="219"/>
      <c r="AP42" s="219"/>
      <c r="AQ42" s="219"/>
      <c r="AR42" s="219"/>
      <c r="AS42" s="223">
        <f>+AH42</f>
        <v>337442310</v>
      </c>
    </row>
    <row r="43" spans="1:45">
      <c r="A43"/>
      <c r="B43"/>
      <c r="C43"/>
      <c r="D43" t="s">
        <v>1401</v>
      </c>
      <c r="E43"/>
      <c r="F43" s="5">
        <v>7046789</v>
      </c>
      <c r="G43" s="7">
        <v>6867778</v>
      </c>
      <c r="H43" s="5"/>
      <c r="I43" s="5"/>
      <c r="J43" s="5">
        <v>6867778</v>
      </c>
      <c r="M43" s="204"/>
      <c r="N43" s="132"/>
      <c r="O43" s="128"/>
      <c r="P43" s="130"/>
      <c r="Q43" s="128"/>
      <c r="R43" s="266"/>
      <c r="S43" s="266"/>
      <c r="T43" s="221" t="s">
        <v>82</v>
      </c>
      <c r="U43" s="219"/>
      <c r="V43" s="219"/>
      <c r="W43" s="219"/>
      <c r="X43" s="219"/>
      <c r="Y43" s="219"/>
      <c r="Z43" s="219"/>
      <c r="AA43" s="219"/>
      <c r="AB43" s="223"/>
      <c r="AC43" s="223"/>
      <c r="AD43" s="223"/>
      <c r="AE43" s="256"/>
      <c r="AF43" s="256"/>
      <c r="AG43" s="256"/>
      <c r="AH43" s="223"/>
      <c r="AK43" s="221" t="s">
        <v>82</v>
      </c>
      <c r="AL43" s="219"/>
      <c r="AM43" s="219"/>
      <c r="AN43" s="219"/>
      <c r="AO43" s="219"/>
      <c r="AP43" s="219"/>
      <c r="AQ43" s="219"/>
      <c r="AR43" s="219"/>
      <c r="AS43" s="223"/>
    </row>
    <row r="44" spans="1:45">
      <c r="A44"/>
      <c r="B44" t="s">
        <v>611</v>
      </c>
      <c r="C44">
        <v>10</v>
      </c>
      <c r="D44" t="s">
        <v>76</v>
      </c>
      <c r="E44" t="s">
        <v>73</v>
      </c>
      <c r="F44" s="5">
        <v>275874615</v>
      </c>
      <c r="G44" s="7">
        <v>337442310</v>
      </c>
      <c r="H44" s="5"/>
      <c r="I44" s="5"/>
      <c r="J44" s="5">
        <v>337442310</v>
      </c>
      <c r="M44" s="204">
        <v>6</v>
      </c>
      <c r="N44" s="131" t="s">
        <v>619</v>
      </c>
      <c r="O44" s="128">
        <v>10</v>
      </c>
      <c r="P44" s="130" t="s">
        <v>82</v>
      </c>
      <c r="Q44" s="128" t="s">
        <v>73</v>
      </c>
      <c r="R44" s="266">
        <v>1</v>
      </c>
      <c r="S44" s="266">
        <v>1</v>
      </c>
      <c r="T44" s="221"/>
      <c r="U44" s="219" t="s">
        <v>73</v>
      </c>
      <c r="V44" s="219"/>
      <c r="W44" s="219"/>
      <c r="X44" s="219"/>
      <c r="Y44" s="219"/>
      <c r="Z44" s="219"/>
      <c r="AA44" s="219"/>
      <c r="AB44" s="223">
        <f>+GETPIVOTDATA("PPEF 2011 ",$A$4,"No. Ramo",$M44,"IPP",$N44,"PP",$O44,"Programa Presupuestario (PP)",$P44,"Unidad Responsable (UR)",$Q44)</f>
        <v>104000000</v>
      </c>
      <c r="AC44" s="223">
        <f>+GETPIVOTDATA("Reducción ",$A$4,"No. Ramo",$M44,"IPP",$N44,"PP",$O44,"Programa Presupuestario (PP)",$P44,"Unidad Responsable (UR)",$Q44)</f>
        <v>0</v>
      </c>
      <c r="AD44" s="223">
        <f>+GETPIVOTDATA("Ampliación ",$A$4,"No. Ramo",$M44,"IPP",$N44,"PP",$O44,"Programa Presupuestario (PP)",$P44,"Unidad Responsable (UR)",$Q44)</f>
        <v>100000000</v>
      </c>
      <c r="AE44" s="256">
        <f>+AD44</f>
        <v>100000000</v>
      </c>
      <c r="AF44" s="256">
        <f>+AB44*S44</f>
        <v>104000000</v>
      </c>
      <c r="AG44" s="256"/>
      <c r="AH44" s="223">
        <f>+AG44+AF44+AE44</f>
        <v>204000000</v>
      </c>
      <c r="AK44" s="221"/>
      <c r="AL44" s="219" t="s">
        <v>73</v>
      </c>
      <c r="AM44" s="219"/>
      <c r="AN44" s="219"/>
      <c r="AO44" s="219"/>
      <c r="AP44" s="219"/>
      <c r="AQ44" s="219"/>
      <c r="AR44" s="219"/>
      <c r="AS44" s="223">
        <f>+AH44</f>
        <v>204000000</v>
      </c>
    </row>
    <row r="45" spans="1:45">
      <c r="A45"/>
      <c r="B45"/>
      <c r="C45"/>
      <c r="D45" t="s">
        <v>1402</v>
      </c>
      <c r="E45"/>
      <c r="F45" s="5">
        <v>275874615</v>
      </c>
      <c r="G45" s="7">
        <v>337442310</v>
      </c>
      <c r="H45" s="5"/>
      <c r="I45" s="5"/>
      <c r="J45" s="5">
        <v>337442310</v>
      </c>
      <c r="M45" s="204"/>
      <c r="N45" s="131"/>
      <c r="O45" s="128"/>
      <c r="P45" s="130"/>
      <c r="Q45" s="128"/>
      <c r="R45" s="266"/>
      <c r="S45" s="266"/>
      <c r="T45" s="221" t="s">
        <v>84</v>
      </c>
      <c r="U45" s="219"/>
      <c r="V45" s="219"/>
      <c r="W45" s="219"/>
      <c r="X45" s="219"/>
      <c r="Y45" s="219"/>
      <c r="Z45" s="219"/>
      <c r="AA45" s="219"/>
      <c r="AB45" s="223"/>
      <c r="AC45" s="223"/>
      <c r="AD45" s="223"/>
      <c r="AE45" s="256"/>
      <c r="AF45" s="256"/>
      <c r="AG45" s="256"/>
      <c r="AH45" s="223"/>
      <c r="AK45" s="221" t="s">
        <v>84</v>
      </c>
      <c r="AL45" s="219"/>
      <c r="AM45" s="219"/>
      <c r="AN45" s="219"/>
      <c r="AO45" s="219"/>
      <c r="AP45" s="219"/>
      <c r="AQ45" s="219"/>
      <c r="AR45" s="219"/>
      <c r="AS45" s="223"/>
    </row>
    <row r="46" spans="1:45">
      <c r="A46"/>
      <c r="B46" t="s">
        <v>619</v>
      </c>
      <c r="C46">
        <v>10</v>
      </c>
      <c r="D46" t="s">
        <v>82</v>
      </c>
      <c r="E46" t="s">
        <v>73</v>
      </c>
      <c r="F46" s="5">
        <v>199330500</v>
      </c>
      <c r="G46" s="7">
        <v>104000000</v>
      </c>
      <c r="H46" s="5"/>
      <c r="I46" s="5">
        <v>100000000</v>
      </c>
      <c r="J46" s="5">
        <v>204000000</v>
      </c>
      <c r="M46" s="204">
        <v>6</v>
      </c>
      <c r="N46" s="131" t="s">
        <v>619</v>
      </c>
      <c r="O46" s="128">
        <v>177</v>
      </c>
      <c r="P46" s="130" t="s">
        <v>84</v>
      </c>
      <c r="Q46" s="128" t="s">
        <v>72</v>
      </c>
      <c r="R46" s="266">
        <v>0.39999613399570877</v>
      </c>
      <c r="S46" s="266">
        <f>2069320000/AB46</f>
        <v>0.4</v>
      </c>
      <c r="T46" s="221"/>
      <c r="U46" s="219" t="s">
        <v>72</v>
      </c>
      <c r="V46" s="219"/>
      <c r="W46" s="219"/>
      <c r="X46" s="219"/>
      <c r="Y46" s="219"/>
      <c r="Z46" s="219"/>
      <c r="AA46" s="219"/>
      <c r="AB46" s="223">
        <f>+GETPIVOTDATA("PPEF 2011 ",$A$4,"No. Ramo",$M46,"IPP",$N46,"PP",$O46,"Programa Presupuestario (PP)",$P46,"Unidad Responsable (UR)",$Q46)</f>
        <v>5173300000</v>
      </c>
      <c r="AC46" s="223">
        <f>+GETPIVOTDATA("Reducción ",$A$4,"No. Ramo",$M46,"IPP",$N46,"PP",$O46,"Programa Presupuestario (PP)",$P46,"Unidad Responsable (UR)",$Q46)</f>
        <v>0</v>
      </c>
      <c r="AD46" s="223">
        <f>+GETPIVOTDATA("Ampliación ",$A$4,"No. Ramo",$M46,"IPP",$N46,"PP",$O46,"Programa Presupuestario (PP)",$P46,"Unidad Responsable (UR)",$Q46)</f>
        <v>300000000</v>
      </c>
      <c r="AE46" s="256"/>
      <c r="AF46" s="256">
        <f>+AB46*S46</f>
        <v>2069320000</v>
      </c>
      <c r="AG46" s="268">
        <f>+AD46*S46</f>
        <v>120000000</v>
      </c>
      <c r="AH46" s="223">
        <f>+AG46+AF46+AE46</f>
        <v>2189320000</v>
      </c>
      <c r="AK46" s="221"/>
      <c r="AL46" s="219" t="s">
        <v>72</v>
      </c>
      <c r="AM46" s="219"/>
      <c r="AN46" s="219"/>
      <c r="AO46" s="219"/>
      <c r="AP46" s="219"/>
      <c r="AQ46" s="219"/>
      <c r="AR46" s="219"/>
      <c r="AS46" s="223">
        <f>+AH46</f>
        <v>2189320000</v>
      </c>
    </row>
    <row r="47" spans="1:45">
      <c r="A47"/>
      <c r="B47"/>
      <c r="C47"/>
      <c r="D47" t="s">
        <v>1403</v>
      </c>
      <c r="E47"/>
      <c r="F47" s="5">
        <v>199330500</v>
      </c>
      <c r="G47" s="7">
        <v>104000000</v>
      </c>
      <c r="H47" s="5"/>
      <c r="I47" s="5">
        <v>100000000</v>
      </c>
      <c r="J47" s="5">
        <v>204000000</v>
      </c>
      <c r="M47" s="204"/>
      <c r="N47" s="131"/>
      <c r="O47" s="128"/>
      <c r="P47" s="130"/>
      <c r="Q47" s="128"/>
      <c r="R47" s="266"/>
      <c r="S47" s="266"/>
      <c r="T47" s="221" t="s">
        <v>88</v>
      </c>
      <c r="U47" s="219"/>
      <c r="V47" s="219"/>
      <c r="W47" s="219"/>
      <c r="X47" s="219"/>
      <c r="Y47" s="219"/>
      <c r="Z47" s="219"/>
      <c r="AA47" s="219"/>
      <c r="AB47" s="223"/>
      <c r="AC47" s="223"/>
      <c r="AD47" s="223"/>
      <c r="AE47" s="256"/>
      <c r="AF47" s="256"/>
      <c r="AG47" s="256"/>
      <c r="AH47" s="223"/>
      <c r="AK47" s="221" t="s">
        <v>88</v>
      </c>
      <c r="AL47" s="219"/>
      <c r="AM47" s="219"/>
      <c r="AN47" s="219"/>
      <c r="AO47" s="219"/>
      <c r="AP47" s="219"/>
      <c r="AQ47" s="219"/>
      <c r="AR47" s="219"/>
      <c r="AS47" s="223"/>
    </row>
    <row r="48" spans="1:45">
      <c r="A48"/>
      <c r="B48"/>
      <c r="C48">
        <v>177</v>
      </c>
      <c r="D48" t="s">
        <v>84</v>
      </c>
      <c r="E48" t="s">
        <v>72</v>
      </c>
      <c r="F48" s="5">
        <v>5870437665</v>
      </c>
      <c r="G48" s="7">
        <v>5173300000</v>
      </c>
      <c r="H48" s="5"/>
      <c r="I48" s="5">
        <v>300000000</v>
      </c>
      <c r="J48" s="5">
        <v>5173300000</v>
      </c>
      <c r="M48" s="204">
        <v>6</v>
      </c>
      <c r="N48" s="131" t="s">
        <v>619</v>
      </c>
      <c r="O48" s="128">
        <v>181</v>
      </c>
      <c r="P48" s="130" t="s">
        <v>88</v>
      </c>
      <c r="Q48" s="128" t="s">
        <v>62</v>
      </c>
      <c r="R48" s="266">
        <v>1</v>
      </c>
      <c r="S48" s="266">
        <v>1</v>
      </c>
      <c r="T48" s="221"/>
      <c r="U48" s="219" t="s">
        <v>62</v>
      </c>
      <c r="V48" s="219"/>
      <c r="W48" s="219"/>
      <c r="X48" s="219"/>
      <c r="Y48" s="219"/>
      <c r="Z48" s="219"/>
      <c r="AA48" s="219"/>
      <c r="AB48" s="223">
        <f>+GETPIVOTDATA("PPEF 2011 ",$A$4,"No. Ramo",$M48,"IPP",$N48,"PP",$O48,"Programa Presupuestario (PP)",$P48,"Unidad Responsable (UR)",$Q48)</f>
        <v>283828897</v>
      </c>
      <c r="AC48" s="223">
        <f>+GETPIVOTDATA("Reducción ",$A$4,"No. Ramo",$M48,"IPP",$N48,"PP",$O48,"Programa Presupuestario (PP)",$P48,"Unidad Responsable (UR)",$Q48)</f>
        <v>0</v>
      </c>
      <c r="AD48" s="223">
        <f>+GETPIVOTDATA("Ampliación ",$A$4,"No. Ramo",$M48,"IPP",$N48,"PP",$O48,"Programa Presupuestario (PP)",$P48,"Unidad Responsable (UR)",$Q48)</f>
        <v>180000000</v>
      </c>
      <c r="AE48" s="256"/>
      <c r="AF48" s="256">
        <f>+AB48*S48</f>
        <v>283828897</v>
      </c>
      <c r="AG48" s="256">
        <f>+AD48*S48</f>
        <v>180000000</v>
      </c>
      <c r="AH48" s="223">
        <f>+AG48+AF48+AE48</f>
        <v>463828897</v>
      </c>
      <c r="AK48" s="221"/>
      <c r="AL48" s="219" t="s">
        <v>62</v>
      </c>
      <c r="AM48" s="219"/>
      <c r="AN48" s="219"/>
      <c r="AO48" s="219"/>
      <c r="AP48" s="219"/>
      <c r="AQ48" s="219"/>
      <c r="AR48" s="219"/>
      <c r="AS48" s="223">
        <f>+AH48</f>
        <v>463828897</v>
      </c>
    </row>
    <row r="49" spans="1:45">
      <c r="A49"/>
      <c r="B49"/>
      <c r="C49"/>
      <c r="D49" t="s">
        <v>1404</v>
      </c>
      <c r="E49"/>
      <c r="F49" s="5">
        <v>5870437665</v>
      </c>
      <c r="G49" s="7">
        <v>5173300000</v>
      </c>
      <c r="H49" s="5"/>
      <c r="I49" s="5">
        <v>300000000</v>
      </c>
      <c r="J49" s="5">
        <v>5173300000</v>
      </c>
      <c r="M49" s="207"/>
      <c r="N49" s="132"/>
      <c r="O49" s="128"/>
      <c r="P49" s="130"/>
      <c r="Q49" s="128"/>
      <c r="R49" s="266"/>
      <c r="S49" s="266"/>
      <c r="T49" s="221" t="s">
        <v>95</v>
      </c>
      <c r="U49" s="219"/>
      <c r="V49" s="219"/>
      <c r="W49" s="219"/>
      <c r="X49" s="219"/>
      <c r="Y49" s="219"/>
      <c r="Z49" s="219"/>
      <c r="AA49" s="219"/>
      <c r="AB49" s="223"/>
      <c r="AC49" s="223"/>
      <c r="AD49" s="223"/>
      <c r="AE49" s="256"/>
      <c r="AF49" s="256"/>
      <c r="AG49" s="256"/>
      <c r="AH49" s="223"/>
      <c r="AK49" s="221" t="s">
        <v>95</v>
      </c>
      <c r="AL49" s="219"/>
      <c r="AM49" s="219"/>
      <c r="AN49" s="219"/>
      <c r="AO49" s="219"/>
      <c r="AP49" s="219"/>
      <c r="AQ49" s="219"/>
      <c r="AR49" s="219"/>
      <c r="AS49" s="223"/>
    </row>
    <row r="50" spans="1:45">
      <c r="A50"/>
      <c r="B50"/>
      <c r="C50">
        <v>181</v>
      </c>
      <c r="D50" t="s">
        <v>88</v>
      </c>
      <c r="E50" t="s">
        <v>62</v>
      </c>
      <c r="F50" s="5">
        <v>255000000</v>
      </c>
      <c r="G50" s="7">
        <v>283828897</v>
      </c>
      <c r="H50" s="5"/>
      <c r="I50" s="5">
        <v>180000000</v>
      </c>
      <c r="J50" s="5">
        <v>463828897</v>
      </c>
      <c r="M50" s="204">
        <v>6</v>
      </c>
      <c r="N50" s="131" t="s">
        <v>619</v>
      </c>
      <c r="O50" s="128">
        <v>229</v>
      </c>
      <c r="P50" s="130" t="s">
        <v>95</v>
      </c>
      <c r="Q50" s="128" t="s">
        <v>73</v>
      </c>
      <c r="R50" s="266">
        <v>1</v>
      </c>
      <c r="S50" s="266">
        <v>1</v>
      </c>
      <c r="T50" s="221"/>
      <c r="U50" s="219" t="s">
        <v>73</v>
      </c>
      <c r="V50" s="219"/>
      <c r="W50" s="219"/>
      <c r="X50" s="219"/>
      <c r="Y50" s="219"/>
      <c r="Z50" s="219"/>
      <c r="AA50" s="219"/>
      <c r="AB50" s="223">
        <f>+GETPIVOTDATA("PPEF 2011 ",$A$4,"No. Ramo",$M50,"IPP",$N50,"PP",$O50,"Programa Presupuestario (PP)",$P50,"Unidad Responsable (UR)",$Q50)</f>
        <v>40000000</v>
      </c>
      <c r="AC50" s="223">
        <f>+GETPIVOTDATA("Reducción ",$A$4,"No. Ramo",$M50,"IPP",$N50,"PP",$O50,"Programa Presupuestario (PP)",$P50,"Unidad Responsable (UR)",$Q50)</f>
        <v>0</v>
      </c>
      <c r="AD50" s="223">
        <f>+GETPIVOTDATA("Ampliación ",$A$4,"No. Ramo",$M50,"IPP",$N50,"PP",$O50,"Programa Presupuestario (PP)",$P50,"Unidad Responsable (UR)",$Q50)</f>
        <v>30000000</v>
      </c>
      <c r="AE50" s="256">
        <f>+AD50</f>
        <v>30000000</v>
      </c>
      <c r="AF50" s="256">
        <f>+AB50*S50</f>
        <v>40000000</v>
      </c>
      <c r="AG50" s="256"/>
      <c r="AH50" s="223">
        <f>+AG50+AF50+AE50</f>
        <v>70000000</v>
      </c>
      <c r="AK50" s="221"/>
      <c r="AL50" s="219" t="s">
        <v>73</v>
      </c>
      <c r="AM50" s="219"/>
      <c r="AN50" s="219"/>
      <c r="AO50" s="219"/>
      <c r="AP50" s="219"/>
      <c r="AQ50" s="219"/>
      <c r="AR50" s="219"/>
      <c r="AS50" s="223">
        <f>+AH50</f>
        <v>70000000</v>
      </c>
    </row>
    <row r="51" spans="1:45">
      <c r="A51"/>
      <c r="B51"/>
      <c r="C51"/>
      <c r="D51" t="s">
        <v>1405</v>
      </c>
      <c r="E51"/>
      <c r="F51" s="5">
        <v>255000000</v>
      </c>
      <c r="G51" s="7">
        <v>283828897</v>
      </c>
      <c r="H51" s="5"/>
      <c r="I51" s="5">
        <v>180000000</v>
      </c>
      <c r="J51" s="5">
        <v>463828897</v>
      </c>
      <c r="M51" s="207"/>
      <c r="N51" s="132"/>
      <c r="O51" s="128"/>
      <c r="P51" s="132"/>
      <c r="Q51" s="128"/>
      <c r="R51" s="266"/>
      <c r="S51" s="266"/>
      <c r="T51" s="217" t="s">
        <v>1340</v>
      </c>
      <c r="U51" s="219"/>
      <c r="V51" s="219"/>
      <c r="W51" s="219"/>
      <c r="X51" s="219"/>
      <c r="Y51" s="219"/>
      <c r="Z51" s="219"/>
      <c r="AA51" s="219"/>
      <c r="AB51" s="220">
        <f t="shared" ref="AB51:AH51" si="6">+SUM(AB52:AB54)</f>
        <v>104000000</v>
      </c>
      <c r="AC51" s="220">
        <f t="shared" si="6"/>
        <v>0</v>
      </c>
      <c r="AD51" s="220">
        <f t="shared" si="6"/>
        <v>0</v>
      </c>
      <c r="AE51" s="220">
        <f t="shared" si="6"/>
        <v>0</v>
      </c>
      <c r="AF51" s="220">
        <f t="shared" si="6"/>
        <v>104000000</v>
      </c>
      <c r="AG51" s="220">
        <f t="shared" si="6"/>
        <v>0</v>
      </c>
      <c r="AH51" s="220">
        <f t="shared" si="6"/>
        <v>104000000</v>
      </c>
      <c r="AK51" s="217" t="s">
        <v>1340</v>
      </c>
      <c r="AL51" s="219"/>
      <c r="AM51" s="219"/>
      <c r="AN51" s="219"/>
      <c r="AO51" s="219"/>
      <c r="AP51" s="219"/>
      <c r="AQ51" s="219"/>
      <c r="AR51" s="219"/>
      <c r="AS51" s="220">
        <f>+AH51</f>
        <v>104000000</v>
      </c>
    </row>
    <row r="52" spans="1:45">
      <c r="A52"/>
      <c r="B52"/>
      <c r="C52">
        <v>229</v>
      </c>
      <c r="D52" t="s">
        <v>95</v>
      </c>
      <c r="E52" t="s">
        <v>73</v>
      </c>
      <c r="F52" s="5">
        <v>70000000</v>
      </c>
      <c r="G52" s="7">
        <v>40000000</v>
      </c>
      <c r="H52" s="5"/>
      <c r="I52" s="5">
        <v>30000000</v>
      </c>
      <c r="J52" s="5">
        <v>70000000</v>
      </c>
      <c r="M52" s="207"/>
      <c r="N52" s="132"/>
      <c r="O52" s="128"/>
      <c r="P52" s="132"/>
      <c r="Q52" s="128"/>
      <c r="R52" s="266"/>
      <c r="S52" s="266"/>
      <c r="T52" s="221" t="s">
        <v>103</v>
      </c>
      <c r="U52" s="219"/>
      <c r="V52" s="219"/>
      <c r="W52" s="219"/>
      <c r="X52" s="219"/>
      <c r="Y52" s="219"/>
      <c r="Z52" s="219"/>
      <c r="AA52" s="219"/>
      <c r="AB52" s="223"/>
      <c r="AC52" s="223"/>
      <c r="AD52" s="223"/>
      <c r="AE52" s="256"/>
      <c r="AF52" s="256"/>
      <c r="AG52" s="256"/>
      <c r="AH52" s="223"/>
      <c r="AK52" s="221" t="s">
        <v>103</v>
      </c>
      <c r="AL52" s="219"/>
      <c r="AM52" s="219"/>
      <c r="AN52" s="219"/>
      <c r="AO52" s="219"/>
      <c r="AP52" s="219"/>
      <c r="AQ52" s="219"/>
      <c r="AR52" s="219"/>
      <c r="AS52" s="223"/>
    </row>
    <row r="53" spans="1:45">
      <c r="A53"/>
      <c r="B53"/>
      <c r="C53"/>
      <c r="D53" t="s">
        <v>1406</v>
      </c>
      <c r="E53"/>
      <c r="F53" s="5">
        <v>70000000</v>
      </c>
      <c r="G53" s="7">
        <v>40000000</v>
      </c>
      <c r="H53" s="5"/>
      <c r="I53" s="5">
        <v>30000000</v>
      </c>
      <c r="J53" s="5">
        <v>70000000</v>
      </c>
      <c r="M53" s="204">
        <v>7</v>
      </c>
      <c r="N53" s="131" t="s">
        <v>620</v>
      </c>
      <c r="O53" s="128">
        <v>900</v>
      </c>
      <c r="P53" s="131" t="s">
        <v>103</v>
      </c>
      <c r="Q53" s="128" t="s">
        <v>34</v>
      </c>
      <c r="R53" s="266">
        <v>1</v>
      </c>
      <c r="S53" s="266">
        <v>1</v>
      </c>
      <c r="T53" s="221"/>
      <c r="U53" s="219" t="s">
        <v>34</v>
      </c>
      <c r="V53" s="219"/>
      <c r="W53" s="219"/>
      <c r="X53" s="219"/>
      <c r="Y53" s="219"/>
      <c r="Z53" s="219"/>
      <c r="AA53" s="219"/>
      <c r="AB53" s="223">
        <f>+GETPIVOTDATA("PPEF 2011 ",$A$4,"No. Ramo",$M53,"IPP",$N53,"PP",$O53,"Programa Presupuestario (PP)",$P53,"Unidad Responsable (UR)",$Q53)</f>
        <v>10000000</v>
      </c>
      <c r="AC53" s="223">
        <f>+GETPIVOTDATA("Reducción ",$A$4,"No. Ramo",$M53,"IPP",$N53,"PP",$O53,"Programa Presupuestario (PP)",$P53,"Unidad Responsable (UR)",$Q53)</f>
        <v>0</v>
      </c>
      <c r="AD53" s="223">
        <f>+GETPIVOTDATA("Ampliación ",$A$4,"No. Ramo",$M53,"IPP",$N53,"PP",$O53,"Programa Presupuestario (PP)",$P53,"Unidad Responsable (UR)",$Q53)</f>
        <v>0</v>
      </c>
      <c r="AE53" s="256"/>
      <c r="AF53" s="256">
        <f>+AB53*S53</f>
        <v>10000000</v>
      </c>
      <c r="AG53" s="256">
        <f>+AD53*S53</f>
        <v>0</v>
      </c>
      <c r="AH53" s="223">
        <f>+AG53+AF53+AE53</f>
        <v>10000000</v>
      </c>
      <c r="AK53" s="221"/>
      <c r="AL53" s="219" t="s">
        <v>34</v>
      </c>
      <c r="AM53" s="219"/>
      <c r="AN53" s="219"/>
      <c r="AO53" s="219"/>
      <c r="AP53" s="219"/>
      <c r="AQ53" s="219"/>
      <c r="AR53" s="219"/>
      <c r="AS53" s="223">
        <f>+AH53</f>
        <v>10000000</v>
      </c>
    </row>
    <row r="54" spans="1:45">
      <c r="A54">
        <v>7</v>
      </c>
      <c r="B54" t="s">
        <v>620</v>
      </c>
      <c r="C54">
        <v>900</v>
      </c>
      <c r="D54" t="s">
        <v>103</v>
      </c>
      <c r="E54" t="s">
        <v>34</v>
      </c>
      <c r="F54" s="5">
        <v>10000000</v>
      </c>
      <c r="G54" s="7">
        <v>10000000</v>
      </c>
      <c r="H54" s="5"/>
      <c r="I54" s="5"/>
      <c r="J54" s="5">
        <v>10000000</v>
      </c>
      <c r="M54" s="204">
        <v>7</v>
      </c>
      <c r="N54" s="131" t="s">
        <v>620</v>
      </c>
      <c r="O54" s="128">
        <v>900</v>
      </c>
      <c r="P54" s="131" t="s">
        <v>103</v>
      </c>
      <c r="Q54" s="128" t="s">
        <v>102</v>
      </c>
      <c r="R54" s="266">
        <v>1</v>
      </c>
      <c r="S54" s="266">
        <v>1</v>
      </c>
      <c r="T54" s="221"/>
      <c r="U54" s="219" t="s">
        <v>102</v>
      </c>
      <c r="V54" s="219"/>
      <c r="W54" s="219"/>
      <c r="X54" s="219"/>
      <c r="Y54" s="219"/>
      <c r="Z54" s="219"/>
      <c r="AA54" s="219"/>
      <c r="AB54" s="223">
        <f>+GETPIVOTDATA("PPEF 2011 ",$A$4,"No. Ramo",$M54,"IPP",$N54,"PP",$O54,"Programa Presupuestario (PP)",$P54,"Unidad Responsable (UR)",$Q54)</f>
        <v>94000000</v>
      </c>
      <c r="AC54" s="223">
        <f>+GETPIVOTDATA("Reducción ",$A$4,"No. Ramo",$M54,"IPP",$N54,"PP",$O54,"Programa Presupuestario (PP)",$P54,"Unidad Responsable (UR)",$Q54)</f>
        <v>0</v>
      </c>
      <c r="AD54" s="223">
        <f>+GETPIVOTDATA("Ampliación ",$A$4,"No. Ramo",$M54,"IPP",$N54,"PP",$O54,"Programa Presupuestario (PP)",$P54,"Unidad Responsable (UR)",$Q54)</f>
        <v>0</v>
      </c>
      <c r="AE54" s="256"/>
      <c r="AF54" s="256">
        <f>+AB54*S54</f>
        <v>94000000</v>
      </c>
      <c r="AG54" s="256">
        <f>+AD54*S54</f>
        <v>0</v>
      </c>
      <c r="AH54" s="223">
        <f>+AG54+AF54+AE54</f>
        <v>94000000</v>
      </c>
      <c r="AK54" s="221"/>
      <c r="AL54" s="219" t="s">
        <v>102</v>
      </c>
      <c r="AM54" s="219"/>
      <c r="AN54" s="219"/>
      <c r="AO54" s="219"/>
      <c r="AP54" s="219"/>
      <c r="AQ54" s="219"/>
      <c r="AR54" s="219"/>
      <c r="AS54" s="223">
        <f>+AH54</f>
        <v>94000000</v>
      </c>
    </row>
    <row r="55" spans="1:45">
      <c r="A55"/>
      <c r="B55"/>
      <c r="C55"/>
      <c r="D55"/>
      <c r="E55" t="s">
        <v>102</v>
      </c>
      <c r="F55" s="5">
        <v>90000000</v>
      </c>
      <c r="G55" s="7">
        <v>94000000</v>
      </c>
      <c r="H55" s="5"/>
      <c r="I55" s="5"/>
      <c r="J55" s="5">
        <v>94000000</v>
      </c>
      <c r="M55" s="205"/>
      <c r="N55" s="130"/>
      <c r="O55" s="128"/>
      <c r="P55" s="130"/>
      <c r="Q55" s="128"/>
      <c r="R55" s="266"/>
      <c r="S55" s="266"/>
      <c r="T55" s="217" t="s">
        <v>1341</v>
      </c>
      <c r="U55" s="219"/>
      <c r="V55" s="219"/>
      <c r="W55" s="219"/>
      <c r="X55" s="219"/>
      <c r="Y55" s="219"/>
      <c r="Z55" s="219"/>
      <c r="AA55" s="219"/>
      <c r="AB55" s="220">
        <f t="shared" ref="AB55:AH55" si="7">+SUM(AB56:AB57)</f>
        <v>25022736</v>
      </c>
      <c r="AC55" s="220">
        <f t="shared" si="7"/>
        <v>0</v>
      </c>
      <c r="AD55" s="220">
        <f t="shared" si="7"/>
        <v>0</v>
      </c>
      <c r="AE55" s="220">
        <f t="shared" si="7"/>
        <v>0</v>
      </c>
      <c r="AF55" s="220">
        <f t="shared" si="7"/>
        <v>2800000</v>
      </c>
      <c r="AG55" s="220">
        <f t="shared" si="7"/>
        <v>0</v>
      </c>
      <c r="AH55" s="220">
        <f t="shared" si="7"/>
        <v>2800000</v>
      </c>
      <c r="AK55" s="217" t="s">
        <v>1341</v>
      </c>
      <c r="AL55" s="219"/>
      <c r="AM55" s="219"/>
      <c r="AN55" s="219"/>
      <c r="AO55" s="219"/>
      <c r="AP55" s="219"/>
      <c r="AQ55" s="219"/>
      <c r="AR55" s="219"/>
      <c r="AS55" s="220">
        <f>+AH55</f>
        <v>2800000</v>
      </c>
    </row>
    <row r="56" spans="1:45">
      <c r="A56"/>
      <c r="B56"/>
      <c r="C56"/>
      <c r="D56" t="s">
        <v>1407</v>
      </c>
      <c r="E56"/>
      <c r="F56" s="5">
        <v>100000000</v>
      </c>
      <c r="G56" s="7">
        <v>104000000</v>
      </c>
      <c r="H56" s="5"/>
      <c r="I56" s="5"/>
      <c r="J56" s="5">
        <v>104000000</v>
      </c>
      <c r="M56" s="205"/>
      <c r="N56" s="130"/>
      <c r="O56" s="128"/>
      <c r="P56" s="130"/>
      <c r="Q56" s="128"/>
      <c r="R56" s="266"/>
      <c r="S56" s="266"/>
      <c r="T56" s="221" t="s">
        <v>135</v>
      </c>
      <c r="U56" s="219"/>
      <c r="V56" s="219"/>
      <c r="W56" s="219"/>
      <c r="X56" s="219"/>
      <c r="Y56" s="219"/>
      <c r="Z56" s="219"/>
      <c r="AA56" s="219"/>
      <c r="AB56" s="223"/>
      <c r="AC56" s="223"/>
      <c r="AD56" s="223"/>
      <c r="AE56" s="256"/>
      <c r="AF56" s="256"/>
      <c r="AG56" s="256"/>
      <c r="AH56" s="223"/>
      <c r="AK56" s="221" t="s">
        <v>135</v>
      </c>
      <c r="AL56" s="219"/>
      <c r="AM56" s="219"/>
      <c r="AN56" s="219"/>
      <c r="AO56" s="219"/>
      <c r="AP56" s="219"/>
      <c r="AQ56" s="219"/>
      <c r="AR56" s="219"/>
      <c r="AS56" s="223"/>
    </row>
    <row r="57" spans="1:45">
      <c r="A57" s="9">
        <v>8</v>
      </c>
      <c r="B57" t="s">
        <v>611</v>
      </c>
      <c r="C57">
        <v>1</v>
      </c>
      <c r="D57" t="s">
        <v>135</v>
      </c>
      <c r="E57" t="s">
        <v>128</v>
      </c>
      <c r="F57" s="5">
        <v>22592779</v>
      </c>
      <c r="G57" s="7">
        <v>25022736</v>
      </c>
      <c r="H57" s="5"/>
      <c r="I57" s="5"/>
      <c r="J57" s="5">
        <v>25022736</v>
      </c>
      <c r="M57" s="203">
        <v>8</v>
      </c>
      <c r="N57" s="130" t="s">
        <v>611</v>
      </c>
      <c r="O57" s="128">
        <v>1</v>
      </c>
      <c r="P57" s="130" t="s">
        <v>135</v>
      </c>
      <c r="Q57" s="128" t="s">
        <v>128</v>
      </c>
      <c r="R57" s="267">
        <v>0.11189823526891704</v>
      </c>
      <c r="S57" s="266">
        <f>2800000/AB57</f>
        <v>0.11189823526891704</v>
      </c>
      <c r="T57" s="221"/>
      <c r="U57" s="219" t="s">
        <v>128</v>
      </c>
      <c r="V57" s="219"/>
      <c r="W57" s="219"/>
      <c r="X57" s="219"/>
      <c r="Y57" s="219"/>
      <c r="Z57" s="219"/>
      <c r="AA57" s="219"/>
      <c r="AB57" s="223">
        <f>+GETPIVOTDATA("PPEF 2011 ",$A$4,"No. Ramo",$M57,"IPP",$N57,"PP",$O57,"Programa Presupuestario (PP)",$P57,"Unidad Responsable (UR)",$Q57)</f>
        <v>25022736</v>
      </c>
      <c r="AC57" s="223">
        <f>+GETPIVOTDATA("Reducción ",$A$4,"No. Ramo",$M57,"IPP",$N57,"PP",$O57,"Programa Presupuestario (PP)",$P57,"Unidad Responsable (UR)",$Q57)</f>
        <v>0</v>
      </c>
      <c r="AD57" s="223">
        <f>+GETPIVOTDATA("Ampliación ",$A$4,"No. Ramo",$M57,"IPP",$N57,"PP",$O57,"Programa Presupuestario (PP)",$P57,"Unidad Responsable (UR)",$Q57)</f>
        <v>0</v>
      </c>
      <c r="AE57" s="256"/>
      <c r="AF57" s="256">
        <f>+AB57*S57</f>
        <v>2800000</v>
      </c>
      <c r="AG57" s="256"/>
      <c r="AH57" s="223">
        <f>+AG57+AF57+AE57</f>
        <v>2800000</v>
      </c>
      <c r="AK57" s="221"/>
      <c r="AL57" s="219" t="s">
        <v>128</v>
      </c>
      <c r="AM57" s="219"/>
      <c r="AN57" s="219"/>
      <c r="AO57" s="219"/>
      <c r="AP57" s="219"/>
      <c r="AQ57" s="219"/>
      <c r="AR57" s="219"/>
      <c r="AS57" s="223">
        <f>+AH57</f>
        <v>2800000</v>
      </c>
    </row>
    <row r="58" spans="1:45">
      <c r="B58"/>
      <c r="C58"/>
      <c r="D58" t="s">
        <v>1408</v>
      </c>
      <c r="E58"/>
      <c r="F58" s="5">
        <v>22592779</v>
      </c>
      <c r="G58" s="7">
        <v>25022736</v>
      </c>
      <c r="H58" s="5"/>
      <c r="I58" s="5"/>
      <c r="J58" s="5">
        <v>25022736</v>
      </c>
      <c r="M58" s="210"/>
      <c r="N58" s="130"/>
      <c r="O58" s="128"/>
      <c r="P58" s="130"/>
      <c r="Q58" s="128"/>
      <c r="R58" s="266"/>
      <c r="S58" s="266"/>
      <c r="T58" s="217" t="s">
        <v>1324</v>
      </c>
      <c r="U58" s="219"/>
      <c r="V58" s="219"/>
      <c r="W58" s="219"/>
      <c r="X58" s="219"/>
      <c r="Y58" s="219"/>
      <c r="Z58" s="219"/>
      <c r="AA58" s="219"/>
      <c r="AB58" s="220">
        <f t="shared" ref="AB58:AH58" si="8">+SUM(AB59:AB62)</f>
        <v>2289479553</v>
      </c>
      <c r="AC58" s="220">
        <f t="shared" si="8"/>
        <v>0</v>
      </c>
      <c r="AD58" s="220">
        <f t="shared" si="8"/>
        <v>0</v>
      </c>
      <c r="AE58" s="220">
        <f t="shared" si="8"/>
        <v>0</v>
      </c>
      <c r="AF58" s="220">
        <f t="shared" si="8"/>
        <v>15000000</v>
      </c>
      <c r="AG58" s="220">
        <f t="shared" si="8"/>
        <v>0</v>
      </c>
      <c r="AH58" s="220">
        <f t="shared" si="8"/>
        <v>15000000</v>
      </c>
      <c r="AK58" s="217" t="s">
        <v>1324</v>
      </c>
      <c r="AL58" s="219"/>
      <c r="AM58" s="219"/>
      <c r="AN58" s="219"/>
      <c r="AO58" s="219"/>
      <c r="AP58" s="219"/>
      <c r="AQ58" s="219"/>
      <c r="AR58" s="219"/>
      <c r="AS58" s="220">
        <f>+AH58</f>
        <v>15000000</v>
      </c>
    </row>
    <row r="59" spans="1:45">
      <c r="A59" s="9">
        <v>9</v>
      </c>
      <c r="B59" t="s">
        <v>618</v>
      </c>
      <c r="C59">
        <v>7</v>
      </c>
      <c r="D59" t="s">
        <v>155</v>
      </c>
      <c r="E59" t="s">
        <v>156</v>
      </c>
      <c r="F59" s="5">
        <v>203833218</v>
      </c>
      <c r="G59" s="7">
        <v>2257764902</v>
      </c>
      <c r="H59" s="5"/>
      <c r="I59" s="5"/>
      <c r="J59" s="5">
        <v>2257764902</v>
      </c>
      <c r="M59" s="210"/>
      <c r="N59" s="130"/>
      <c r="O59" s="128"/>
      <c r="P59" s="130"/>
      <c r="Q59" s="128"/>
      <c r="R59" s="266"/>
      <c r="S59" s="266"/>
      <c r="T59" s="221" t="s">
        <v>155</v>
      </c>
      <c r="U59" s="219"/>
      <c r="V59" s="219"/>
      <c r="W59" s="219"/>
      <c r="X59" s="219"/>
      <c r="Y59" s="219"/>
      <c r="Z59" s="219"/>
      <c r="AA59" s="219"/>
      <c r="AB59" s="223"/>
      <c r="AC59" s="223"/>
      <c r="AD59" s="223"/>
      <c r="AE59" s="256"/>
      <c r="AF59" s="256"/>
      <c r="AG59" s="256"/>
      <c r="AH59" s="223"/>
      <c r="AK59" s="221" t="s">
        <v>155</v>
      </c>
      <c r="AL59" s="219"/>
      <c r="AM59" s="219"/>
      <c r="AN59" s="219"/>
      <c r="AO59" s="219"/>
      <c r="AP59" s="219"/>
      <c r="AQ59" s="219"/>
      <c r="AR59" s="219"/>
      <c r="AS59" s="223"/>
    </row>
    <row r="60" spans="1:45">
      <c r="B60"/>
      <c r="C60"/>
      <c r="D60" t="s">
        <v>1409</v>
      </c>
      <c r="E60"/>
      <c r="F60" s="5">
        <v>203833218</v>
      </c>
      <c r="G60" s="7">
        <v>2257764902</v>
      </c>
      <c r="H60" s="5"/>
      <c r="I60" s="5"/>
      <c r="J60" s="5">
        <v>2257764902</v>
      </c>
      <c r="M60" s="206">
        <v>9</v>
      </c>
      <c r="N60" s="130" t="s">
        <v>618</v>
      </c>
      <c r="O60" s="128">
        <v>7</v>
      </c>
      <c r="P60" s="130" t="s">
        <v>155</v>
      </c>
      <c r="Q60" s="128" t="s">
        <v>156</v>
      </c>
      <c r="R60" s="266">
        <v>0</v>
      </c>
      <c r="S60" s="266">
        <v>4.4291591171169691E-3</v>
      </c>
      <c r="T60" s="221"/>
      <c r="U60" s="219" t="s">
        <v>156</v>
      </c>
      <c r="V60" s="219"/>
      <c r="W60" s="219"/>
      <c r="X60" s="219"/>
      <c r="Y60" s="219"/>
      <c r="Z60" s="219"/>
      <c r="AA60" s="219"/>
      <c r="AB60" s="223">
        <f>+GETPIVOTDATA("PPEF 2011 ",$A$4,"No. Ramo",$M60,"IPP",$N60,"PP",$O60,"Programa Presupuestario (PP)",$P60,"Unidad Responsable (UR)",$Q60)</f>
        <v>2257764902</v>
      </c>
      <c r="AC60" s="223">
        <f>+GETPIVOTDATA("Reducción ",$A$4,"No. Ramo",$M60,"IPP",$N60,"PP",$O60,"Programa Presupuestario (PP)",$P60,"Unidad Responsable (UR)",$Q60)</f>
        <v>0</v>
      </c>
      <c r="AD60" s="223">
        <f>+GETPIVOTDATA("Ampliación ",$A$4,"No. Ramo",$M60,"IPP",$N60,"PP",$O60,"Programa Presupuestario (PP)",$P60,"Unidad Responsable (UR)",$Q60)</f>
        <v>0</v>
      </c>
      <c r="AE60" s="256"/>
      <c r="AF60" s="256">
        <f>+AB60*S60</f>
        <v>10000000</v>
      </c>
      <c r="AG60" s="256"/>
      <c r="AH60" s="223">
        <f>+AG60+AF60+AE60</f>
        <v>10000000</v>
      </c>
      <c r="AK60" s="221"/>
      <c r="AL60" s="219" t="s">
        <v>156</v>
      </c>
      <c r="AM60" s="219"/>
      <c r="AN60" s="219"/>
      <c r="AO60" s="219"/>
      <c r="AP60" s="219"/>
      <c r="AQ60" s="219"/>
      <c r="AR60" s="219"/>
      <c r="AS60" s="223">
        <f>+AH60</f>
        <v>10000000</v>
      </c>
    </row>
    <row r="61" spans="1:45">
      <c r="B61" t="s">
        <v>611</v>
      </c>
      <c r="C61">
        <v>1</v>
      </c>
      <c r="D61" t="s">
        <v>164</v>
      </c>
      <c r="E61" t="s">
        <v>165</v>
      </c>
      <c r="F61" s="5">
        <v>32556205</v>
      </c>
      <c r="G61" s="7">
        <v>31714651</v>
      </c>
      <c r="H61" s="5"/>
      <c r="I61" s="5"/>
      <c r="J61" s="5">
        <v>31714651</v>
      </c>
      <c r="M61" s="210"/>
      <c r="N61" s="130"/>
      <c r="O61" s="128"/>
      <c r="P61" s="130"/>
      <c r="Q61" s="128"/>
      <c r="R61" s="266"/>
      <c r="S61" s="266"/>
      <c r="T61" s="221" t="s">
        <v>164</v>
      </c>
      <c r="U61" s="219"/>
      <c r="V61" s="219"/>
      <c r="W61" s="219"/>
      <c r="X61" s="219"/>
      <c r="Y61" s="219"/>
      <c r="Z61" s="219"/>
      <c r="AA61" s="219"/>
      <c r="AB61" s="223"/>
      <c r="AC61" s="223"/>
      <c r="AD61" s="223"/>
      <c r="AE61" s="256"/>
      <c r="AF61" s="256"/>
      <c r="AG61" s="256"/>
      <c r="AH61" s="223"/>
      <c r="AK61" s="221" t="s">
        <v>164</v>
      </c>
      <c r="AL61" s="219"/>
      <c r="AM61" s="219"/>
      <c r="AN61" s="219"/>
      <c r="AO61" s="219"/>
      <c r="AP61" s="219"/>
      <c r="AQ61" s="219"/>
      <c r="AR61" s="219"/>
      <c r="AS61" s="223"/>
    </row>
    <row r="62" spans="1:45">
      <c r="B62"/>
      <c r="C62"/>
      <c r="D62" t="s">
        <v>1410</v>
      </c>
      <c r="E62"/>
      <c r="F62" s="5">
        <v>32556205</v>
      </c>
      <c r="G62" s="7">
        <v>31714651</v>
      </c>
      <c r="H62" s="5"/>
      <c r="I62" s="5"/>
      <c r="J62" s="5">
        <v>31714651</v>
      </c>
      <c r="M62" s="206">
        <v>9</v>
      </c>
      <c r="N62" s="130" t="s">
        <v>611</v>
      </c>
      <c r="O62" s="128">
        <v>1</v>
      </c>
      <c r="P62" s="130" t="s">
        <v>164</v>
      </c>
      <c r="Q62" s="128" t="s">
        <v>165</v>
      </c>
      <c r="R62" s="266">
        <v>0.15765584177483144</v>
      </c>
      <c r="S62" s="266">
        <v>0.15765584177483144</v>
      </c>
      <c r="T62" s="221"/>
      <c r="U62" s="219" t="s">
        <v>165</v>
      </c>
      <c r="V62" s="219"/>
      <c r="W62" s="219"/>
      <c r="X62" s="219"/>
      <c r="Y62" s="219"/>
      <c r="Z62" s="219"/>
      <c r="AA62" s="219"/>
      <c r="AB62" s="223">
        <f>+GETPIVOTDATA("PPEF 2011 ",$A$4,"No. Ramo",$M62,"IPP",$N62,"PP",$O62,"Programa Presupuestario (PP)",$P62,"Unidad Responsable (UR)",$Q62)</f>
        <v>31714651</v>
      </c>
      <c r="AC62" s="223">
        <f>+GETPIVOTDATA("Reducción ",$A$4,"No. Ramo",$M62,"IPP",$N62,"PP",$O62,"Programa Presupuestario (PP)",$P62,"Unidad Responsable (UR)",$Q62)</f>
        <v>0</v>
      </c>
      <c r="AD62" s="223">
        <f>+GETPIVOTDATA("Ampliación ",$A$4,"No. Ramo",$M62,"IPP",$N62,"PP",$O62,"Programa Presupuestario (PP)",$P62,"Unidad Responsable (UR)",$Q62)</f>
        <v>0</v>
      </c>
      <c r="AE62" s="256"/>
      <c r="AF62" s="256">
        <f>+AB62*S62</f>
        <v>5000000</v>
      </c>
      <c r="AG62" s="256"/>
      <c r="AH62" s="223">
        <f>+AG62+AF62+AE62</f>
        <v>5000000</v>
      </c>
      <c r="AK62" s="221"/>
      <c r="AL62" s="219" t="s">
        <v>165</v>
      </c>
      <c r="AM62" s="219"/>
      <c r="AN62" s="219"/>
      <c r="AO62" s="219"/>
      <c r="AP62" s="219"/>
      <c r="AQ62" s="219"/>
      <c r="AR62" s="219"/>
      <c r="AS62" s="223">
        <f>+AH62</f>
        <v>5000000</v>
      </c>
    </row>
    <row r="63" spans="1:45">
      <c r="A63" s="9">
        <v>10</v>
      </c>
      <c r="B63" t="s">
        <v>619</v>
      </c>
      <c r="C63">
        <v>16</v>
      </c>
      <c r="D63" t="s">
        <v>176</v>
      </c>
      <c r="E63" t="s">
        <v>171</v>
      </c>
      <c r="F63" s="5">
        <v>197250108</v>
      </c>
      <c r="G63" s="7">
        <v>208700000</v>
      </c>
      <c r="H63" s="5"/>
      <c r="I63" s="5">
        <v>50000000</v>
      </c>
      <c r="J63" s="5">
        <v>258700000</v>
      </c>
      <c r="M63" s="210"/>
      <c r="N63" s="132"/>
      <c r="O63" s="128"/>
      <c r="P63" s="130"/>
      <c r="Q63" s="128"/>
      <c r="R63" s="266"/>
      <c r="S63" s="266"/>
      <c r="T63" s="217" t="s">
        <v>1325</v>
      </c>
      <c r="U63" s="219"/>
      <c r="V63" s="219"/>
      <c r="W63" s="219"/>
      <c r="X63" s="219"/>
      <c r="Y63" s="219"/>
      <c r="Z63" s="219"/>
      <c r="AA63" s="219"/>
      <c r="AB63" s="220">
        <f t="shared" ref="AB63:AH63" si="9">+SUM(AB64:AB71)</f>
        <v>9064845070</v>
      </c>
      <c r="AC63" s="220">
        <f t="shared" si="9"/>
        <v>145453585</v>
      </c>
      <c r="AD63" s="220">
        <f t="shared" si="9"/>
        <v>600000000</v>
      </c>
      <c r="AE63" s="220">
        <f t="shared" si="9"/>
        <v>0</v>
      </c>
      <c r="AF63" s="220">
        <f t="shared" si="9"/>
        <v>981700000</v>
      </c>
      <c r="AG63" s="220">
        <f t="shared" si="9"/>
        <v>121455903.04565342</v>
      </c>
      <c r="AH63" s="220">
        <f t="shared" si="9"/>
        <v>1103155903.0456533</v>
      </c>
      <c r="AK63" s="217" t="s">
        <v>1325</v>
      </c>
      <c r="AL63" s="219"/>
      <c r="AM63" s="219"/>
      <c r="AN63" s="219"/>
      <c r="AO63" s="219"/>
      <c r="AP63" s="219"/>
      <c r="AQ63" s="219"/>
      <c r="AR63" s="219"/>
      <c r="AS63" s="220">
        <f>+AH63</f>
        <v>1103155903.0456533</v>
      </c>
    </row>
    <row r="64" spans="1:45">
      <c r="B64"/>
      <c r="C64"/>
      <c r="D64" t="s">
        <v>1411</v>
      </c>
      <c r="E64"/>
      <c r="F64" s="5">
        <v>197250108</v>
      </c>
      <c r="G64" s="7">
        <v>208700000</v>
      </c>
      <c r="H64" s="5"/>
      <c r="I64" s="5">
        <v>50000000</v>
      </c>
      <c r="J64" s="5">
        <v>258700000</v>
      </c>
      <c r="M64" s="210"/>
      <c r="N64" s="132"/>
      <c r="O64" s="128"/>
      <c r="P64" s="130"/>
      <c r="Q64" s="128"/>
      <c r="R64" s="266"/>
      <c r="S64" s="266"/>
      <c r="T64" s="221" t="s">
        <v>176</v>
      </c>
      <c r="U64" s="219"/>
      <c r="V64" s="219"/>
      <c r="W64" s="219"/>
      <c r="X64" s="219"/>
      <c r="Y64" s="219"/>
      <c r="Z64" s="219"/>
      <c r="AA64" s="219"/>
      <c r="AB64" s="223"/>
      <c r="AC64" s="223"/>
      <c r="AD64" s="223"/>
      <c r="AE64" s="256"/>
      <c r="AF64" s="256"/>
      <c r="AG64" s="256"/>
      <c r="AH64" s="223"/>
      <c r="AK64" s="221" t="s">
        <v>176</v>
      </c>
      <c r="AL64" s="219"/>
      <c r="AM64" s="219"/>
      <c r="AN64" s="219"/>
      <c r="AO64" s="219"/>
      <c r="AP64" s="219"/>
      <c r="AQ64" s="219"/>
      <c r="AR64" s="219"/>
      <c r="AS64" s="223"/>
    </row>
    <row r="65" spans="1:45">
      <c r="B65"/>
      <c r="C65">
        <v>17</v>
      </c>
      <c r="D65" t="s">
        <v>177</v>
      </c>
      <c r="E65" t="s">
        <v>170</v>
      </c>
      <c r="F65" s="5">
        <v>1808011611</v>
      </c>
      <c r="G65" s="7">
        <v>1880880295</v>
      </c>
      <c r="H65" s="5">
        <v>145453585</v>
      </c>
      <c r="I65" s="5">
        <v>300000000</v>
      </c>
      <c r="J65" s="5">
        <v>2035426710</v>
      </c>
      <c r="M65" s="206">
        <v>10</v>
      </c>
      <c r="N65" s="131" t="s">
        <v>619</v>
      </c>
      <c r="O65" s="128">
        <v>16</v>
      </c>
      <c r="P65" s="130" t="s">
        <v>176</v>
      </c>
      <c r="Q65" s="128" t="s">
        <v>171</v>
      </c>
      <c r="R65" s="266">
        <v>1</v>
      </c>
      <c r="S65" s="266">
        <v>1</v>
      </c>
      <c r="T65" s="221"/>
      <c r="U65" s="219" t="s">
        <v>171</v>
      </c>
      <c r="V65" s="219"/>
      <c r="W65" s="219"/>
      <c r="X65" s="219"/>
      <c r="Y65" s="219"/>
      <c r="Z65" s="219"/>
      <c r="AA65" s="219"/>
      <c r="AB65" s="223">
        <f>+GETPIVOTDATA("PPEF 2011 ",$A$4,"No. Ramo",$M65,"IPP",$N65,"PP",$O65,"Programa Presupuestario (PP)",$P65,"Unidad Responsable (UR)",$Q65)</f>
        <v>208700000</v>
      </c>
      <c r="AC65" s="223">
        <f>+GETPIVOTDATA("Reducción ",$A$4,"No. Ramo",$M65,"IPP",$N65,"PP",$O65,"Programa Presupuestario (PP)",$P65,"Unidad Responsable (UR)",$Q65)</f>
        <v>0</v>
      </c>
      <c r="AD65" s="223">
        <f>+GETPIVOTDATA("Ampliación ",$A$4,"No. Ramo",$M65,"IPP",$N65,"PP",$O65,"Programa Presupuestario (PP)",$P65,"Unidad Responsable (UR)",$Q65)</f>
        <v>50000000</v>
      </c>
      <c r="AE65" s="256"/>
      <c r="AF65" s="256">
        <f>+AB65*S65</f>
        <v>208700000</v>
      </c>
      <c r="AG65" s="256">
        <f>+AD65*S65</f>
        <v>50000000</v>
      </c>
      <c r="AH65" s="223">
        <f>+AG65+AF65+AE65</f>
        <v>258700000</v>
      </c>
      <c r="AK65" s="221"/>
      <c r="AL65" s="219" t="s">
        <v>171</v>
      </c>
      <c r="AM65" s="219"/>
      <c r="AN65" s="219"/>
      <c r="AO65" s="219"/>
      <c r="AP65" s="219"/>
      <c r="AQ65" s="219"/>
      <c r="AR65" s="219"/>
      <c r="AS65" s="223">
        <f>+AH65</f>
        <v>258700000</v>
      </c>
    </row>
    <row r="66" spans="1:45">
      <c r="B66"/>
      <c r="C66"/>
      <c r="D66" t="s">
        <v>1412</v>
      </c>
      <c r="E66"/>
      <c r="F66" s="5">
        <v>1808011611</v>
      </c>
      <c r="G66" s="7">
        <v>1880880295</v>
      </c>
      <c r="H66" s="5">
        <v>145453585</v>
      </c>
      <c r="I66" s="5">
        <v>300000000</v>
      </c>
      <c r="J66" s="5">
        <v>2035426710</v>
      </c>
      <c r="M66" s="206"/>
      <c r="N66" s="131"/>
      <c r="O66" s="128"/>
      <c r="P66" s="130"/>
      <c r="Q66" s="128"/>
      <c r="R66" s="266"/>
      <c r="S66" s="266"/>
      <c r="T66" s="221" t="s">
        <v>177</v>
      </c>
      <c r="U66" s="219"/>
      <c r="V66" s="219"/>
      <c r="W66" s="219"/>
      <c r="X66" s="219"/>
      <c r="Y66" s="219"/>
      <c r="Z66" s="219"/>
      <c r="AA66" s="219"/>
      <c r="AB66" s="223"/>
      <c r="AC66" s="223"/>
      <c r="AD66" s="223"/>
      <c r="AE66" s="256"/>
      <c r="AF66" s="256"/>
      <c r="AG66" s="256"/>
      <c r="AH66" s="223"/>
      <c r="AK66" s="221" t="s">
        <v>177</v>
      </c>
      <c r="AL66" s="219"/>
      <c r="AM66" s="219"/>
      <c r="AN66" s="219"/>
      <c r="AO66" s="219"/>
      <c r="AP66" s="219"/>
      <c r="AQ66" s="219"/>
      <c r="AR66" s="219"/>
      <c r="AS66" s="223"/>
    </row>
    <row r="67" spans="1:45">
      <c r="B67"/>
      <c r="C67">
        <v>20</v>
      </c>
      <c r="D67" t="s">
        <v>178</v>
      </c>
      <c r="E67" t="s">
        <v>174</v>
      </c>
      <c r="F67" s="5">
        <v>5890310654</v>
      </c>
      <c r="G67" s="7">
        <v>6755147729</v>
      </c>
      <c r="H67" s="5"/>
      <c r="I67" s="5">
        <v>250000000</v>
      </c>
      <c r="J67" s="5">
        <v>7005147729</v>
      </c>
      <c r="M67" s="206">
        <v>10</v>
      </c>
      <c r="N67" s="131" t="s">
        <v>619</v>
      </c>
      <c r="O67" s="128">
        <v>17</v>
      </c>
      <c r="P67" s="130" t="s">
        <v>177</v>
      </c>
      <c r="Q67" s="128" t="s">
        <v>170</v>
      </c>
      <c r="R67" s="266">
        <v>7.9111892657687727E-2</v>
      </c>
      <c r="S67" s="266">
        <f>448000000/AB67</f>
        <v>0.2381863434855114</v>
      </c>
      <c r="T67" s="221"/>
      <c r="U67" s="219" t="s">
        <v>170</v>
      </c>
      <c r="V67" s="219"/>
      <c r="W67" s="219"/>
      <c r="X67" s="219"/>
      <c r="Y67" s="219"/>
      <c r="Z67" s="219"/>
      <c r="AA67" s="219"/>
      <c r="AB67" s="223">
        <f>+GETPIVOTDATA("PPEF 2011 ",$A$4,"No. Ramo",$M67,"IPP",$N67,"PP",$O67,"Programa Presupuestario (PP)",$P67,"Unidad Responsable (UR)",$Q67)</f>
        <v>1880880295</v>
      </c>
      <c r="AC67" s="223">
        <f>+GETPIVOTDATA("Reducción ",$A$4,"No. Ramo",$M67,"IPP",$N67,"PP",$O67,"Programa Presupuestario (PP)",$P67,"Unidad Responsable (UR)",$Q67)</f>
        <v>145453585</v>
      </c>
      <c r="AD67" s="223">
        <f>+GETPIVOTDATA("Ampliación ",$A$4,"No. Ramo",$M67,"IPP",$N67,"PP",$O67,"Programa Presupuestario (PP)",$P67,"Unidad Responsable (UR)",$Q67)</f>
        <v>300000000</v>
      </c>
      <c r="AE67" s="256"/>
      <c r="AF67" s="256">
        <f>+AB67*S67</f>
        <v>448000000</v>
      </c>
      <c r="AG67" s="256">
        <f>+AD67*S67</f>
        <v>71455903.045653418</v>
      </c>
      <c r="AH67" s="223">
        <f>+AG67+AF67+AE67</f>
        <v>519455903.0456534</v>
      </c>
      <c r="AK67" s="221"/>
      <c r="AL67" s="219" t="s">
        <v>170</v>
      </c>
      <c r="AM67" s="219"/>
      <c r="AN67" s="219"/>
      <c r="AO67" s="219"/>
      <c r="AP67" s="219"/>
      <c r="AQ67" s="219"/>
      <c r="AR67" s="219"/>
      <c r="AS67" s="223">
        <f>+AH67</f>
        <v>519455903.0456534</v>
      </c>
    </row>
    <row r="68" spans="1:45">
      <c r="B68"/>
      <c r="C68"/>
      <c r="D68" t="s">
        <v>1413</v>
      </c>
      <c r="E68"/>
      <c r="F68" s="5">
        <v>5890310654</v>
      </c>
      <c r="G68" s="7">
        <v>6755147729</v>
      </c>
      <c r="H68" s="5"/>
      <c r="I68" s="5">
        <v>250000000</v>
      </c>
      <c r="J68" s="5">
        <v>7005147729</v>
      </c>
      <c r="M68" s="206"/>
      <c r="N68" s="131"/>
      <c r="O68" s="128"/>
      <c r="P68" s="130"/>
      <c r="Q68" s="128"/>
      <c r="R68" s="266"/>
      <c r="S68" s="266"/>
      <c r="T68" s="221" t="s">
        <v>178</v>
      </c>
      <c r="U68" s="219"/>
      <c r="V68" s="219"/>
      <c r="W68" s="219"/>
      <c r="X68" s="219"/>
      <c r="Y68" s="219"/>
      <c r="Z68" s="219"/>
      <c r="AA68" s="219"/>
      <c r="AB68" s="223"/>
      <c r="AC68" s="223"/>
      <c r="AD68" s="223"/>
      <c r="AE68" s="256"/>
      <c r="AF68" s="256"/>
      <c r="AG68" s="256"/>
      <c r="AH68" s="223"/>
      <c r="AK68" s="221" t="s">
        <v>178</v>
      </c>
      <c r="AL68" s="219"/>
      <c r="AM68" s="219"/>
      <c r="AN68" s="219"/>
      <c r="AO68" s="219"/>
      <c r="AP68" s="219"/>
      <c r="AQ68" s="219"/>
      <c r="AR68" s="219"/>
      <c r="AS68" s="223"/>
    </row>
    <row r="69" spans="1:45">
      <c r="B69"/>
      <c r="C69">
        <v>21</v>
      </c>
      <c r="D69" t="s">
        <v>179</v>
      </c>
      <c r="E69" t="s">
        <v>171</v>
      </c>
      <c r="F69" s="5">
        <v>185421998</v>
      </c>
      <c r="G69" s="7">
        <v>220117046</v>
      </c>
      <c r="H69" s="5"/>
      <c r="I69" s="5"/>
      <c r="J69" s="5">
        <v>220117046</v>
      </c>
      <c r="M69" s="206">
        <v>10</v>
      </c>
      <c r="N69" s="131" t="s">
        <v>619</v>
      </c>
      <c r="O69" s="128">
        <v>20</v>
      </c>
      <c r="P69" s="130" t="s">
        <v>178</v>
      </c>
      <c r="Q69" s="128" t="s">
        <v>174</v>
      </c>
      <c r="R69" s="266"/>
      <c r="S69" s="266">
        <v>2.0724935355444098E-2</v>
      </c>
      <c r="T69" s="221"/>
      <c r="U69" s="219" t="s">
        <v>174</v>
      </c>
      <c r="V69" s="219"/>
      <c r="W69" s="219"/>
      <c r="X69" s="219"/>
      <c r="Y69" s="219"/>
      <c r="Z69" s="219"/>
      <c r="AA69" s="219"/>
      <c r="AB69" s="223">
        <f>+GETPIVOTDATA("PPEF 2011 ",$A$4,"No. Ramo",$M69,"IPP",$N69,"PP",$O69,"Programa Presupuestario (PP)",$P69,"Unidad Responsable (UR)",$Q69)</f>
        <v>6755147729</v>
      </c>
      <c r="AC69" s="223">
        <f>+GETPIVOTDATA("Reducción ",$A$4,"No. Ramo",$M69,"IPP",$N69,"PP",$O69,"Programa Presupuestario (PP)",$P69,"Unidad Responsable (UR)",$Q69)</f>
        <v>0</v>
      </c>
      <c r="AD69" s="223">
        <f>+GETPIVOTDATA("Ampliación ",$A$4,"No. Ramo",$M69,"IPP",$N69,"PP",$O69,"Programa Presupuestario (PP)",$P69,"Unidad Responsable (UR)",$Q69)</f>
        <v>250000000</v>
      </c>
      <c r="AE69" s="256"/>
      <c r="AF69" s="256">
        <f>+AB69*S69</f>
        <v>140000000</v>
      </c>
      <c r="AG69" s="256"/>
      <c r="AH69" s="223">
        <f>+AG69+AF69+AE69</f>
        <v>140000000</v>
      </c>
      <c r="AK69" s="221"/>
      <c r="AL69" s="219" t="s">
        <v>174</v>
      </c>
      <c r="AM69" s="219"/>
      <c r="AN69" s="219"/>
      <c r="AO69" s="219"/>
      <c r="AP69" s="219"/>
      <c r="AQ69" s="219"/>
      <c r="AR69" s="219"/>
      <c r="AS69" s="223">
        <f>+AH69</f>
        <v>140000000</v>
      </c>
    </row>
    <row r="70" spans="1:45">
      <c r="B70"/>
      <c r="C70"/>
      <c r="D70" t="s">
        <v>1414</v>
      </c>
      <c r="E70"/>
      <c r="F70" s="5">
        <v>185421998</v>
      </c>
      <c r="G70" s="7">
        <v>220117046</v>
      </c>
      <c r="H70" s="5"/>
      <c r="I70" s="5"/>
      <c r="J70" s="5">
        <v>220117046</v>
      </c>
      <c r="M70" s="210"/>
      <c r="N70" s="132"/>
      <c r="O70" s="128"/>
      <c r="P70" s="130"/>
      <c r="Q70" s="128"/>
      <c r="R70" s="266"/>
      <c r="S70" s="266"/>
      <c r="T70" s="221" t="s">
        <v>179</v>
      </c>
      <c r="U70" s="219"/>
      <c r="V70" s="219"/>
      <c r="W70" s="219"/>
      <c r="X70" s="219"/>
      <c r="Y70" s="219"/>
      <c r="Z70" s="219"/>
      <c r="AA70" s="219"/>
      <c r="AB70" s="223"/>
      <c r="AC70" s="223"/>
      <c r="AD70" s="223"/>
      <c r="AE70" s="256"/>
      <c r="AF70" s="256"/>
      <c r="AG70" s="256"/>
      <c r="AH70" s="223"/>
      <c r="AK70" s="221" t="s">
        <v>179</v>
      </c>
      <c r="AL70" s="219"/>
      <c r="AM70" s="219"/>
      <c r="AN70" s="219"/>
      <c r="AO70" s="219"/>
      <c r="AP70" s="219"/>
      <c r="AQ70" s="219"/>
      <c r="AR70" s="219"/>
      <c r="AS70" s="223"/>
    </row>
    <row r="71" spans="1:45">
      <c r="A71" s="9">
        <v>11</v>
      </c>
      <c r="B71" t="s">
        <v>613</v>
      </c>
      <c r="C71">
        <v>32</v>
      </c>
      <c r="D71" t="s">
        <v>202</v>
      </c>
      <c r="E71" t="s">
        <v>203</v>
      </c>
      <c r="F71" s="5">
        <v>62872568</v>
      </c>
      <c r="G71" s="7">
        <v>52772806</v>
      </c>
      <c r="H71" s="5"/>
      <c r="I71" s="5">
        <v>75000000</v>
      </c>
      <c r="J71" s="5">
        <v>127772806</v>
      </c>
      <c r="M71" s="206">
        <v>10</v>
      </c>
      <c r="N71" s="131" t="s">
        <v>619</v>
      </c>
      <c r="O71" s="128">
        <v>21</v>
      </c>
      <c r="P71" s="130" t="s">
        <v>179</v>
      </c>
      <c r="Q71" s="128" t="s">
        <v>171</v>
      </c>
      <c r="R71" s="266">
        <v>0.84046194223413306</v>
      </c>
      <c r="S71" s="266">
        <v>0.84046194223413306</v>
      </c>
      <c r="T71" s="221"/>
      <c r="U71" s="219" t="s">
        <v>171</v>
      </c>
      <c r="V71" s="219"/>
      <c r="W71" s="219"/>
      <c r="X71" s="219"/>
      <c r="Y71" s="219"/>
      <c r="Z71" s="219"/>
      <c r="AA71" s="219"/>
      <c r="AB71" s="223">
        <f>+GETPIVOTDATA("PPEF 2011 ",$A$4,"No. Ramo",$M71,"IPP",$N71,"PP",$O71,"Programa Presupuestario (PP)",$P71,"Unidad Responsable (UR)",$Q71)</f>
        <v>220117046</v>
      </c>
      <c r="AC71" s="223">
        <f>+GETPIVOTDATA("Reducción ",$A$4,"No. Ramo",$M71,"IPP",$N71,"PP",$O71,"Programa Presupuestario (PP)",$P71,"Unidad Responsable (UR)",$Q71)</f>
        <v>0</v>
      </c>
      <c r="AD71" s="223">
        <f>+GETPIVOTDATA("Ampliación ",$A$4,"No. Ramo",$M71,"IPP",$N71,"PP",$O71,"Programa Presupuestario (PP)",$P71,"Unidad Responsable (UR)",$Q71)</f>
        <v>0</v>
      </c>
      <c r="AE71" s="256"/>
      <c r="AF71" s="256">
        <f>+AB71*S71</f>
        <v>185000000</v>
      </c>
      <c r="AG71" s="256"/>
      <c r="AH71" s="223">
        <f>+AG71+AF71+AE71</f>
        <v>185000000</v>
      </c>
      <c r="AK71" s="221"/>
      <c r="AL71" s="219" t="s">
        <v>171</v>
      </c>
      <c r="AM71" s="219"/>
      <c r="AN71" s="219"/>
      <c r="AO71" s="219"/>
      <c r="AP71" s="219"/>
      <c r="AQ71" s="219"/>
      <c r="AR71" s="219"/>
      <c r="AS71" s="223">
        <f>+AH71</f>
        <v>185000000</v>
      </c>
    </row>
    <row r="72" spans="1:45">
      <c r="B72"/>
      <c r="C72"/>
      <c r="D72" t="s">
        <v>1415</v>
      </c>
      <c r="E72"/>
      <c r="F72" s="5">
        <v>62872568</v>
      </c>
      <c r="G72" s="7">
        <v>52772806</v>
      </c>
      <c r="H72" s="5"/>
      <c r="I72" s="5">
        <v>75000000</v>
      </c>
      <c r="J72" s="5">
        <v>127772806</v>
      </c>
      <c r="M72" s="210"/>
      <c r="N72" s="130"/>
      <c r="O72" s="128"/>
      <c r="P72" s="130"/>
      <c r="Q72" s="128"/>
      <c r="R72" s="266"/>
      <c r="S72" s="266"/>
      <c r="T72" s="217" t="s">
        <v>1342</v>
      </c>
      <c r="U72" s="219"/>
      <c r="V72" s="219"/>
      <c r="W72" s="219"/>
      <c r="X72" s="219"/>
      <c r="Y72" s="219"/>
      <c r="Z72" s="219"/>
      <c r="AA72" s="219"/>
      <c r="AB72" s="220">
        <f t="shared" ref="AB72:AH72" si="10">+SUM(AB73:AB86)</f>
        <v>4243861356</v>
      </c>
      <c r="AC72" s="220">
        <f t="shared" si="10"/>
        <v>0</v>
      </c>
      <c r="AD72" s="220">
        <f t="shared" si="10"/>
        <v>1229947488</v>
      </c>
      <c r="AE72" s="220">
        <f t="shared" si="10"/>
        <v>131000000</v>
      </c>
      <c r="AF72" s="220">
        <f t="shared" si="10"/>
        <v>311171421</v>
      </c>
      <c r="AG72" s="220">
        <f t="shared" si="10"/>
        <v>45000000</v>
      </c>
      <c r="AH72" s="220">
        <f t="shared" si="10"/>
        <v>487171421</v>
      </c>
      <c r="AK72" s="217" t="s">
        <v>1342</v>
      </c>
      <c r="AL72" s="219"/>
      <c r="AM72" s="219"/>
      <c r="AN72" s="219"/>
      <c r="AO72" s="219"/>
      <c r="AP72" s="219"/>
      <c r="AQ72" s="219"/>
      <c r="AR72" s="219"/>
      <c r="AS72" s="220">
        <f>+AH72</f>
        <v>487171421</v>
      </c>
    </row>
    <row r="73" spans="1:45">
      <c r="B73" t="s">
        <v>611</v>
      </c>
      <c r="C73">
        <v>1</v>
      </c>
      <c r="D73" t="s">
        <v>181</v>
      </c>
      <c r="E73" t="s">
        <v>205</v>
      </c>
      <c r="F73" s="5">
        <v>51545763</v>
      </c>
      <c r="G73" s="7">
        <v>45645356</v>
      </c>
      <c r="H73" s="5"/>
      <c r="I73" s="5"/>
      <c r="J73" s="5">
        <v>45645356</v>
      </c>
      <c r="M73" s="210"/>
      <c r="N73" s="130"/>
      <c r="O73" s="128"/>
      <c r="P73" s="130"/>
      <c r="Q73" s="128"/>
      <c r="R73" s="266"/>
      <c r="S73" s="266"/>
      <c r="T73" s="221" t="s">
        <v>202</v>
      </c>
      <c r="U73" s="219"/>
      <c r="V73" s="219"/>
      <c r="W73" s="219"/>
      <c r="X73" s="219"/>
      <c r="Y73" s="219"/>
      <c r="Z73" s="219"/>
      <c r="AA73" s="219"/>
      <c r="AB73" s="223"/>
      <c r="AC73" s="223"/>
      <c r="AD73" s="223"/>
      <c r="AE73" s="256"/>
      <c r="AF73" s="256"/>
      <c r="AG73" s="256"/>
      <c r="AH73" s="223"/>
      <c r="AK73" s="221" t="s">
        <v>202</v>
      </c>
      <c r="AL73" s="219"/>
      <c r="AM73" s="219"/>
      <c r="AN73" s="219"/>
      <c r="AO73" s="219"/>
      <c r="AP73" s="219"/>
      <c r="AQ73" s="219"/>
      <c r="AR73" s="219"/>
      <c r="AS73" s="223"/>
    </row>
    <row r="74" spans="1:45">
      <c r="B74"/>
      <c r="C74"/>
      <c r="D74" t="s">
        <v>1416</v>
      </c>
      <c r="E74"/>
      <c r="F74" s="5">
        <v>51545763</v>
      </c>
      <c r="G74" s="7">
        <v>45645356</v>
      </c>
      <c r="H74" s="5"/>
      <c r="I74" s="5"/>
      <c r="J74" s="5">
        <v>45645356</v>
      </c>
      <c r="M74" s="206">
        <v>11</v>
      </c>
      <c r="N74" s="130" t="s">
        <v>613</v>
      </c>
      <c r="O74" s="128">
        <v>32</v>
      </c>
      <c r="P74" s="130" t="s">
        <v>202</v>
      </c>
      <c r="Q74" s="128" t="s">
        <v>203</v>
      </c>
      <c r="R74" s="266">
        <v>1</v>
      </c>
      <c r="S74" s="266">
        <v>1</v>
      </c>
      <c r="T74" s="221"/>
      <c r="U74" s="219" t="s">
        <v>203</v>
      </c>
      <c r="V74" s="219"/>
      <c r="W74" s="219"/>
      <c r="X74" s="219"/>
      <c r="Y74" s="219"/>
      <c r="Z74" s="219"/>
      <c r="AA74" s="219"/>
      <c r="AB74" s="223">
        <f>+GETPIVOTDATA("PPEF 2011 ",$A$4,"No. Ramo",$M74,"IPP",$N74,"PP",$O74,"Programa Presupuestario (PP)",$P74,"Unidad Responsable (UR)",$Q74)</f>
        <v>52772806</v>
      </c>
      <c r="AC74" s="223">
        <f>+GETPIVOTDATA("Reducción ",$A$4,"No. Ramo",$M74,"IPP",$N74,"PP",$O74,"Programa Presupuestario (PP)",$P74,"Unidad Responsable (UR)",$Q74)</f>
        <v>0</v>
      </c>
      <c r="AD74" s="223">
        <f>+GETPIVOTDATA("Ampliación ",$A$4,"No. Ramo",$M74,"IPP",$N74,"PP",$O74,"Programa Presupuestario (PP)",$P74,"Unidad Responsable (UR)",$Q74)</f>
        <v>75000000</v>
      </c>
      <c r="AE74" s="256">
        <f>+AD74</f>
        <v>75000000</v>
      </c>
      <c r="AF74" s="256">
        <f>+AB74*S74</f>
        <v>52772806</v>
      </c>
      <c r="AG74" s="256"/>
      <c r="AH74" s="223">
        <f>+AG74+AF74+AE74</f>
        <v>127772806</v>
      </c>
      <c r="AK74" s="221"/>
      <c r="AL74" s="219" t="s">
        <v>203</v>
      </c>
      <c r="AM74" s="219"/>
      <c r="AN74" s="219"/>
      <c r="AO74" s="219"/>
      <c r="AP74" s="219"/>
      <c r="AQ74" s="219"/>
      <c r="AR74" s="219"/>
      <c r="AS74" s="223">
        <f>+AH74</f>
        <v>127772806</v>
      </c>
    </row>
    <row r="75" spans="1:45">
      <c r="B75" t="s">
        <v>619</v>
      </c>
      <c r="C75">
        <v>108</v>
      </c>
      <c r="D75" t="s">
        <v>213</v>
      </c>
      <c r="E75" t="s">
        <v>208</v>
      </c>
      <c r="F75" s="5">
        <v>51419374</v>
      </c>
      <c r="G75" s="7">
        <v>65340300</v>
      </c>
      <c r="H75" s="5"/>
      <c r="I75" s="5"/>
      <c r="J75" s="5">
        <v>65340300</v>
      </c>
      <c r="M75" s="206"/>
      <c r="N75" s="132"/>
      <c r="O75" s="128"/>
      <c r="P75" s="130"/>
      <c r="Q75" s="128"/>
      <c r="R75" s="266"/>
      <c r="S75" s="266"/>
      <c r="T75" s="221" t="s">
        <v>213</v>
      </c>
      <c r="U75" s="219"/>
      <c r="V75" s="219"/>
      <c r="W75" s="219"/>
      <c r="X75" s="219"/>
      <c r="Y75" s="219"/>
      <c r="Z75" s="219"/>
      <c r="AA75" s="219"/>
      <c r="AB75" s="223"/>
      <c r="AC75" s="223"/>
      <c r="AD75" s="223"/>
      <c r="AE75" s="256"/>
      <c r="AF75" s="256"/>
      <c r="AG75" s="256"/>
      <c r="AH75" s="223"/>
      <c r="AK75" s="221" t="s">
        <v>213</v>
      </c>
      <c r="AL75" s="219"/>
      <c r="AM75" s="219"/>
      <c r="AN75" s="219"/>
      <c r="AO75" s="219"/>
      <c r="AP75" s="219"/>
      <c r="AQ75" s="219"/>
      <c r="AR75" s="219"/>
      <c r="AS75" s="223"/>
    </row>
    <row r="76" spans="1:45">
      <c r="B76"/>
      <c r="C76"/>
      <c r="D76" t="s">
        <v>1417</v>
      </c>
      <c r="E76"/>
      <c r="F76" s="5">
        <v>51419374</v>
      </c>
      <c r="G76" s="7">
        <v>65340300</v>
      </c>
      <c r="H76" s="5"/>
      <c r="I76" s="5"/>
      <c r="J76" s="5">
        <v>65340300</v>
      </c>
      <c r="M76" s="206">
        <v>11</v>
      </c>
      <c r="N76" s="131" t="s">
        <v>619</v>
      </c>
      <c r="O76" s="128">
        <v>108</v>
      </c>
      <c r="P76" s="130" t="s">
        <v>213</v>
      </c>
      <c r="Q76" s="128" t="s">
        <v>208</v>
      </c>
      <c r="R76" s="266">
        <v>1</v>
      </c>
      <c r="S76" s="266">
        <v>1</v>
      </c>
      <c r="T76" s="221"/>
      <c r="U76" s="219" t="s">
        <v>208</v>
      </c>
      <c r="V76" s="219"/>
      <c r="W76" s="219"/>
      <c r="X76" s="219"/>
      <c r="Y76" s="219"/>
      <c r="Z76" s="219"/>
      <c r="AA76" s="219"/>
      <c r="AB76" s="223">
        <f>+GETPIVOTDATA("PPEF 2011 ",$A$4,"No. Ramo",$M76,"IPP",$N76,"PP",$O76,"Programa Presupuestario (PP)",$P76,"Unidad Responsable (UR)",$Q76)</f>
        <v>65340300</v>
      </c>
      <c r="AC76" s="223">
        <f>+GETPIVOTDATA("Reducción ",$A$4,"No. Ramo",$M76,"IPP",$N76,"PP",$O76,"Programa Presupuestario (PP)",$P76,"Unidad Responsable (UR)",$Q76)</f>
        <v>0</v>
      </c>
      <c r="AD76" s="223">
        <f>+GETPIVOTDATA("Ampliación ",$A$4,"No. Ramo",$M76,"IPP",$N76,"PP",$O76,"Programa Presupuestario (PP)",$P76,"Unidad Responsable (UR)",$Q76)</f>
        <v>0</v>
      </c>
      <c r="AE76" s="256"/>
      <c r="AF76" s="256">
        <f>+AB76*S76</f>
        <v>65340300</v>
      </c>
      <c r="AG76" s="256">
        <f>+AD76*S76</f>
        <v>0</v>
      </c>
      <c r="AH76" s="223">
        <f>+AG76+AF76+AE76</f>
        <v>65340300</v>
      </c>
      <c r="AK76" s="221"/>
      <c r="AL76" s="219" t="s">
        <v>208</v>
      </c>
      <c r="AM76" s="219"/>
      <c r="AN76" s="219"/>
      <c r="AO76" s="219"/>
      <c r="AP76" s="219"/>
      <c r="AQ76" s="219"/>
      <c r="AR76" s="219"/>
      <c r="AS76" s="223">
        <f>+AH76</f>
        <v>65340300</v>
      </c>
    </row>
    <row r="77" spans="1:45">
      <c r="B77"/>
      <c r="C77">
        <v>111</v>
      </c>
      <c r="D77" t="s">
        <v>214</v>
      </c>
      <c r="E77" t="s">
        <v>208</v>
      </c>
      <c r="F77" s="5">
        <v>100745291</v>
      </c>
      <c r="G77" s="7">
        <v>114006554</v>
      </c>
      <c r="H77" s="5"/>
      <c r="I77" s="5">
        <v>45000000</v>
      </c>
      <c r="J77" s="5">
        <v>159006554</v>
      </c>
      <c r="M77" s="206"/>
      <c r="N77" s="131"/>
      <c r="O77" s="128"/>
      <c r="P77" s="130"/>
      <c r="Q77" s="128"/>
      <c r="R77" s="266"/>
      <c r="S77" s="266"/>
      <c r="T77" s="221" t="s">
        <v>214</v>
      </c>
      <c r="U77" s="219"/>
      <c r="V77" s="219"/>
      <c r="W77" s="219"/>
      <c r="X77" s="219"/>
      <c r="Y77" s="219"/>
      <c r="Z77" s="219"/>
      <c r="AA77" s="219"/>
      <c r="AB77" s="223"/>
      <c r="AC77" s="223"/>
      <c r="AD77" s="223"/>
      <c r="AE77" s="256"/>
      <c r="AF77" s="256"/>
      <c r="AG77" s="256"/>
      <c r="AH77" s="223"/>
      <c r="AK77" s="221" t="s">
        <v>214</v>
      </c>
      <c r="AL77" s="219"/>
      <c r="AM77" s="219"/>
      <c r="AN77" s="219"/>
      <c r="AO77" s="219"/>
      <c r="AP77" s="219"/>
      <c r="AQ77" s="219"/>
      <c r="AR77" s="219"/>
      <c r="AS77" s="223"/>
    </row>
    <row r="78" spans="1:45">
      <c r="B78"/>
      <c r="C78"/>
      <c r="D78" t="s">
        <v>1418</v>
      </c>
      <c r="E78"/>
      <c r="F78" s="5">
        <v>100745291</v>
      </c>
      <c r="G78" s="7">
        <v>114006554</v>
      </c>
      <c r="H78" s="5"/>
      <c r="I78" s="5">
        <v>45000000</v>
      </c>
      <c r="J78" s="5">
        <v>159006554</v>
      </c>
      <c r="M78" s="206">
        <v>11</v>
      </c>
      <c r="N78" s="131" t="s">
        <v>619</v>
      </c>
      <c r="O78" s="128">
        <v>111</v>
      </c>
      <c r="P78" s="130" t="s">
        <v>214</v>
      </c>
      <c r="Q78" s="128" t="s">
        <v>208</v>
      </c>
      <c r="R78" s="266">
        <v>1</v>
      </c>
      <c r="S78" s="266">
        <v>1</v>
      </c>
      <c r="T78" s="221"/>
      <c r="U78" s="219" t="s">
        <v>208</v>
      </c>
      <c r="V78" s="219"/>
      <c r="W78" s="219"/>
      <c r="X78" s="219"/>
      <c r="Y78" s="219"/>
      <c r="Z78" s="219"/>
      <c r="AA78" s="219"/>
      <c r="AB78" s="223">
        <f>+GETPIVOTDATA("PPEF 2011 ",$A$4,"No. Ramo",$M78,"IPP",$N78,"PP",$O78,"Programa Presupuestario (PP)",$P78,"Unidad Responsable (UR)",$Q78)</f>
        <v>114006554</v>
      </c>
      <c r="AC78" s="223">
        <f>+GETPIVOTDATA("Reducción ",$A$4,"No. Ramo",$M78,"IPP",$N78,"PP",$O78,"Programa Presupuestario (PP)",$P78,"Unidad Responsable (UR)",$Q78)</f>
        <v>0</v>
      </c>
      <c r="AD78" s="223">
        <f>+GETPIVOTDATA("Ampliación ",$A$4,"No. Ramo",$M78,"IPP",$N78,"PP",$O78,"Programa Presupuestario (PP)",$P78,"Unidad Responsable (UR)",$Q78)</f>
        <v>45000000</v>
      </c>
      <c r="AE78" s="256"/>
      <c r="AF78" s="256">
        <f>+AB78*S78</f>
        <v>114006554</v>
      </c>
      <c r="AG78" s="256">
        <f>+AD78*S78</f>
        <v>45000000</v>
      </c>
      <c r="AH78" s="223">
        <f>+AG78+AF78+AE78</f>
        <v>159006554</v>
      </c>
      <c r="AK78" s="221"/>
      <c r="AL78" s="219" t="s">
        <v>208</v>
      </c>
      <c r="AM78" s="219"/>
      <c r="AN78" s="219"/>
      <c r="AO78" s="219"/>
      <c r="AP78" s="219"/>
      <c r="AQ78" s="219"/>
      <c r="AR78" s="219"/>
      <c r="AS78" s="223">
        <f>+AH78</f>
        <v>159006554</v>
      </c>
    </row>
    <row r="79" spans="1:45">
      <c r="B79"/>
      <c r="C79">
        <v>127</v>
      </c>
      <c r="D79" t="s">
        <v>216</v>
      </c>
      <c r="E79" t="s">
        <v>209</v>
      </c>
      <c r="F79" s="5">
        <v>29551761</v>
      </c>
      <c r="G79" s="7">
        <v>29551761</v>
      </c>
      <c r="H79" s="5"/>
      <c r="I79" s="5"/>
      <c r="J79" s="5">
        <v>29551761</v>
      </c>
      <c r="M79" s="206"/>
      <c r="N79" s="131"/>
      <c r="O79" s="128"/>
      <c r="P79" s="130"/>
      <c r="Q79" s="128"/>
      <c r="R79" s="266"/>
      <c r="S79" s="266"/>
      <c r="T79" s="221" t="s">
        <v>216</v>
      </c>
      <c r="U79" s="219"/>
      <c r="V79" s="219"/>
      <c r="W79" s="219"/>
      <c r="X79" s="219"/>
      <c r="Y79" s="219"/>
      <c r="Z79" s="219"/>
      <c r="AA79" s="219"/>
      <c r="AB79" s="223"/>
      <c r="AC79" s="223"/>
      <c r="AD79" s="223"/>
      <c r="AE79" s="256"/>
      <c r="AF79" s="256"/>
      <c r="AG79" s="256"/>
      <c r="AH79" s="223"/>
      <c r="AK79" s="386" t="s">
        <v>216</v>
      </c>
      <c r="AL79" s="387"/>
      <c r="AM79" s="387"/>
      <c r="AN79" s="387"/>
      <c r="AO79" s="387"/>
      <c r="AP79" s="387"/>
      <c r="AQ79" s="387"/>
      <c r="AR79" s="388"/>
      <c r="AS79" s="223"/>
    </row>
    <row r="80" spans="1:45">
      <c r="B80"/>
      <c r="C80"/>
      <c r="D80" t="s">
        <v>1419</v>
      </c>
      <c r="E80"/>
      <c r="F80" s="5">
        <v>29551761</v>
      </c>
      <c r="G80" s="7">
        <v>29551761</v>
      </c>
      <c r="H80" s="5"/>
      <c r="I80" s="5"/>
      <c r="J80" s="5">
        <v>29551761</v>
      </c>
      <c r="M80" s="206">
        <v>11</v>
      </c>
      <c r="N80" s="131" t="s">
        <v>619</v>
      </c>
      <c r="O80" s="128">
        <v>127</v>
      </c>
      <c r="P80" s="130" t="s">
        <v>216</v>
      </c>
      <c r="Q80" s="128" t="s">
        <v>209</v>
      </c>
      <c r="R80" s="266">
        <v>1</v>
      </c>
      <c r="S80" s="266">
        <v>1</v>
      </c>
      <c r="T80" s="221"/>
      <c r="U80" s="219" t="s">
        <v>209</v>
      </c>
      <c r="V80" s="219"/>
      <c r="W80" s="219"/>
      <c r="X80" s="219"/>
      <c r="Y80" s="219"/>
      <c r="Z80" s="219"/>
      <c r="AA80" s="219"/>
      <c r="AB80" s="223">
        <f>+GETPIVOTDATA("PPEF 2011 ",$A$4,"No. Ramo",$M80,"IPP",$N80,"PP",$O80,"Programa Presupuestario (PP)",$P80,"Unidad Responsable (UR)",$Q80)</f>
        <v>29551761</v>
      </c>
      <c r="AC80" s="223">
        <f>+GETPIVOTDATA("Reducción ",$A$4,"No. Ramo",$M80,"IPP",$N80,"PP",$O80,"Programa Presupuestario (PP)",$P80,"Unidad Responsable (UR)",$Q80)</f>
        <v>0</v>
      </c>
      <c r="AD80" s="223">
        <f>+GETPIVOTDATA("Ampliación ",$A$4,"No. Ramo",$M80,"IPP",$N80,"PP",$O80,"Programa Presupuestario (PP)",$P80,"Unidad Responsable (UR)",$Q80)</f>
        <v>0</v>
      </c>
      <c r="AE80" s="256"/>
      <c r="AF80" s="256">
        <f>+AB80*S80</f>
        <v>29551761</v>
      </c>
      <c r="AG80" s="256">
        <f>+AD80*S80</f>
        <v>0</v>
      </c>
      <c r="AH80" s="223">
        <f>+AG80+AF80+AE80</f>
        <v>29551761</v>
      </c>
      <c r="AK80" s="221"/>
      <c r="AL80" s="219" t="s">
        <v>209</v>
      </c>
      <c r="AM80" s="219"/>
      <c r="AN80" s="219"/>
      <c r="AO80" s="219"/>
      <c r="AP80" s="219"/>
      <c r="AQ80" s="219"/>
      <c r="AR80" s="219"/>
      <c r="AS80" s="223">
        <f>+AH80</f>
        <v>29551761</v>
      </c>
    </row>
    <row r="81" spans="1:45">
      <c r="B81"/>
      <c r="C81">
        <v>205</v>
      </c>
      <c r="D81" t="s">
        <v>199</v>
      </c>
      <c r="E81" t="s">
        <v>200</v>
      </c>
      <c r="F81" s="5">
        <v>2396042934</v>
      </c>
      <c r="G81" s="7">
        <v>1587718557</v>
      </c>
      <c r="H81" s="5"/>
      <c r="I81" s="5">
        <v>1053947488</v>
      </c>
      <c r="J81" s="5">
        <v>2641666045</v>
      </c>
      <c r="M81" s="206"/>
      <c r="N81" s="131"/>
      <c r="O81" s="128"/>
      <c r="P81" s="130"/>
      <c r="Q81" s="128"/>
      <c r="R81" s="266"/>
      <c r="S81" s="266"/>
      <c r="T81" s="221" t="s">
        <v>199</v>
      </c>
      <c r="U81" s="219"/>
      <c r="V81" s="219"/>
      <c r="W81" s="219"/>
      <c r="X81" s="219"/>
      <c r="Y81" s="219"/>
      <c r="Z81" s="219"/>
      <c r="AA81" s="219"/>
      <c r="AB81" s="223"/>
      <c r="AC81" s="223"/>
      <c r="AD81" s="223"/>
      <c r="AE81" s="256"/>
      <c r="AF81" s="256"/>
      <c r="AG81" s="256"/>
      <c r="AH81" s="223"/>
      <c r="AK81" s="221" t="s">
        <v>199</v>
      </c>
      <c r="AL81" s="219"/>
      <c r="AM81" s="219"/>
      <c r="AN81" s="219"/>
      <c r="AO81" s="219"/>
      <c r="AP81" s="219"/>
      <c r="AQ81" s="219"/>
      <c r="AR81" s="219"/>
      <c r="AS81" s="223"/>
    </row>
    <row r="82" spans="1:45">
      <c r="B82"/>
      <c r="C82"/>
      <c r="D82" t="s">
        <v>1420</v>
      </c>
      <c r="E82"/>
      <c r="F82" s="5">
        <v>2396042934</v>
      </c>
      <c r="G82" s="7">
        <v>1587718557</v>
      </c>
      <c r="H82" s="5"/>
      <c r="I82" s="5">
        <v>1053947488</v>
      </c>
      <c r="J82" s="5">
        <v>2641666045</v>
      </c>
      <c r="M82" s="206">
        <v>11</v>
      </c>
      <c r="N82" s="131" t="s">
        <v>619</v>
      </c>
      <c r="O82" s="128">
        <v>205</v>
      </c>
      <c r="P82" s="130" t="s">
        <v>199</v>
      </c>
      <c r="Q82" s="128" t="s">
        <v>200</v>
      </c>
      <c r="R82" s="266">
        <v>0</v>
      </c>
      <c r="S82" s="266">
        <v>2.2044209186628534E-2</v>
      </c>
      <c r="T82" s="221"/>
      <c r="U82" s="219" t="s">
        <v>200</v>
      </c>
      <c r="V82" s="219"/>
      <c r="W82" s="219"/>
      <c r="X82" s="219"/>
      <c r="Y82" s="219"/>
      <c r="Z82" s="219"/>
      <c r="AA82" s="219"/>
      <c r="AB82" s="223">
        <f>+GETPIVOTDATA("PPEF 2011 ",$A$4,"No. Ramo",$M82,"IPP",$N82,"PP",$O82,"Programa Presupuestario (PP)",$P82,"Unidad Responsable (UR)",$Q82)</f>
        <v>1587718557</v>
      </c>
      <c r="AC82" s="223">
        <f>+GETPIVOTDATA("Reducción ",$A$4,"No. Ramo",$M82,"IPP",$N82,"PP",$O82,"Programa Presupuestario (PP)",$P82,"Unidad Responsable (UR)",$Q82)</f>
        <v>0</v>
      </c>
      <c r="AD82" s="223">
        <f>+GETPIVOTDATA("Ampliación ",$A$4,"No. Ramo",$M82,"IPP",$N82,"PP",$O82,"Programa Presupuestario (PP)",$P82,"Unidad Responsable (UR)",$Q82)</f>
        <v>1053947488</v>
      </c>
      <c r="AE82" s="256"/>
      <c r="AF82" s="256">
        <f>+AB82*S82</f>
        <v>35000000</v>
      </c>
      <c r="AG82" s="256"/>
      <c r="AH82" s="223">
        <f>+AG82+AF82+AE82</f>
        <v>35000000</v>
      </c>
      <c r="AK82" s="221"/>
      <c r="AL82" s="219" t="s">
        <v>200</v>
      </c>
      <c r="AM82" s="219"/>
      <c r="AN82" s="219"/>
      <c r="AO82" s="219"/>
      <c r="AP82" s="219"/>
      <c r="AQ82" s="219"/>
      <c r="AR82" s="219"/>
      <c r="AS82" s="223">
        <f>+AH82</f>
        <v>35000000</v>
      </c>
    </row>
    <row r="83" spans="1:45">
      <c r="B83"/>
      <c r="C83">
        <v>235</v>
      </c>
      <c r="D83" t="s">
        <v>218</v>
      </c>
      <c r="E83" t="s">
        <v>206</v>
      </c>
      <c r="F83" s="5">
        <v>1432305877</v>
      </c>
      <c r="G83" s="7">
        <v>1551799120</v>
      </c>
      <c r="H83" s="5"/>
      <c r="I83" s="5">
        <v>50000000</v>
      </c>
      <c r="J83" s="5">
        <v>1601799120</v>
      </c>
      <c r="M83" s="206"/>
      <c r="N83" s="132"/>
      <c r="O83" s="128"/>
      <c r="P83" s="130"/>
      <c r="Q83" s="128"/>
      <c r="R83" s="266"/>
      <c r="S83" s="266"/>
      <c r="T83" s="221" t="s">
        <v>218</v>
      </c>
      <c r="U83" s="219"/>
      <c r="V83" s="219"/>
      <c r="W83" s="219"/>
      <c r="X83" s="219"/>
      <c r="Y83" s="219"/>
      <c r="Z83" s="219"/>
      <c r="AA83" s="219"/>
      <c r="AB83" s="223"/>
      <c r="AC83" s="223"/>
      <c r="AD83" s="223"/>
      <c r="AE83" s="256"/>
      <c r="AF83" s="256"/>
      <c r="AG83" s="256"/>
      <c r="AH83" s="223"/>
      <c r="AK83" s="221" t="s">
        <v>218</v>
      </c>
      <c r="AL83" s="219"/>
      <c r="AM83" s="219"/>
      <c r="AN83" s="219"/>
      <c r="AO83" s="219"/>
      <c r="AP83" s="219"/>
      <c r="AQ83" s="219"/>
      <c r="AR83" s="219"/>
      <c r="AS83" s="223"/>
    </row>
    <row r="84" spans="1:45">
      <c r="B84"/>
      <c r="C84"/>
      <c r="D84" t="s">
        <v>1421</v>
      </c>
      <c r="E84"/>
      <c r="F84" s="5">
        <v>1432305877</v>
      </c>
      <c r="G84" s="7">
        <v>1551799120</v>
      </c>
      <c r="H84" s="5"/>
      <c r="I84" s="5">
        <v>50000000</v>
      </c>
      <c r="J84" s="5">
        <v>1601799120</v>
      </c>
      <c r="M84" s="206">
        <v>11</v>
      </c>
      <c r="N84" s="131" t="s">
        <v>619</v>
      </c>
      <c r="O84" s="128">
        <v>235</v>
      </c>
      <c r="P84" s="130" t="s">
        <v>218</v>
      </c>
      <c r="Q84" s="128" t="s">
        <v>206</v>
      </c>
      <c r="R84" s="266">
        <v>9.3439929260947137E-3</v>
      </c>
      <c r="S84" s="266">
        <f>14500000/AB84</f>
        <v>9.343992926094712E-3</v>
      </c>
      <c r="T84" s="221"/>
      <c r="U84" s="219" t="s">
        <v>206</v>
      </c>
      <c r="V84" s="219"/>
      <c r="W84" s="219"/>
      <c r="X84" s="219"/>
      <c r="Y84" s="219"/>
      <c r="Z84" s="219"/>
      <c r="AA84" s="219"/>
      <c r="AB84" s="223">
        <f>+GETPIVOTDATA("PPEF 2011 ",$A$4,"No. Ramo",$M84,"IPP",$N84,"PP",$O84,"Programa Presupuestario (PP)",$P84,"Unidad Responsable (UR)",$Q84)</f>
        <v>1551799120</v>
      </c>
      <c r="AC84" s="223">
        <f>+GETPIVOTDATA("Reducción ",$A$4,"No. Ramo",$M84,"IPP",$N84,"PP",$O84,"Programa Presupuestario (PP)",$P84,"Unidad Responsable (UR)",$Q84)</f>
        <v>0</v>
      </c>
      <c r="AD84" s="223">
        <f>+GETPIVOTDATA("Ampliación ",$A$4,"No. Ramo",$M84,"IPP",$N84,"PP",$O84,"Programa Presupuestario (PP)",$P84,"Unidad Responsable (UR)",$Q84)</f>
        <v>50000000</v>
      </c>
      <c r="AE84" s="256">
        <f>+AD84</f>
        <v>50000000</v>
      </c>
      <c r="AF84" s="256">
        <f>+AB84*S84</f>
        <v>14499999.999999998</v>
      </c>
      <c r="AG84" s="256"/>
      <c r="AH84" s="223">
        <f>+AG84+AF84+AE84</f>
        <v>64500000</v>
      </c>
      <c r="AK84" s="221"/>
      <c r="AL84" s="219" t="s">
        <v>206</v>
      </c>
      <c r="AM84" s="219"/>
      <c r="AN84" s="219"/>
      <c r="AO84" s="219"/>
      <c r="AP84" s="219"/>
      <c r="AQ84" s="219"/>
      <c r="AR84" s="219"/>
      <c r="AS84" s="223">
        <f>+AH84</f>
        <v>64500000</v>
      </c>
    </row>
    <row r="85" spans="1:45">
      <c r="B85" t="s">
        <v>616</v>
      </c>
      <c r="C85">
        <v>18</v>
      </c>
      <c r="D85" t="s">
        <v>219</v>
      </c>
      <c r="E85" t="s">
        <v>205</v>
      </c>
      <c r="F85" s="5"/>
      <c r="G85" s="7">
        <v>842672258</v>
      </c>
      <c r="H85" s="5"/>
      <c r="I85" s="5">
        <v>6000000</v>
      </c>
      <c r="J85" s="5">
        <v>848672258</v>
      </c>
      <c r="M85" s="210"/>
      <c r="N85" s="130"/>
      <c r="O85" s="128"/>
      <c r="P85" s="130"/>
      <c r="Q85" s="128"/>
      <c r="R85" s="266"/>
      <c r="S85" s="266"/>
      <c r="T85" s="221" t="s">
        <v>219</v>
      </c>
      <c r="U85" s="219"/>
      <c r="V85" s="219"/>
      <c r="W85" s="219"/>
      <c r="X85" s="219"/>
      <c r="Y85" s="219"/>
      <c r="Z85" s="219"/>
      <c r="AA85" s="219"/>
      <c r="AB85" s="223"/>
      <c r="AC85" s="223"/>
      <c r="AD85" s="223"/>
      <c r="AE85" s="256"/>
      <c r="AF85" s="256"/>
      <c r="AG85" s="256"/>
      <c r="AH85" s="223"/>
      <c r="AK85" s="221" t="s">
        <v>219</v>
      </c>
      <c r="AL85" s="219"/>
      <c r="AM85" s="219"/>
      <c r="AN85" s="219"/>
      <c r="AO85" s="219"/>
      <c r="AP85" s="219"/>
      <c r="AQ85" s="219"/>
      <c r="AR85" s="219"/>
      <c r="AS85" s="223"/>
    </row>
    <row r="86" spans="1:45">
      <c r="B86"/>
      <c r="C86"/>
      <c r="D86" t="s">
        <v>1422</v>
      </c>
      <c r="E86"/>
      <c r="F86" s="5"/>
      <c r="G86" s="7">
        <v>842672258</v>
      </c>
      <c r="H86" s="5"/>
      <c r="I86" s="5">
        <v>6000000</v>
      </c>
      <c r="J86" s="5">
        <v>848672258</v>
      </c>
      <c r="M86" s="206">
        <v>11</v>
      </c>
      <c r="N86" s="130" t="s">
        <v>616</v>
      </c>
      <c r="O86" s="128">
        <v>18</v>
      </c>
      <c r="P86" s="130" t="s">
        <v>219</v>
      </c>
      <c r="Q86" s="128" t="s">
        <v>205</v>
      </c>
      <c r="R86" s="266">
        <v>0</v>
      </c>
      <c r="S86" s="266">
        <v>7.1202059199627762E-3</v>
      </c>
      <c r="T86" s="221"/>
      <c r="U86" s="219" t="s">
        <v>205</v>
      </c>
      <c r="V86" s="219"/>
      <c r="W86" s="219"/>
      <c r="X86" s="219"/>
      <c r="Y86" s="219"/>
      <c r="Z86" s="219"/>
      <c r="AA86" s="219"/>
      <c r="AB86" s="223">
        <f>+GETPIVOTDATA("PPEF 2011 ",$A$4,"No. Ramo",$M86,"IPP",$N86,"PP",$O86,"Programa Presupuestario (PP)",$P86,"Unidad Responsable (UR)",$Q86)</f>
        <v>842672258</v>
      </c>
      <c r="AC86" s="223">
        <f>+GETPIVOTDATA("Reducción ",$A$4,"No. Ramo",$M86,"IPP",$N86,"PP",$O86,"Programa Presupuestario (PP)",$P86,"Unidad Responsable (UR)",$Q86)</f>
        <v>0</v>
      </c>
      <c r="AD86" s="223">
        <f>+GETPIVOTDATA("Ampliación ",$A$4,"No. Ramo",$M86,"IPP",$N86,"PP",$O86,"Programa Presupuestario (PP)",$P86,"Unidad Responsable (UR)",$Q86)</f>
        <v>6000000</v>
      </c>
      <c r="AE86" s="256">
        <f>+AD86</f>
        <v>6000000</v>
      </c>
      <c r="AF86" s="256"/>
      <c r="AG86" s="256"/>
      <c r="AH86" s="223">
        <f>+AG86+AF86+AE86</f>
        <v>6000000</v>
      </c>
      <c r="AK86" s="221"/>
      <c r="AL86" s="219" t="s">
        <v>205</v>
      </c>
      <c r="AM86" s="219"/>
      <c r="AN86" s="219"/>
      <c r="AO86" s="219"/>
      <c r="AP86" s="219"/>
      <c r="AQ86" s="219"/>
      <c r="AR86" s="219"/>
      <c r="AS86" s="223">
        <f>+AH86</f>
        <v>6000000</v>
      </c>
    </row>
    <row r="87" spans="1:45">
      <c r="A87" s="9">
        <v>12</v>
      </c>
      <c r="B87" t="s">
        <v>613</v>
      </c>
      <c r="C87">
        <v>10</v>
      </c>
      <c r="D87" t="s">
        <v>221</v>
      </c>
      <c r="E87" t="s">
        <v>239</v>
      </c>
      <c r="F87" s="5">
        <v>12205078</v>
      </c>
      <c r="G87" s="7">
        <v>35615300</v>
      </c>
      <c r="H87" s="5"/>
      <c r="I87" s="5"/>
      <c r="J87" s="5">
        <v>35615300</v>
      </c>
      <c r="M87" s="210"/>
      <c r="N87" s="132"/>
      <c r="O87" s="128"/>
      <c r="P87" s="130"/>
      <c r="Q87" s="128"/>
      <c r="R87" s="266"/>
      <c r="S87" s="266"/>
      <c r="T87" s="217" t="s">
        <v>1327</v>
      </c>
      <c r="U87" s="219"/>
      <c r="V87" s="219"/>
      <c r="W87" s="219"/>
      <c r="X87" s="219"/>
      <c r="Y87" s="219"/>
      <c r="Z87" s="219"/>
      <c r="AA87" s="219"/>
      <c r="AB87" s="220">
        <f t="shared" ref="AB87:AH87" si="11">+SUM(AB88:AB125)</f>
        <v>6014067977</v>
      </c>
      <c r="AC87" s="220">
        <f t="shared" si="11"/>
        <v>0</v>
      </c>
      <c r="AD87" s="220">
        <f t="shared" si="11"/>
        <v>1825100000</v>
      </c>
      <c r="AE87" s="220">
        <f t="shared" si="11"/>
        <v>1366100000</v>
      </c>
      <c r="AF87" s="220">
        <f t="shared" si="11"/>
        <v>2193199635</v>
      </c>
      <c r="AG87" s="220">
        <f t="shared" si="11"/>
        <v>39000000</v>
      </c>
      <c r="AH87" s="220">
        <f t="shared" si="11"/>
        <v>3598299635</v>
      </c>
      <c r="AK87" s="217" t="s">
        <v>1327</v>
      </c>
      <c r="AL87" s="219"/>
      <c r="AM87" s="219"/>
      <c r="AN87" s="219"/>
      <c r="AO87" s="219"/>
      <c r="AP87" s="219"/>
      <c r="AQ87" s="219"/>
      <c r="AR87" s="219"/>
      <c r="AS87" s="220">
        <f>+SUM(AS88:AS125)</f>
        <v>3598299635</v>
      </c>
    </row>
    <row r="88" spans="1:45">
      <c r="B88"/>
      <c r="C88"/>
      <c r="D88" t="s">
        <v>1423</v>
      </c>
      <c r="E88"/>
      <c r="F88" s="5">
        <v>12205078</v>
      </c>
      <c r="G88" s="7">
        <v>35615300</v>
      </c>
      <c r="H88" s="5"/>
      <c r="I88" s="5"/>
      <c r="J88" s="5">
        <v>35615300</v>
      </c>
      <c r="M88" s="210"/>
      <c r="N88" s="132"/>
      <c r="O88" s="128"/>
      <c r="P88" s="130"/>
      <c r="Q88" s="128"/>
      <c r="R88" s="266"/>
      <c r="S88" s="266"/>
      <c r="T88" s="221" t="s">
        <v>221</v>
      </c>
      <c r="U88" s="219"/>
      <c r="V88" s="219"/>
      <c r="W88" s="219"/>
      <c r="X88" s="219"/>
      <c r="Y88" s="219"/>
      <c r="Z88" s="219"/>
      <c r="AA88" s="219"/>
      <c r="AB88" s="223"/>
      <c r="AC88" s="223"/>
      <c r="AD88" s="223"/>
      <c r="AE88" s="256"/>
      <c r="AF88" s="256"/>
      <c r="AG88" s="256"/>
      <c r="AH88" s="223"/>
      <c r="AK88" s="221" t="s">
        <v>221</v>
      </c>
      <c r="AL88" s="219"/>
      <c r="AM88" s="219"/>
      <c r="AN88" s="219"/>
      <c r="AO88" s="219"/>
      <c r="AP88" s="219"/>
      <c r="AQ88" s="219"/>
      <c r="AR88" s="219"/>
      <c r="AS88" s="223"/>
    </row>
    <row r="89" spans="1:45">
      <c r="B89"/>
      <c r="C89">
        <v>22</v>
      </c>
      <c r="D89" t="s">
        <v>249</v>
      </c>
      <c r="E89" t="s">
        <v>239</v>
      </c>
      <c r="F89" s="5">
        <v>55699570</v>
      </c>
      <c r="G89" s="7">
        <v>59241613</v>
      </c>
      <c r="H89" s="5"/>
      <c r="I89" s="5"/>
      <c r="J89" s="5">
        <v>59241613</v>
      </c>
      <c r="M89" s="206">
        <v>12</v>
      </c>
      <c r="N89" s="131" t="s">
        <v>613</v>
      </c>
      <c r="O89" s="128">
        <v>10</v>
      </c>
      <c r="P89" s="130" t="s">
        <v>221</v>
      </c>
      <c r="Q89" s="128" t="s">
        <v>239</v>
      </c>
      <c r="R89" s="266">
        <v>1</v>
      </c>
      <c r="S89" s="266">
        <v>1</v>
      </c>
      <c r="T89" s="221"/>
      <c r="U89" s="219" t="s">
        <v>239</v>
      </c>
      <c r="V89" s="219"/>
      <c r="W89" s="219"/>
      <c r="X89" s="219"/>
      <c r="Y89" s="219"/>
      <c r="Z89" s="219"/>
      <c r="AA89" s="219"/>
      <c r="AB89" s="280">
        <f>+GETPIVOTDATA("PPEF 2011 ",$A$4,"No. Ramo",$M89,"IPP",$N89,"PP",$O89,"Programa Presupuestario (PP)",$P89,"Unidad Responsable (UR)",$Q89)</f>
        <v>35615300</v>
      </c>
      <c r="AC89" s="223">
        <f>+GETPIVOTDATA("Reducción ",$A$4,"No. Ramo",$M89,"IPP",$N89,"PP",$O89,"Programa Presupuestario (PP)",$P89,"Unidad Responsable (UR)",$Q89)</f>
        <v>0</v>
      </c>
      <c r="AD89" s="223">
        <f>+GETPIVOTDATA("Ampliación ",$A$4,"No. Ramo",$M89,"IPP",$N89,"PP",$O89,"Programa Presupuestario (PP)",$P89,"Unidad Responsable (UR)",$Q89)</f>
        <v>0</v>
      </c>
      <c r="AE89" s="256"/>
      <c r="AF89" s="256">
        <f>+AB89*S89</f>
        <v>35615300</v>
      </c>
      <c r="AG89" s="256">
        <f>+AD89</f>
        <v>0</v>
      </c>
      <c r="AH89" s="223">
        <f>+AG89+AF89+AE89</f>
        <v>35615300</v>
      </c>
      <c r="AK89" s="221"/>
      <c r="AL89" s="219" t="s">
        <v>239</v>
      </c>
      <c r="AM89" s="219"/>
      <c r="AN89" s="219"/>
      <c r="AO89" s="219"/>
      <c r="AP89" s="219"/>
      <c r="AQ89" s="219"/>
      <c r="AR89" s="219"/>
      <c r="AS89" s="223">
        <f>+AH89</f>
        <v>35615300</v>
      </c>
    </row>
    <row r="90" spans="1:45">
      <c r="B90"/>
      <c r="C90"/>
      <c r="D90"/>
      <c r="E90" t="s">
        <v>241</v>
      </c>
      <c r="F90" s="5">
        <v>249229281</v>
      </c>
      <c r="G90" s="7">
        <v>261557376</v>
      </c>
      <c r="H90" s="5"/>
      <c r="I90" s="5">
        <v>5000000</v>
      </c>
      <c r="J90" s="5">
        <v>266557376</v>
      </c>
      <c r="M90" s="206"/>
      <c r="N90" s="131"/>
      <c r="O90" s="128"/>
      <c r="P90" s="132"/>
      <c r="Q90" s="128"/>
      <c r="R90" s="266"/>
      <c r="S90" s="266"/>
      <c r="T90" s="221" t="s">
        <v>249</v>
      </c>
      <c r="U90" s="219"/>
      <c r="V90" s="219"/>
      <c r="W90" s="219"/>
      <c r="X90" s="219"/>
      <c r="Y90" s="219"/>
      <c r="Z90" s="219"/>
      <c r="AA90" s="219"/>
      <c r="AB90" s="223"/>
      <c r="AC90" s="223"/>
      <c r="AD90" s="223"/>
      <c r="AE90" s="256"/>
      <c r="AF90" s="256"/>
      <c r="AG90" s="256"/>
      <c r="AH90" s="223"/>
      <c r="AK90" s="221" t="s">
        <v>249</v>
      </c>
      <c r="AL90" s="219"/>
      <c r="AM90" s="219"/>
      <c r="AN90" s="219"/>
      <c r="AO90" s="219"/>
      <c r="AP90" s="219"/>
      <c r="AQ90" s="219"/>
      <c r="AR90" s="219"/>
      <c r="AS90" s="223"/>
    </row>
    <row r="91" spans="1:45">
      <c r="B91"/>
      <c r="C91"/>
      <c r="D91" t="s">
        <v>1424</v>
      </c>
      <c r="E91"/>
      <c r="F91" s="5">
        <v>304928851</v>
      </c>
      <c r="G91" s="7">
        <v>320798989</v>
      </c>
      <c r="H91" s="5"/>
      <c r="I91" s="5">
        <v>5000000</v>
      </c>
      <c r="J91" s="5">
        <v>325798989</v>
      </c>
      <c r="M91" s="206">
        <v>12</v>
      </c>
      <c r="N91" s="131" t="s">
        <v>613</v>
      </c>
      <c r="O91" s="128">
        <v>22</v>
      </c>
      <c r="P91" s="131" t="s">
        <v>249</v>
      </c>
      <c r="Q91" s="128" t="s">
        <v>239</v>
      </c>
      <c r="R91" s="266">
        <v>1</v>
      </c>
      <c r="S91" s="266">
        <v>1</v>
      </c>
      <c r="T91" s="221"/>
      <c r="U91" s="219" t="s">
        <v>239</v>
      </c>
      <c r="V91" s="219"/>
      <c r="W91" s="219"/>
      <c r="X91" s="219"/>
      <c r="Y91" s="219"/>
      <c r="Z91" s="219"/>
      <c r="AA91" s="219"/>
      <c r="AB91" s="223">
        <f>+GETPIVOTDATA("PPEF 2011 ",$A$4,"No. Ramo",$M91,"IPP",$N91,"PP",$O91,"Programa Presupuestario (PP)",$P91,"Unidad Responsable (UR)",$Q91)</f>
        <v>59241613</v>
      </c>
      <c r="AC91" s="223">
        <f>+GETPIVOTDATA("Reducción ",$A$4,"No. Ramo",$M91,"IPP",$N91,"PP",$O91,"Programa Presupuestario (PP)",$P91,"Unidad Responsable (UR)",$Q91)</f>
        <v>0</v>
      </c>
      <c r="AD91" s="223">
        <f>+GETPIVOTDATA("Ampliación ",$A$4,"No. Ramo",$M91,"IPP",$N91,"PP",$O91,"Programa Presupuestario (PP)",$P91,"Unidad Responsable (UR)",$Q91)</f>
        <v>0</v>
      </c>
      <c r="AE91" s="256"/>
      <c r="AF91" s="256">
        <f>+AB91*S91</f>
        <v>59241613</v>
      </c>
      <c r="AG91" s="256">
        <f>+AD91</f>
        <v>0</v>
      </c>
      <c r="AH91" s="223">
        <f>+AG91+AF91+AE91</f>
        <v>59241613</v>
      </c>
      <c r="AK91" s="221"/>
      <c r="AL91" s="219" t="s">
        <v>239</v>
      </c>
      <c r="AM91" s="219"/>
      <c r="AN91" s="219"/>
      <c r="AO91" s="219"/>
      <c r="AP91" s="219"/>
      <c r="AQ91" s="219"/>
      <c r="AR91" s="219"/>
      <c r="AS91" s="223">
        <f>+AH91</f>
        <v>59241613</v>
      </c>
    </row>
    <row r="92" spans="1:45">
      <c r="B92"/>
      <c r="C92">
        <v>23</v>
      </c>
      <c r="D92" t="s">
        <v>250</v>
      </c>
      <c r="E92" t="s">
        <v>222</v>
      </c>
      <c r="F92" s="5">
        <v>1050011398</v>
      </c>
      <c r="G92" s="7">
        <v>1097422894</v>
      </c>
      <c r="H92" s="5"/>
      <c r="I92" s="5">
        <v>64000000</v>
      </c>
      <c r="J92" s="5">
        <v>1161422894</v>
      </c>
      <c r="M92" s="206">
        <v>12</v>
      </c>
      <c r="N92" s="131" t="s">
        <v>613</v>
      </c>
      <c r="O92" s="128">
        <v>22</v>
      </c>
      <c r="P92" s="131" t="s">
        <v>249</v>
      </c>
      <c r="Q92" s="128" t="s">
        <v>241</v>
      </c>
      <c r="R92" s="266">
        <v>0</v>
      </c>
      <c r="S92" s="266">
        <v>0</v>
      </c>
      <c r="T92" s="217"/>
      <c r="U92" s="219" t="s">
        <v>241</v>
      </c>
      <c r="V92" s="219"/>
      <c r="W92" s="219"/>
      <c r="X92" s="219"/>
      <c r="Y92" s="219"/>
      <c r="Z92" s="219"/>
      <c r="AA92" s="219"/>
      <c r="AB92" s="223">
        <f>+GETPIVOTDATA("PPEF 2011 ",$A$4,"No. Ramo",$M92,"IPP",$N92,"PP",$O92,"Programa Presupuestario (PP)",$P92,"Unidad Responsable (UR)",$Q92)</f>
        <v>261557376</v>
      </c>
      <c r="AC92" s="223">
        <f>+GETPIVOTDATA("Reducción ",$A$4,"No. Ramo",$M92,"IPP",$N92,"PP",$O92,"Programa Presupuestario (PP)",$P92,"Unidad Responsable (UR)",$Q92)</f>
        <v>0</v>
      </c>
      <c r="AD92" s="223">
        <f>+GETPIVOTDATA("Ampliación ",$A$4,"No. Ramo",$M92,"IPP",$N92,"PP",$O92,"Programa Presupuestario (PP)",$P92,"Unidad Responsable (UR)",$Q92)</f>
        <v>5000000</v>
      </c>
      <c r="AE92" s="256">
        <f>+AD92</f>
        <v>5000000</v>
      </c>
      <c r="AF92" s="256"/>
      <c r="AG92" s="256"/>
      <c r="AH92" s="223">
        <f>+AG92+AF92+AE92</f>
        <v>5000000</v>
      </c>
      <c r="AK92" s="217"/>
      <c r="AL92" s="219" t="s">
        <v>241</v>
      </c>
      <c r="AM92" s="219"/>
      <c r="AN92" s="219"/>
      <c r="AO92" s="219"/>
      <c r="AP92" s="219"/>
      <c r="AQ92" s="219"/>
      <c r="AR92" s="219"/>
      <c r="AS92" s="223">
        <f>+AH92</f>
        <v>5000000</v>
      </c>
    </row>
    <row r="93" spans="1:45">
      <c r="B93"/>
      <c r="C93"/>
      <c r="D93"/>
      <c r="E93" t="s">
        <v>229</v>
      </c>
      <c r="F93" s="5">
        <v>584720925</v>
      </c>
      <c r="G93" s="7">
        <v>625480314</v>
      </c>
      <c r="H93" s="5"/>
      <c r="I93" s="5">
        <v>25000000</v>
      </c>
      <c r="J93" s="5">
        <v>650480314</v>
      </c>
      <c r="M93" s="206"/>
      <c r="N93" s="131"/>
      <c r="O93" s="128"/>
      <c r="P93" s="132"/>
      <c r="Q93" s="128"/>
      <c r="R93" s="266"/>
      <c r="S93" s="266"/>
      <c r="T93" s="221" t="s">
        <v>250</v>
      </c>
      <c r="U93" s="219"/>
      <c r="V93" s="219"/>
      <c r="W93" s="219"/>
      <c r="X93" s="219"/>
      <c r="Y93" s="219"/>
      <c r="Z93" s="219"/>
      <c r="AA93" s="219"/>
      <c r="AB93" s="223"/>
      <c r="AC93" s="223"/>
      <c r="AD93" s="223"/>
      <c r="AE93" s="256"/>
      <c r="AF93" s="256"/>
      <c r="AG93" s="256"/>
      <c r="AH93" s="223"/>
      <c r="AK93" s="221" t="s">
        <v>250</v>
      </c>
      <c r="AL93" s="219"/>
      <c r="AM93" s="219"/>
      <c r="AN93" s="219"/>
      <c r="AO93" s="219"/>
      <c r="AP93" s="219"/>
      <c r="AQ93" s="219"/>
      <c r="AR93" s="219"/>
      <c r="AS93" s="223"/>
    </row>
    <row r="94" spans="1:45">
      <c r="B94"/>
      <c r="C94"/>
      <c r="D94"/>
      <c r="E94" t="s">
        <v>232</v>
      </c>
      <c r="F94" s="5">
        <v>516758201</v>
      </c>
      <c r="G94" s="7">
        <v>495850880</v>
      </c>
      <c r="H94" s="5"/>
      <c r="I94" s="5">
        <v>36100000</v>
      </c>
      <c r="J94" s="5">
        <v>531950880</v>
      </c>
      <c r="M94" s="206">
        <v>12</v>
      </c>
      <c r="N94" s="131" t="s">
        <v>613</v>
      </c>
      <c r="O94" s="128">
        <v>23</v>
      </c>
      <c r="P94" s="131" t="s">
        <v>250</v>
      </c>
      <c r="Q94" s="128" t="s">
        <v>222</v>
      </c>
      <c r="R94" s="266">
        <v>0</v>
      </c>
      <c r="S94" s="266">
        <v>9.1122575031681446E-2</v>
      </c>
      <c r="T94" s="221"/>
      <c r="U94" s="219" t="s">
        <v>222</v>
      </c>
      <c r="V94" s="219"/>
      <c r="W94" s="219"/>
      <c r="X94" s="219"/>
      <c r="Y94" s="219"/>
      <c r="Z94" s="219"/>
      <c r="AA94" s="219"/>
      <c r="AB94" s="223">
        <f>+GETPIVOTDATA("PPEF 2011 ",$A$4,"No. Ramo",$M94,"IPP",$N94,"PP",$O94,"Programa Presupuestario (PP)",$P94,"Unidad Responsable (UR)",$Q94)</f>
        <v>1097422894</v>
      </c>
      <c r="AC94" s="223">
        <f>+GETPIVOTDATA("Reducción ",$A$4,"No. Ramo",$M94,"IPP",$N94,"PP",$O94,"Programa Presupuestario (PP)",$P94,"Unidad Responsable (UR)",$Q94)</f>
        <v>0</v>
      </c>
      <c r="AD94" s="223">
        <f>+GETPIVOTDATA("Ampliación ",$A$4,"No. Ramo",$M94,"IPP",$N94,"PP",$O94,"Programa Presupuestario (PP)",$P94,"Unidad Responsable (UR)",$Q94)</f>
        <v>64000000</v>
      </c>
      <c r="AE94" s="282">
        <f>+AD94-4000000</f>
        <v>60000000</v>
      </c>
      <c r="AF94" s="256"/>
      <c r="AG94" s="268"/>
      <c r="AH94" s="223">
        <f>+AG94+AF94+AE94</f>
        <v>60000000</v>
      </c>
      <c r="AK94" s="221"/>
      <c r="AL94" s="219" t="s">
        <v>222</v>
      </c>
      <c r="AM94" s="219"/>
      <c r="AN94" s="219"/>
      <c r="AO94" s="219"/>
      <c r="AP94" s="219"/>
      <c r="AQ94" s="219"/>
      <c r="AR94" s="219"/>
      <c r="AS94" s="223">
        <f>+AH94</f>
        <v>60000000</v>
      </c>
    </row>
    <row r="95" spans="1:45">
      <c r="B95"/>
      <c r="C95"/>
      <c r="D95"/>
      <c r="E95" t="s">
        <v>235</v>
      </c>
      <c r="F95" s="5">
        <v>615744404</v>
      </c>
      <c r="G95" s="7">
        <v>652950011</v>
      </c>
      <c r="H95" s="5"/>
      <c r="I95" s="5">
        <v>75000000</v>
      </c>
      <c r="J95" s="5">
        <v>727950011</v>
      </c>
      <c r="M95" s="206">
        <v>12</v>
      </c>
      <c r="N95" s="131" t="s">
        <v>613</v>
      </c>
      <c r="O95" s="128">
        <v>23</v>
      </c>
      <c r="P95" s="131" t="s">
        <v>250</v>
      </c>
      <c r="Q95" s="128" t="s">
        <v>229</v>
      </c>
      <c r="R95" s="266">
        <v>0</v>
      </c>
      <c r="S95" s="266">
        <v>3.9969283509696515E-2</v>
      </c>
      <c r="T95" s="217"/>
      <c r="U95" s="219" t="s">
        <v>229</v>
      </c>
      <c r="V95" s="219"/>
      <c r="W95" s="219"/>
      <c r="X95" s="219"/>
      <c r="Y95" s="219"/>
      <c r="Z95" s="219"/>
      <c r="AA95" s="219"/>
      <c r="AB95" s="223">
        <f>+GETPIVOTDATA("PPEF 2011 ",$A$4,"No. Ramo",$M95,"IPP",$N95,"PP",$O95,"Programa Presupuestario (PP)",$P95,"Unidad Responsable (UR)",$Q95)</f>
        <v>625480314</v>
      </c>
      <c r="AC95" s="223">
        <f>+GETPIVOTDATA("Reducción ",$A$4,"No. Ramo",$M95,"IPP",$N95,"PP",$O95,"Programa Presupuestario (PP)",$P95,"Unidad Responsable (UR)",$Q95)</f>
        <v>0</v>
      </c>
      <c r="AD95" s="223">
        <f>+GETPIVOTDATA("Ampliación ",$A$4,"No. Ramo",$M95,"IPP",$N95,"PP",$O95,"Programa Presupuestario (PP)",$P95,"Unidad Responsable (UR)",$Q95)</f>
        <v>25000000</v>
      </c>
      <c r="AE95" s="256">
        <f>+AD95</f>
        <v>25000000</v>
      </c>
      <c r="AF95" s="256"/>
      <c r="AG95" s="256">
        <f>+AD95-AE95</f>
        <v>0</v>
      </c>
      <c r="AH95" s="223">
        <f>+AG95+AF95+AE95</f>
        <v>25000000</v>
      </c>
      <c r="AK95" s="217"/>
      <c r="AL95" s="219" t="s">
        <v>229</v>
      </c>
      <c r="AM95" s="219"/>
      <c r="AN95" s="219"/>
      <c r="AO95" s="219"/>
      <c r="AP95" s="219"/>
      <c r="AQ95" s="219"/>
      <c r="AR95" s="219"/>
      <c r="AS95" s="223">
        <f>+AH95</f>
        <v>25000000</v>
      </c>
    </row>
    <row r="96" spans="1:45">
      <c r="B96"/>
      <c r="C96"/>
      <c r="D96"/>
      <c r="E96" t="s">
        <v>239</v>
      </c>
      <c r="F96" s="5">
        <v>426954293</v>
      </c>
      <c r="G96" s="7">
        <v>420954206</v>
      </c>
      <c r="H96" s="5"/>
      <c r="I96" s="5"/>
      <c r="J96" s="5">
        <v>420954206</v>
      </c>
      <c r="M96" s="206">
        <v>12</v>
      </c>
      <c r="N96" s="131" t="s">
        <v>613</v>
      </c>
      <c r="O96" s="128">
        <v>23</v>
      </c>
      <c r="P96" s="131" t="s">
        <v>250</v>
      </c>
      <c r="Q96" s="128" t="s">
        <v>232</v>
      </c>
      <c r="R96" s="266">
        <v>0</v>
      </c>
      <c r="S96" s="266">
        <v>6.0502060619515283E-2</v>
      </c>
      <c r="T96" s="217"/>
      <c r="U96" s="219" t="s">
        <v>232</v>
      </c>
      <c r="V96" s="219"/>
      <c r="W96" s="219"/>
      <c r="X96" s="219"/>
      <c r="Y96" s="219"/>
      <c r="Z96" s="219"/>
      <c r="AA96" s="219"/>
      <c r="AB96" s="223">
        <f>+GETPIVOTDATA("PPEF 2011 ",$A$4,"No. Ramo",$M96,"IPP",$N96,"PP",$O96,"Programa Presupuestario (PP)",$P96,"Unidad Responsable (UR)",$Q96)</f>
        <v>495850880</v>
      </c>
      <c r="AC96" s="223">
        <f>+GETPIVOTDATA("Reducción ",$A$4,"No. Ramo",$M96,"IPP",$N96,"PP",$O96,"Programa Presupuestario (PP)",$P96,"Unidad Responsable (UR)",$Q96)</f>
        <v>0</v>
      </c>
      <c r="AD96" s="223">
        <f>+GETPIVOTDATA("Ampliación ",$A$4,"No. Ramo",$M96,"IPP",$N96,"PP",$O96,"Programa Presupuestario (PP)",$P96,"Unidad Responsable (UR)",$Q96)</f>
        <v>36100000</v>
      </c>
      <c r="AE96" s="282">
        <f>+AD96-6000000</f>
        <v>30100000</v>
      </c>
      <c r="AF96" s="256"/>
      <c r="AG96" s="268"/>
      <c r="AH96" s="223">
        <f>+AG96+AF96+AE96</f>
        <v>30100000</v>
      </c>
      <c r="AK96" s="217"/>
      <c r="AL96" s="219" t="s">
        <v>232</v>
      </c>
      <c r="AM96" s="219"/>
      <c r="AN96" s="219"/>
      <c r="AO96" s="219"/>
      <c r="AP96" s="219"/>
      <c r="AQ96" s="219"/>
      <c r="AR96" s="219"/>
      <c r="AS96" s="223">
        <f>+AH96</f>
        <v>30100000</v>
      </c>
    </row>
    <row r="97" spans="2:45">
      <c r="B97"/>
      <c r="C97"/>
      <c r="D97" t="s">
        <v>1425</v>
      </c>
      <c r="E97"/>
      <c r="F97" s="5">
        <v>3194189221</v>
      </c>
      <c r="G97" s="7">
        <v>3292658305</v>
      </c>
      <c r="H97" s="5"/>
      <c r="I97" s="5">
        <v>200100000</v>
      </c>
      <c r="J97" s="5">
        <v>3492758305</v>
      </c>
      <c r="M97" s="206">
        <v>12</v>
      </c>
      <c r="N97" s="131" t="s">
        <v>613</v>
      </c>
      <c r="O97" s="128">
        <v>23</v>
      </c>
      <c r="P97" s="131" t="s">
        <v>250</v>
      </c>
      <c r="Q97" s="128" t="s">
        <v>235</v>
      </c>
      <c r="R97" s="266">
        <v>0</v>
      </c>
      <c r="S97" s="266">
        <v>0.1148633107228786</v>
      </c>
      <c r="T97" s="217"/>
      <c r="U97" s="219" t="s">
        <v>235</v>
      </c>
      <c r="V97" s="219"/>
      <c r="W97" s="219"/>
      <c r="X97" s="219"/>
      <c r="Y97" s="219"/>
      <c r="Z97" s="219"/>
      <c r="AA97" s="219"/>
      <c r="AB97" s="223">
        <f>+GETPIVOTDATA("PPEF 2011 ",$A$4,"No. Ramo",$M97,"IPP",$N97,"PP",$O97,"Programa Presupuestario (PP)",$P97,"Unidad Responsable (UR)",$Q97)</f>
        <v>652950011</v>
      </c>
      <c r="AC97" s="223">
        <f>+GETPIVOTDATA("Reducción ",$A$4,"No. Ramo",$M97,"IPP",$N97,"PP",$O97,"Programa Presupuestario (PP)",$P97,"Unidad Responsable (UR)",$Q97)</f>
        <v>0</v>
      </c>
      <c r="AD97" s="223">
        <f>+GETPIVOTDATA("Ampliación ",$A$4,"No. Ramo",$M97,"IPP",$N97,"PP",$O97,"Programa Presupuestario (PP)",$P97,"Unidad Responsable (UR)",$Q97)</f>
        <v>75000000</v>
      </c>
      <c r="AE97" s="256">
        <f>+AD97</f>
        <v>75000000</v>
      </c>
      <c r="AF97" s="256"/>
      <c r="AG97" s="256">
        <f>+AD97-AE97</f>
        <v>0</v>
      </c>
      <c r="AH97" s="223">
        <f>+AG97+AF97+AE97</f>
        <v>75000000</v>
      </c>
      <c r="AK97" s="217"/>
      <c r="AL97" s="219" t="s">
        <v>235</v>
      </c>
      <c r="AM97" s="219"/>
      <c r="AN97" s="219"/>
      <c r="AO97" s="219"/>
      <c r="AP97" s="219"/>
      <c r="AQ97" s="219"/>
      <c r="AR97" s="219"/>
      <c r="AS97" s="223">
        <f>+AH97</f>
        <v>75000000</v>
      </c>
    </row>
    <row r="98" spans="2:45">
      <c r="B98"/>
      <c r="C98">
        <v>25</v>
      </c>
      <c r="D98" t="s">
        <v>251</v>
      </c>
      <c r="E98" t="s">
        <v>252</v>
      </c>
      <c r="F98" s="5">
        <v>469834468</v>
      </c>
      <c r="G98" s="7">
        <v>516533651</v>
      </c>
      <c r="H98" s="5"/>
      <c r="I98" s="5">
        <v>470000000</v>
      </c>
      <c r="J98" s="5">
        <v>986533651</v>
      </c>
      <c r="M98" s="206">
        <v>12</v>
      </c>
      <c r="N98" s="131" t="s">
        <v>613</v>
      </c>
      <c r="O98" s="128">
        <v>23</v>
      </c>
      <c r="P98" s="131" t="s">
        <v>250</v>
      </c>
      <c r="Q98" s="128" t="s">
        <v>239</v>
      </c>
      <c r="R98" s="266">
        <v>1</v>
      </c>
      <c r="S98" s="266">
        <v>1</v>
      </c>
      <c r="T98" s="217"/>
      <c r="U98" s="219" t="s">
        <v>239</v>
      </c>
      <c r="V98" s="219"/>
      <c r="W98" s="219"/>
      <c r="X98" s="219"/>
      <c r="Y98" s="219"/>
      <c r="Z98" s="219"/>
      <c r="AA98" s="219"/>
      <c r="AB98" s="223">
        <f>+GETPIVOTDATA("PPEF 2011 ",$A$4,"No. Ramo",$M98,"IPP",$N98,"PP",$O98,"Programa Presupuestario (PP)",$P98,"Unidad Responsable (UR)",$Q98)</f>
        <v>420954206</v>
      </c>
      <c r="AC98" s="223">
        <f>+GETPIVOTDATA("Reducción ",$A$4,"No. Ramo",$M98,"IPP",$N98,"PP",$O98,"Programa Presupuestario (PP)",$P98,"Unidad Responsable (UR)",$Q98)</f>
        <v>0</v>
      </c>
      <c r="AD98" s="223">
        <f>+GETPIVOTDATA("Ampliación ",$A$4,"No. Ramo",$M98,"IPP",$N98,"PP",$O98,"Programa Presupuestario (PP)",$P98,"Unidad Responsable (UR)",$Q98)</f>
        <v>0</v>
      </c>
      <c r="AE98" s="256"/>
      <c r="AF98" s="256">
        <f>+AB98</f>
        <v>420954206</v>
      </c>
      <c r="AG98" s="256"/>
      <c r="AH98" s="223">
        <f>+AG98+AF98+AE98</f>
        <v>420954206</v>
      </c>
      <c r="AK98" s="217"/>
      <c r="AL98" s="219" t="s">
        <v>239</v>
      </c>
      <c r="AM98" s="219"/>
      <c r="AN98" s="219"/>
      <c r="AO98" s="219"/>
      <c r="AP98" s="219"/>
      <c r="AQ98" s="219"/>
      <c r="AR98" s="219"/>
      <c r="AS98" s="223">
        <f>+AH98</f>
        <v>420954206</v>
      </c>
    </row>
    <row r="99" spans="2:45">
      <c r="B99"/>
      <c r="C99"/>
      <c r="D99" t="s">
        <v>1426</v>
      </c>
      <c r="E99"/>
      <c r="F99" s="5">
        <v>469834468</v>
      </c>
      <c r="G99" s="7">
        <v>516533651</v>
      </c>
      <c r="H99" s="5"/>
      <c r="I99" s="5">
        <v>470000000</v>
      </c>
      <c r="J99" s="5">
        <v>986533651</v>
      </c>
      <c r="M99" s="206"/>
      <c r="N99" s="132"/>
      <c r="O99" s="128"/>
      <c r="P99" s="130"/>
      <c r="Q99" s="128"/>
      <c r="R99" s="266"/>
      <c r="S99" s="266"/>
      <c r="T99" s="221" t="s">
        <v>251</v>
      </c>
      <c r="U99" s="219"/>
      <c r="V99" s="219"/>
      <c r="W99" s="219"/>
      <c r="X99" s="219"/>
      <c r="Y99" s="219"/>
      <c r="Z99" s="219"/>
      <c r="AA99" s="219"/>
      <c r="AB99" s="223"/>
      <c r="AC99" s="223"/>
      <c r="AD99" s="223"/>
      <c r="AE99" s="256"/>
      <c r="AF99" s="270"/>
      <c r="AG99" s="270"/>
      <c r="AH99" s="223"/>
      <c r="AK99" s="221" t="s">
        <v>251</v>
      </c>
      <c r="AL99" s="219"/>
      <c r="AM99" s="219"/>
      <c r="AN99" s="219"/>
      <c r="AO99" s="219"/>
      <c r="AP99" s="219"/>
      <c r="AQ99" s="219"/>
      <c r="AR99" s="219"/>
      <c r="AS99" s="223"/>
    </row>
    <row r="100" spans="2:45">
      <c r="B100" t="s">
        <v>614</v>
      </c>
      <c r="C100">
        <v>27</v>
      </c>
      <c r="D100" t="s">
        <v>70</v>
      </c>
      <c r="E100" t="s">
        <v>232</v>
      </c>
      <c r="F100" s="5">
        <v>0</v>
      </c>
      <c r="G100" s="7"/>
      <c r="H100" s="5"/>
      <c r="I100" s="5">
        <v>200000000</v>
      </c>
      <c r="J100" s="5">
        <v>200000000</v>
      </c>
      <c r="M100" s="206">
        <v>12</v>
      </c>
      <c r="N100" s="131" t="s">
        <v>613</v>
      </c>
      <c r="O100" s="128">
        <v>25</v>
      </c>
      <c r="P100" s="130" t="s">
        <v>251</v>
      </c>
      <c r="Q100" s="128" t="s">
        <v>252</v>
      </c>
      <c r="R100" s="266">
        <v>0</v>
      </c>
      <c r="S100" s="266">
        <v>3.871964577967061E-2</v>
      </c>
      <c r="T100" s="221"/>
      <c r="U100" s="219" t="s">
        <v>252</v>
      </c>
      <c r="V100" s="219"/>
      <c r="W100" s="219"/>
      <c r="X100" s="219"/>
      <c r="Y100" s="219"/>
      <c r="Z100" s="219"/>
      <c r="AA100" s="219"/>
      <c r="AB100" s="223">
        <f>+GETPIVOTDATA("PPEF 2011 ",$A$4,"No. Ramo",$M100,"IPP",$N100,"PP",$O100,"Programa Presupuestario (PP)",$P100,"Unidad Responsable (UR)",$Q100)</f>
        <v>516533651</v>
      </c>
      <c r="AC100" s="223">
        <f>+GETPIVOTDATA("Reducción ",$A$4,"No. Ramo",$M100,"IPP",$N100,"PP",$O100,"Programa Presupuestario (PP)",$P100,"Unidad Responsable (UR)",$Q100)</f>
        <v>0</v>
      </c>
      <c r="AD100" s="223">
        <f>+GETPIVOTDATA("Ampliación ",$A$4,"No. Ramo",$M100,"IPP",$N100,"PP",$O100,"Programa Presupuestario (PP)",$P100,"Unidad Responsable (UR)",$Q100)</f>
        <v>470000000</v>
      </c>
      <c r="AE100" s="282">
        <f>+AD100-410000000</f>
        <v>60000000</v>
      </c>
      <c r="AF100" s="270"/>
      <c r="AG100" s="270"/>
      <c r="AH100" s="223">
        <f>+AG100+AF100+AE100</f>
        <v>60000000</v>
      </c>
      <c r="AK100" s="221"/>
      <c r="AL100" s="219" t="s">
        <v>252</v>
      </c>
      <c r="AM100" s="219"/>
      <c r="AN100" s="219"/>
      <c r="AO100" s="219"/>
      <c r="AP100" s="219"/>
      <c r="AQ100" s="219"/>
      <c r="AR100" s="219"/>
      <c r="AS100" s="223">
        <f>+AH100</f>
        <v>60000000</v>
      </c>
    </row>
    <row r="101" spans="2:45">
      <c r="B101"/>
      <c r="C101"/>
      <c r="D101" t="s">
        <v>1531</v>
      </c>
      <c r="E101"/>
      <c r="F101" s="5">
        <v>0</v>
      </c>
      <c r="G101" s="7"/>
      <c r="H101" s="5"/>
      <c r="I101" s="5">
        <v>200000000</v>
      </c>
      <c r="J101" s="5">
        <v>200000000</v>
      </c>
      <c r="M101" s="206"/>
      <c r="N101" s="132"/>
      <c r="O101" s="128"/>
      <c r="P101" s="130"/>
      <c r="Q101" s="128"/>
      <c r="R101" s="266"/>
      <c r="S101" s="266"/>
      <c r="T101" s="221" t="str">
        <f>+P102</f>
        <v>Mantenimiento de Infraestructura</v>
      </c>
      <c r="U101" s="219"/>
      <c r="V101" s="219"/>
      <c r="W101" s="219"/>
      <c r="X101" s="219"/>
      <c r="Y101" s="219"/>
      <c r="Z101" s="219"/>
      <c r="AA101" s="219"/>
      <c r="AB101" s="253"/>
      <c r="AC101" s="253"/>
      <c r="AD101" s="253"/>
      <c r="AE101" s="258"/>
      <c r="AF101" s="271"/>
      <c r="AG101" s="271"/>
      <c r="AH101" s="253"/>
      <c r="AK101" s="221" t="s">
        <v>70</v>
      </c>
      <c r="AL101" s="219"/>
      <c r="AM101" s="219"/>
      <c r="AN101" s="219"/>
      <c r="AO101" s="219"/>
      <c r="AP101" s="219"/>
      <c r="AQ101" s="219"/>
      <c r="AR101" s="219"/>
      <c r="AS101" s="253"/>
    </row>
    <row r="102" spans="2:45">
      <c r="B102" t="s">
        <v>611</v>
      </c>
      <c r="C102">
        <v>12</v>
      </c>
      <c r="D102" t="s">
        <v>254</v>
      </c>
      <c r="E102" t="s">
        <v>239</v>
      </c>
      <c r="F102" s="5">
        <v>11537802</v>
      </c>
      <c r="G102" s="7">
        <v>14408642</v>
      </c>
      <c r="H102" s="5"/>
      <c r="I102" s="5"/>
      <c r="J102" s="5">
        <v>14408642</v>
      </c>
      <c r="M102" s="269">
        <v>12</v>
      </c>
      <c r="N102" s="269" t="s">
        <v>614</v>
      </c>
      <c r="O102" s="127">
        <v>27</v>
      </c>
      <c r="P102" s="129" t="s">
        <v>70</v>
      </c>
      <c r="Q102" s="127" t="s">
        <v>232</v>
      </c>
      <c r="R102" s="266">
        <v>0</v>
      </c>
      <c r="S102" s="266">
        <v>1</v>
      </c>
      <c r="T102" s="221"/>
      <c r="U102" s="219" t="str">
        <f>+Q102</f>
        <v>Instituto Nacional de Cancerología</v>
      </c>
      <c r="V102" s="219"/>
      <c r="W102" s="219"/>
      <c r="X102" s="219"/>
      <c r="Y102" s="219"/>
      <c r="Z102" s="219"/>
      <c r="AA102" s="219"/>
      <c r="AB102" s="223">
        <f>+GETPIVOTDATA("PPEF 2011 ",$A$4,"No. Ramo",$M102,"IPP",$N102,"PP",$O102,"Programa Presupuestario (PP)",$P102,"Unidad Responsable (UR)",$Q102)</f>
        <v>0</v>
      </c>
      <c r="AC102" s="223">
        <f>+GETPIVOTDATA("Reducción ",$A$4,"No. Ramo",$M102,"IPP",$N102,"PP",$O102,"Programa Presupuestario (PP)",$P102,"Unidad Responsable (UR)",$Q102)</f>
        <v>0</v>
      </c>
      <c r="AD102" s="223">
        <f>+GETPIVOTDATA("Ampliación ",$A$4,"No. Ramo",$M102,"IPP",$N102,"PP",$O102,"Programa Presupuestario (PP)",$P102,"Unidad Responsable (UR)",$Q102)</f>
        <v>200000000</v>
      </c>
      <c r="AE102" s="256">
        <f>+AD102</f>
        <v>200000000</v>
      </c>
      <c r="AF102" s="270"/>
      <c r="AG102" s="270"/>
      <c r="AH102" s="223">
        <f>+AG102+AF102+AE102</f>
        <v>200000000</v>
      </c>
      <c r="AK102" s="221"/>
      <c r="AL102" s="219" t="s">
        <v>232</v>
      </c>
      <c r="AM102" s="219"/>
      <c r="AN102" s="219"/>
      <c r="AO102" s="219"/>
      <c r="AP102" s="219"/>
      <c r="AQ102" s="219"/>
      <c r="AR102" s="219"/>
      <c r="AS102" s="223">
        <f>+AH102</f>
        <v>200000000</v>
      </c>
    </row>
    <row r="103" spans="2:45">
      <c r="B103"/>
      <c r="C103"/>
      <c r="D103" t="s">
        <v>1427</v>
      </c>
      <c r="E103"/>
      <c r="F103" s="5">
        <v>11537802</v>
      </c>
      <c r="G103" s="7">
        <v>14408642</v>
      </c>
      <c r="H103" s="5"/>
      <c r="I103" s="5"/>
      <c r="J103" s="5">
        <v>14408642</v>
      </c>
      <c r="M103" s="206"/>
      <c r="N103" s="132"/>
      <c r="O103" s="128"/>
      <c r="P103" s="130"/>
      <c r="Q103" s="128"/>
      <c r="R103" s="266"/>
      <c r="S103" s="266"/>
      <c r="T103" s="221" t="s">
        <v>254</v>
      </c>
      <c r="U103" s="219"/>
      <c r="V103" s="219"/>
      <c r="W103" s="219"/>
      <c r="X103" s="219"/>
      <c r="Y103" s="219"/>
      <c r="Z103" s="219"/>
      <c r="AA103" s="219"/>
      <c r="AB103" s="223"/>
      <c r="AC103" s="223"/>
      <c r="AD103" s="223"/>
      <c r="AE103" s="256"/>
      <c r="AF103" s="270"/>
      <c r="AG103" s="270"/>
      <c r="AH103" s="223"/>
      <c r="AK103" s="221" t="s">
        <v>254</v>
      </c>
      <c r="AL103" s="219"/>
      <c r="AM103" s="219"/>
      <c r="AN103" s="219"/>
      <c r="AO103" s="219"/>
      <c r="AP103" s="219"/>
      <c r="AQ103" s="219"/>
      <c r="AR103" s="219"/>
      <c r="AS103" s="223"/>
    </row>
    <row r="104" spans="2:45">
      <c r="B104"/>
      <c r="C104">
        <v>14</v>
      </c>
      <c r="D104" t="s">
        <v>255</v>
      </c>
      <c r="E104" t="s">
        <v>248</v>
      </c>
      <c r="F104" s="5">
        <v>51554896</v>
      </c>
      <c r="G104" s="7">
        <v>41223755</v>
      </c>
      <c r="H104" s="5"/>
      <c r="I104" s="5">
        <v>6000000</v>
      </c>
      <c r="J104" s="5">
        <v>47223755</v>
      </c>
      <c r="M104" s="206">
        <v>12</v>
      </c>
      <c r="N104" s="131" t="s">
        <v>611</v>
      </c>
      <c r="O104" s="128">
        <v>12</v>
      </c>
      <c r="P104" s="130" t="s">
        <v>254</v>
      </c>
      <c r="Q104" s="128" t="s">
        <v>239</v>
      </c>
      <c r="R104" s="266">
        <v>1</v>
      </c>
      <c r="S104" s="266">
        <v>1</v>
      </c>
      <c r="T104" s="221"/>
      <c r="U104" s="219" t="s">
        <v>239</v>
      </c>
      <c r="V104" s="219"/>
      <c r="W104" s="219"/>
      <c r="X104" s="219"/>
      <c r="Y104" s="219"/>
      <c r="Z104" s="219"/>
      <c r="AA104" s="219"/>
      <c r="AB104" s="223">
        <f>+GETPIVOTDATA("PPEF 2011 ",$A$4,"No. Ramo",$M104,"IPP",$N104,"PP",$O104,"Programa Presupuestario (PP)",$P104,"Unidad Responsable (UR)",$Q104)</f>
        <v>14408642</v>
      </c>
      <c r="AC104" s="223">
        <f>+GETPIVOTDATA("Reducción ",$A$4,"No. Ramo",$M104,"IPP",$N104,"PP",$O104,"Programa Presupuestario (PP)",$P104,"Unidad Responsable (UR)",$Q104)</f>
        <v>0</v>
      </c>
      <c r="AD104" s="223">
        <f>+GETPIVOTDATA("Ampliación ",$A$4,"No. Ramo",$M104,"IPP",$N104,"PP",$O104,"Programa Presupuestario (PP)",$P104,"Unidad Responsable (UR)",$Q104)</f>
        <v>0</v>
      </c>
      <c r="AE104" s="256"/>
      <c r="AF104" s="256">
        <f>+AB104</f>
        <v>14408642</v>
      </c>
      <c r="AG104" s="256">
        <f>+AD104</f>
        <v>0</v>
      </c>
      <c r="AH104" s="223">
        <f>+AG104+AF104+AE104</f>
        <v>14408642</v>
      </c>
      <c r="AK104" s="221"/>
      <c r="AL104" s="219" t="s">
        <v>239</v>
      </c>
      <c r="AM104" s="219"/>
      <c r="AN104" s="219"/>
      <c r="AO104" s="219"/>
      <c r="AP104" s="219"/>
      <c r="AQ104" s="219"/>
      <c r="AR104" s="219"/>
      <c r="AS104" s="223">
        <f>+AH104</f>
        <v>14408642</v>
      </c>
    </row>
    <row r="105" spans="2:45">
      <c r="B105"/>
      <c r="C105"/>
      <c r="D105" t="s">
        <v>1428</v>
      </c>
      <c r="E105"/>
      <c r="F105" s="5">
        <v>51554896</v>
      </c>
      <c r="G105" s="7">
        <v>41223755</v>
      </c>
      <c r="H105" s="5"/>
      <c r="I105" s="5">
        <v>6000000</v>
      </c>
      <c r="J105" s="5">
        <v>47223755</v>
      </c>
      <c r="M105" s="206"/>
      <c r="N105" s="131"/>
      <c r="O105" s="128"/>
      <c r="P105" s="130"/>
      <c r="Q105" s="128"/>
      <c r="R105" s="266"/>
      <c r="S105" s="266"/>
      <c r="T105" s="221" t="s">
        <v>255</v>
      </c>
      <c r="U105" s="219"/>
      <c r="V105" s="219"/>
      <c r="W105" s="219"/>
      <c r="X105" s="219"/>
      <c r="Y105" s="219"/>
      <c r="Z105" s="219"/>
      <c r="AA105" s="219"/>
      <c r="AB105" s="223"/>
      <c r="AC105" s="223"/>
      <c r="AD105" s="223"/>
      <c r="AE105" s="256"/>
      <c r="AF105" s="256"/>
      <c r="AG105" s="256"/>
      <c r="AH105" s="223"/>
      <c r="AK105" s="221" t="s">
        <v>255</v>
      </c>
      <c r="AL105" s="219"/>
      <c r="AM105" s="219"/>
      <c r="AN105" s="219"/>
      <c r="AO105" s="219"/>
      <c r="AP105" s="219"/>
      <c r="AQ105" s="219"/>
      <c r="AR105" s="219"/>
      <c r="AS105" s="223"/>
    </row>
    <row r="106" spans="2:45">
      <c r="B106"/>
      <c r="C106">
        <v>16</v>
      </c>
      <c r="D106" t="s">
        <v>256</v>
      </c>
      <c r="E106" t="s">
        <v>244</v>
      </c>
      <c r="F106" s="5">
        <v>104356845</v>
      </c>
      <c r="G106" s="7">
        <v>129849461</v>
      </c>
      <c r="H106" s="5"/>
      <c r="I106" s="5">
        <v>20000000</v>
      </c>
      <c r="J106" s="5">
        <v>149849461</v>
      </c>
      <c r="M106" s="206">
        <v>12</v>
      </c>
      <c r="N106" s="131" t="s">
        <v>611</v>
      </c>
      <c r="O106" s="128">
        <v>14</v>
      </c>
      <c r="P106" s="130" t="s">
        <v>255</v>
      </c>
      <c r="Q106" s="128" t="s">
        <v>248</v>
      </c>
      <c r="R106" s="266">
        <v>0</v>
      </c>
      <c r="S106" s="266">
        <v>0.14554714872529201</v>
      </c>
      <c r="T106" s="221"/>
      <c r="U106" s="219" t="s">
        <v>248</v>
      </c>
      <c r="V106" s="219"/>
      <c r="W106" s="219"/>
      <c r="X106" s="219"/>
      <c r="Y106" s="219"/>
      <c r="Z106" s="219"/>
      <c r="AA106" s="219"/>
      <c r="AB106" s="223">
        <f>+GETPIVOTDATA("PPEF 2011 ",$A$4,"No. Ramo",$M106,"IPP",$N106,"PP",$O106,"Programa Presupuestario (PP)",$P106,"Unidad Responsable (UR)",$Q106)</f>
        <v>41223755</v>
      </c>
      <c r="AC106" s="223">
        <f>+GETPIVOTDATA("Reducción ",$A$4,"No. Ramo",$M106,"IPP",$N106,"PP",$O106,"Programa Presupuestario (PP)",$P106,"Unidad Responsable (UR)",$Q106)</f>
        <v>0</v>
      </c>
      <c r="AD106" s="223">
        <f>+GETPIVOTDATA("Ampliación ",$A$4,"No. Ramo",$M106,"IPP",$N106,"PP",$O106,"Programa Presupuestario (PP)",$P106,"Unidad Responsable (UR)",$Q106)</f>
        <v>6000000</v>
      </c>
      <c r="AE106" s="256">
        <f>+AD106</f>
        <v>6000000</v>
      </c>
      <c r="AF106" s="256"/>
      <c r="AG106" s="256"/>
      <c r="AH106" s="223">
        <f>+AG106+AF106+AE106</f>
        <v>6000000</v>
      </c>
      <c r="AK106" s="221"/>
      <c r="AL106" s="219" t="s">
        <v>248</v>
      </c>
      <c r="AM106" s="219"/>
      <c r="AN106" s="219"/>
      <c r="AO106" s="219"/>
      <c r="AP106" s="219"/>
      <c r="AQ106" s="219"/>
      <c r="AR106" s="219"/>
      <c r="AS106" s="223">
        <f>+AH106</f>
        <v>6000000</v>
      </c>
    </row>
    <row r="107" spans="2:45">
      <c r="B107"/>
      <c r="C107"/>
      <c r="D107"/>
      <c r="E107" t="s">
        <v>235</v>
      </c>
      <c r="F107" s="5">
        <v>2000000</v>
      </c>
      <c r="G107" s="7">
        <v>2000000</v>
      </c>
      <c r="H107" s="5"/>
      <c r="I107" s="5"/>
      <c r="J107" s="5">
        <v>2000000</v>
      </c>
      <c r="M107" s="206"/>
      <c r="N107" s="131"/>
      <c r="O107" s="128"/>
      <c r="P107" s="132"/>
      <c r="Q107" s="128"/>
      <c r="R107" s="266"/>
      <c r="S107" s="266"/>
      <c r="T107" s="221" t="s">
        <v>256</v>
      </c>
      <c r="U107" s="219"/>
      <c r="V107" s="219"/>
      <c r="W107" s="219"/>
      <c r="X107" s="219"/>
      <c r="Y107" s="219"/>
      <c r="Z107" s="219"/>
      <c r="AA107" s="219"/>
      <c r="AB107" s="223"/>
      <c r="AC107" s="223"/>
      <c r="AD107" s="223"/>
      <c r="AE107" s="256"/>
      <c r="AF107" s="256"/>
      <c r="AG107" s="256"/>
      <c r="AH107" s="223"/>
      <c r="AK107" s="221" t="s">
        <v>256</v>
      </c>
      <c r="AL107" s="219"/>
      <c r="AM107" s="219"/>
      <c r="AN107" s="219"/>
      <c r="AO107" s="219"/>
      <c r="AP107" s="219"/>
      <c r="AQ107" s="219"/>
      <c r="AR107" s="219"/>
      <c r="AS107" s="223"/>
    </row>
    <row r="108" spans="2:45">
      <c r="B108"/>
      <c r="C108"/>
      <c r="D108"/>
      <c r="E108" t="s">
        <v>234</v>
      </c>
      <c r="F108" s="5">
        <v>17723182</v>
      </c>
      <c r="G108" s="7">
        <v>7723182</v>
      </c>
      <c r="H108" s="5"/>
      <c r="I108" s="5">
        <v>48000000</v>
      </c>
      <c r="J108" s="5">
        <v>55723182</v>
      </c>
      <c r="M108" s="206">
        <v>12</v>
      </c>
      <c r="N108" s="131" t="s">
        <v>611</v>
      </c>
      <c r="O108" s="128">
        <v>16</v>
      </c>
      <c r="P108" s="131" t="s">
        <v>256</v>
      </c>
      <c r="Q108" s="128" t="s">
        <v>244</v>
      </c>
      <c r="R108" s="266">
        <v>0</v>
      </c>
      <c r="S108" s="266">
        <v>0.15402451304745887</v>
      </c>
      <c r="T108" s="221"/>
      <c r="U108" s="219" t="s">
        <v>244</v>
      </c>
      <c r="V108" s="219"/>
      <c r="W108" s="219"/>
      <c r="X108" s="219"/>
      <c r="Y108" s="219"/>
      <c r="Z108" s="219"/>
      <c r="AA108" s="219"/>
      <c r="AB108" s="223">
        <f>+GETPIVOTDATA("PPEF 2011 ",$A$4,"No. Ramo",$M108,"IPP",$N108,"PP",$O108,"Programa Presupuestario (PP)",$P108,"Unidad Responsable (UR)",$Q108)</f>
        <v>129849461</v>
      </c>
      <c r="AC108" s="223">
        <f>+GETPIVOTDATA("Reducción ",$A$4,"No. Ramo",$M108,"IPP",$N108,"PP",$O108,"Programa Presupuestario (PP)",$P108,"Unidad Responsable (UR)",$Q108)</f>
        <v>0</v>
      </c>
      <c r="AD108" s="223">
        <f>+GETPIVOTDATA("Ampliación ",$A$4,"No. Ramo",$M108,"IPP",$N108,"PP",$O108,"Programa Presupuestario (PP)",$P108,"Unidad Responsable (UR)",$Q108)</f>
        <v>20000000</v>
      </c>
      <c r="AE108" s="256">
        <f>+AD108</f>
        <v>20000000</v>
      </c>
      <c r="AF108" s="256"/>
      <c r="AG108" s="256"/>
      <c r="AH108" s="223">
        <f>+AG108+AF108+AE108</f>
        <v>20000000</v>
      </c>
      <c r="AK108" s="221"/>
      <c r="AL108" s="219" t="s">
        <v>244</v>
      </c>
      <c r="AM108" s="219"/>
      <c r="AN108" s="219"/>
      <c r="AO108" s="219"/>
      <c r="AP108" s="219"/>
      <c r="AQ108" s="219"/>
      <c r="AR108" s="219"/>
      <c r="AS108" s="223">
        <f>+AH108</f>
        <v>20000000</v>
      </c>
    </row>
    <row r="109" spans="2:45">
      <c r="B109"/>
      <c r="C109"/>
      <c r="D109"/>
      <c r="E109" t="s">
        <v>239</v>
      </c>
      <c r="F109" s="5">
        <v>6616671</v>
      </c>
      <c r="G109" s="7">
        <v>6616671</v>
      </c>
      <c r="H109" s="5"/>
      <c r="I109" s="5">
        <v>10000000</v>
      </c>
      <c r="J109" s="5">
        <v>16616671</v>
      </c>
      <c r="M109" s="206">
        <v>12</v>
      </c>
      <c r="N109" s="131" t="s">
        <v>611</v>
      </c>
      <c r="O109" s="128">
        <v>16</v>
      </c>
      <c r="P109" s="131" t="s">
        <v>256</v>
      </c>
      <c r="Q109" s="128" t="s">
        <v>234</v>
      </c>
      <c r="R109" s="266">
        <v>1</v>
      </c>
      <c r="S109" s="266">
        <v>1</v>
      </c>
      <c r="T109" s="217"/>
      <c r="U109" s="219" t="s">
        <v>234</v>
      </c>
      <c r="V109" s="219"/>
      <c r="W109" s="219"/>
      <c r="X109" s="219"/>
      <c r="Y109" s="219"/>
      <c r="Z109" s="219"/>
      <c r="AA109" s="219"/>
      <c r="AB109" s="223">
        <f>+GETPIVOTDATA("PPEF 2011 ",$A$4,"No. Ramo",$M109,"IPP",$N109,"PP",$O109,"Programa Presupuestario (PP)",$P109,"Unidad Responsable (UR)",$Q109)</f>
        <v>7723182</v>
      </c>
      <c r="AC109" s="223">
        <f>+GETPIVOTDATA("Reducción ",$A$4,"No. Ramo",$M109,"IPP",$N109,"PP",$O109,"Programa Presupuestario (PP)",$P109,"Unidad Responsable (UR)",$Q109)</f>
        <v>0</v>
      </c>
      <c r="AD109" s="223">
        <f>+GETPIVOTDATA("Ampliación ",$A$4,"No. Ramo",$M109,"IPP",$N109,"PP",$O109,"Programa Presupuestario (PP)",$P109,"Unidad Responsable (UR)",$Q109)</f>
        <v>48000000</v>
      </c>
      <c r="AE109" s="256">
        <f>+AD109</f>
        <v>48000000</v>
      </c>
      <c r="AF109" s="256">
        <f>+AB109*S109</f>
        <v>7723182</v>
      </c>
      <c r="AG109" s="256"/>
      <c r="AH109" s="223">
        <f>+AG109+AF109+AE109</f>
        <v>55723182</v>
      </c>
      <c r="AK109" s="217"/>
      <c r="AL109" s="219" t="s">
        <v>234</v>
      </c>
      <c r="AM109" s="219"/>
      <c r="AN109" s="219"/>
      <c r="AO109" s="219"/>
      <c r="AP109" s="219"/>
      <c r="AQ109" s="219"/>
      <c r="AR109" s="219"/>
      <c r="AS109" s="223">
        <f>+AH109</f>
        <v>55723182</v>
      </c>
    </row>
    <row r="110" spans="2:45">
      <c r="B110"/>
      <c r="C110"/>
      <c r="D110" t="s">
        <v>1429</v>
      </c>
      <c r="E110"/>
      <c r="F110" s="5">
        <v>130696698</v>
      </c>
      <c r="G110" s="7">
        <v>146189314</v>
      </c>
      <c r="H110" s="5"/>
      <c r="I110" s="5">
        <v>78000000</v>
      </c>
      <c r="J110" s="5">
        <v>224189314</v>
      </c>
      <c r="M110" s="206">
        <v>12</v>
      </c>
      <c r="N110" s="131" t="s">
        <v>611</v>
      </c>
      <c r="O110" s="128">
        <v>16</v>
      </c>
      <c r="P110" s="131" t="s">
        <v>256</v>
      </c>
      <c r="Q110" s="128" t="s">
        <v>239</v>
      </c>
      <c r="R110" s="266">
        <v>1</v>
      </c>
      <c r="S110" s="266">
        <v>1</v>
      </c>
      <c r="T110" s="221"/>
      <c r="U110" s="219" t="s">
        <v>239</v>
      </c>
      <c r="V110" s="219"/>
      <c r="W110" s="219"/>
      <c r="X110" s="219"/>
      <c r="Y110" s="219"/>
      <c r="Z110" s="219"/>
      <c r="AA110" s="219"/>
      <c r="AB110" s="223">
        <f>+GETPIVOTDATA("PPEF 2011 ",$A$4,"No. Ramo",$M110,"IPP",$N110,"PP",$O110,"Programa Presupuestario (PP)",$P110,"Unidad Responsable (UR)",$Q110)</f>
        <v>6616671</v>
      </c>
      <c r="AC110" s="223">
        <f>+GETPIVOTDATA("Reducción ",$A$4,"No. Ramo",$M110,"IPP",$N110,"PP",$O110,"Programa Presupuestario (PP)",$P110,"Unidad Responsable (UR)",$Q110)</f>
        <v>0</v>
      </c>
      <c r="AD110" s="223">
        <f>+GETPIVOTDATA("Ampliación ",$A$4,"No. Ramo",$M110,"IPP",$N110,"PP",$O110,"Programa Presupuestario (PP)",$P110,"Unidad Responsable (UR)",$Q110)</f>
        <v>10000000</v>
      </c>
      <c r="AE110" s="256">
        <f>+AD110</f>
        <v>10000000</v>
      </c>
      <c r="AF110" s="256">
        <f>+AB110*S110</f>
        <v>6616671</v>
      </c>
      <c r="AG110" s="256"/>
      <c r="AH110" s="223">
        <f>+AG110+AF110+AE110</f>
        <v>16616671</v>
      </c>
      <c r="AK110" s="221"/>
      <c r="AL110" s="219" t="s">
        <v>239</v>
      </c>
      <c r="AM110" s="219"/>
      <c r="AN110" s="219"/>
      <c r="AO110" s="219"/>
      <c r="AP110" s="219"/>
      <c r="AQ110" s="219"/>
      <c r="AR110" s="219"/>
      <c r="AS110" s="223">
        <f>+AH110</f>
        <v>16616671</v>
      </c>
    </row>
    <row r="111" spans="2:45">
      <c r="B111"/>
      <c r="C111">
        <v>17</v>
      </c>
      <c r="D111" t="s">
        <v>257</v>
      </c>
      <c r="E111" t="s">
        <v>253</v>
      </c>
      <c r="F111" s="5">
        <v>952187758</v>
      </c>
      <c r="G111" s="7">
        <v>466709966</v>
      </c>
      <c r="H111" s="5"/>
      <c r="I111" s="5">
        <v>859000000</v>
      </c>
      <c r="J111" s="5">
        <v>1325709966</v>
      </c>
      <c r="M111" s="206">
        <v>12</v>
      </c>
      <c r="N111" s="131" t="s">
        <v>611</v>
      </c>
      <c r="O111" s="128">
        <v>16</v>
      </c>
      <c r="P111" s="131" t="s">
        <v>256</v>
      </c>
      <c r="Q111" s="219" t="s">
        <v>235</v>
      </c>
      <c r="R111" s="266">
        <v>1</v>
      </c>
      <c r="S111" s="266">
        <v>1</v>
      </c>
      <c r="T111" s="221"/>
      <c r="U111" s="219" t="s">
        <v>235</v>
      </c>
      <c r="V111" s="219"/>
      <c r="W111" s="219"/>
      <c r="X111" s="219"/>
      <c r="Y111" s="219"/>
      <c r="Z111" s="219"/>
      <c r="AA111" s="219"/>
      <c r="AB111" s="223">
        <f>+GETPIVOTDATA("PPEF 2011 ",$A$4,"No. Ramo",$M111,"IPP",$N111,"PP",$O111,"Programa Presupuestario (PP)",$P111,"Unidad Responsable (UR)",$Q111)</f>
        <v>2000000</v>
      </c>
      <c r="AC111" s="223">
        <f>+GETPIVOTDATA("Reducción ",$A$4,"No. Ramo",$M111,"IPP",$N111,"PP",$O111,"Programa Presupuestario (PP)",$P111,"Unidad Responsable (UR)",$Q111)</f>
        <v>0</v>
      </c>
      <c r="AD111" s="223">
        <f>+GETPIVOTDATA("Ampliación ",$A$4,"No. Ramo",$M111,"IPP",$N111,"PP",$O111,"Programa Presupuestario (PP)",$P111,"Unidad Responsable (UR)",$Q111)</f>
        <v>0</v>
      </c>
      <c r="AE111" s="256">
        <f>+AD111</f>
        <v>0</v>
      </c>
      <c r="AF111" s="256">
        <f>+AB111*S111</f>
        <v>2000000</v>
      </c>
      <c r="AG111" s="256"/>
      <c r="AH111" s="223">
        <f>+AG111+AF111+AE111</f>
        <v>2000000</v>
      </c>
      <c r="AK111" s="221"/>
      <c r="AL111" s="219" t="s">
        <v>239</v>
      </c>
      <c r="AM111" s="219"/>
      <c r="AN111" s="219"/>
      <c r="AO111" s="219"/>
      <c r="AP111" s="219"/>
      <c r="AQ111" s="219"/>
      <c r="AR111" s="219"/>
      <c r="AS111" s="223">
        <f>+AH111</f>
        <v>2000000</v>
      </c>
    </row>
    <row r="112" spans="2:45">
      <c r="B112"/>
      <c r="C112"/>
      <c r="D112"/>
      <c r="E112" t="s">
        <v>232</v>
      </c>
      <c r="F112" s="5">
        <v>7094882</v>
      </c>
      <c r="G112" s="7">
        <v>7094882</v>
      </c>
      <c r="H112" s="5"/>
      <c r="I112" s="5">
        <v>5000000</v>
      </c>
      <c r="J112" s="5">
        <v>12094882</v>
      </c>
      <c r="M112" s="206"/>
      <c r="N112" s="131"/>
      <c r="O112" s="128"/>
      <c r="P112" s="132"/>
      <c r="Q112" s="128"/>
      <c r="R112" s="266"/>
      <c r="S112" s="266"/>
      <c r="T112" s="221" t="s">
        <v>257</v>
      </c>
      <c r="U112" s="219"/>
      <c r="V112" s="219"/>
      <c r="W112" s="219"/>
      <c r="X112" s="219"/>
      <c r="Y112" s="219"/>
      <c r="Z112" s="219"/>
      <c r="AA112" s="219"/>
      <c r="AB112" s="223"/>
      <c r="AC112" s="223"/>
      <c r="AD112" s="223"/>
      <c r="AE112" s="256"/>
      <c r="AF112" s="256"/>
      <c r="AG112" s="256"/>
      <c r="AH112" s="223"/>
      <c r="AK112" s="221" t="s">
        <v>257</v>
      </c>
      <c r="AL112" s="219"/>
      <c r="AM112" s="219"/>
      <c r="AN112" s="219"/>
      <c r="AO112" s="219"/>
      <c r="AP112" s="219"/>
      <c r="AQ112" s="219"/>
      <c r="AR112" s="219"/>
      <c r="AS112" s="223"/>
    </row>
    <row r="113" spans="1:45">
      <c r="B113"/>
      <c r="C113"/>
      <c r="D113"/>
      <c r="E113" t="s">
        <v>239</v>
      </c>
      <c r="F113" s="5">
        <v>14088343</v>
      </c>
      <c r="G113" s="7">
        <v>14088343</v>
      </c>
      <c r="H113" s="5"/>
      <c r="I113" s="5"/>
      <c r="J113" s="5">
        <v>14088343</v>
      </c>
      <c r="M113" s="206">
        <v>12</v>
      </c>
      <c r="N113" s="131" t="s">
        <v>611</v>
      </c>
      <c r="O113" s="128">
        <v>17</v>
      </c>
      <c r="P113" s="131" t="s">
        <v>257</v>
      </c>
      <c r="Q113" s="128" t="s">
        <v>253</v>
      </c>
      <c r="R113" s="266">
        <v>1</v>
      </c>
      <c r="S113" s="266">
        <v>1</v>
      </c>
      <c r="T113" s="221"/>
      <c r="U113" s="219" t="s">
        <v>253</v>
      </c>
      <c r="V113" s="219"/>
      <c r="W113" s="219"/>
      <c r="X113" s="219"/>
      <c r="Y113" s="219"/>
      <c r="Z113" s="219"/>
      <c r="AA113" s="219"/>
      <c r="AB113" s="223">
        <f>+GETPIVOTDATA("PPEF 2011 ",$A$4,"No. Ramo",$M113,"IPP",$N113,"PP",$O113,"Programa Presupuestario (PP)",$P113,"Unidad Responsable (UR)",$Q113)</f>
        <v>466709966</v>
      </c>
      <c r="AC113" s="223">
        <f>+GETPIVOTDATA("Reducción ",$A$4,"No. Ramo",$M113,"IPP",$N113,"PP",$O113,"Programa Presupuestario (PP)",$P113,"Unidad Responsable (UR)",$Q113)</f>
        <v>0</v>
      </c>
      <c r="AD113" s="223">
        <f>+GETPIVOTDATA("Ampliación ",$A$4,"No. Ramo",$M113,"IPP",$N113,"PP",$O113,"Programa Presupuestario (PP)",$P113,"Unidad Responsable (UR)",$Q113)</f>
        <v>859000000</v>
      </c>
      <c r="AE113" s="282">
        <f>+AD113-39000000</f>
        <v>820000000</v>
      </c>
      <c r="AF113" s="256">
        <f>+AB113</f>
        <v>466709966</v>
      </c>
      <c r="AG113" s="268">
        <f>+AD113-AE113</f>
        <v>39000000</v>
      </c>
      <c r="AH113" s="223">
        <f>+AG113+AF113+AE113</f>
        <v>1325709966</v>
      </c>
      <c r="AK113" s="221"/>
      <c r="AL113" s="219" t="s">
        <v>253</v>
      </c>
      <c r="AM113" s="219"/>
      <c r="AN113" s="219"/>
      <c r="AO113" s="219"/>
      <c r="AP113" s="219"/>
      <c r="AQ113" s="219"/>
      <c r="AR113" s="219"/>
      <c r="AS113" s="223">
        <f>+AH113</f>
        <v>1325709966</v>
      </c>
    </row>
    <row r="114" spans="1:45">
      <c r="B114"/>
      <c r="C114"/>
      <c r="D114"/>
      <c r="E114" t="s">
        <v>225</v>
      </c>
      <c r="F114" s="5">
        <v>10017776</v>
      </c>
      <c r="G114" s="7">
        <v>17776</v>
      </c>
      <c r="H114" s="5"/>
      <c r="I114" s="5">
        <v>2000000</v>
      </c>
      <c r="J114" s="5">
        <v>2017776</v>
      </c>
      <c r="M114" s="206">
        <v>12</v>
      </c>
      <c r="N114" s="131" t="s">
        <v>611</v>
      </c>
      <c r="O114" s="128">
        <v>17</v>
      </c>
      <c r="P114" s="131" t="s">
        <v>257</v>
      </c>
      <c r="Q114" s="128" t="s">
        <v>232</v>
      </c>
      <c r="R114" s="266">
        <v>1</v>
      </c>
      <c r="S114" s="266">
        <v>1</v>
      </c>
      <c r="T114" s="217"/>
      <c r="U114" s="219" t="s">
        <v>232</v>
      </c>
      <c r="V114" s="219"/>
      <c r="W114" s="219"/>
      <c r="X114" s="219"/>
      <c r="Y114" s="219"/>
      <c r="Z114" s="219"/>
      <c r="AA114" s="219"/>
      <c r="AB114" s="223">
        <f>+GETPIVOTDATA("PPEF 2011 ",$A$4,"No. Ramo",$M114,"IPP",$N114,"PP",$O114,"Programa Presupuestario (PP)",$P114,"Unidad Responsable (UR)",$Q114)</f>
        <v>7094882</v>
      </c>
      <c r="AC114" s="223">
        <f>+GETPIVOTDATA("Reducción ",$A$4,"No. Ramo",$M114,"IPP",$N114,"PP",$O114,"Programa Presupuestario (PP)",$P114,"Unidad Responsable (UR)",$Q114)</f>
        <v>0</v>
      </c>
      <c r="AD114" s="223">
        <f>+GETPIVOTDATA("Ampliación ",$A$4,"No. Ramo",$M114,"IPP",$N114,"PP",$O114,"Programa Presupuestario (PP)",$P114,"Unidad Responsable (UR)",$Q114)</f>
        <v>5000000</v>
      </c>
      <c r="AE114" s="256">
        <f>+AD114</f>
        <v>5000000</v>
      </c>
      <c r="AF114" s="256">
        <f>+AB114</f>
        <v>7094882</v>
      </c>
      <c r="AG114" s="256"/>
      <c r="AH114" s="223">
        <f>+AG114+AF114+AE114</f>
        <v>12094882</v>
      </c>
      <c r="AK114" s="217"/>
      <c r="AL114" s="219" t="s">
        <v>232</v>
      </c>
      <c r="AM114" s="219"/>
      <c r="AN114" s="219"/>
      <c r="AO114" s="219"/>
      <c r="AP114" s="219"/>
      <c r="AQ114" s="219"/>
      <c r="AR114" s="219"/>
      <c r="AS114" s="223">
        <f>+AH114</f>
        <v>12094882</v>
      </c>
    </row>
    <row r="115" spans="1:45">
      <c r="B115"/>
      <c r="C115"/>
      <c r="D115" t="s">
        <v>1430</v>
      </c>
      <c r="E115"/>
      <c r="F115" s="5">
        <v>983388759</v>
      </c>
      <c r="G115" s="7">
        <v>487910967</v>
      </c>
      <c r="H115" s="5"/>
      <c r="I115" s="5">
        <v>866000000</v>
      </c>
      <c r="J115" s="5">
        <v>1353910967</v>
      </c>
      <c r="M115" s="206">
        <v>12</v>
      </c>
      <c r="N115" s="131" t="s">
        <v>611</v>
      </c>
      <c r="O115" s="128">
        <v>17</v>
      </c>
      <c r="P115" s="131" t="s">
        <v>257</v>
      </c>
      <c r="Q115" s="128" t="s">
        <v>239</v>
      </c>
      <c r="R115" s="266">
        <v>1</v>
      </c>
      <c r="S115" s="266">
        <v>1</v>
      </c>
      <c r="T115" s="221"/>
      <c r="U115" s="219" t="s">
        <v>239</v>
      </c>
      <c r="V115" s="219"/>
      <c r="W115" s="219"/>
      <c r="X115" s="219"/>
      <c r="Y115" s="219"/>
      <c r="Z115" s="219"/>
      <c r="AA115" s="219"/>
      <c r="AB115" s="223">
        <f>+GETPIVOTDATA("PPEF 2011 ",$A$4,"No. Ramo",$M115,"IPP",$N115,"PP",$O115,"Programa Presupuestario (PP)",$P115,"Unidad Responsable (UR)",$Q115)</f>
        <v>14088343</v>
      </c>
      <c r="AC115" s="223">
        <f>+GETPIVOTDATA("Reducción ",$A$4,"No. Ramo",$M115,"IPP",$N115,"PP",$O115,"Programa Presupuestario (PP)",$P115,"Unidad Responsable (UR)",$Q115)</f>
        <v>0</v>
      </c>
      <c r="AD115" s="223">
        <f>+GETPIVOTDATA("Ampliación ",$A$4,"No. Ramo",$M115,"IPP",$N115,"PP",$O115,"Programa Presupuestario (PP)",$P115,"Unidad Responsable (UR)",$Q115)</f>
        <v>0</v>
      </c>
      <c r="AE115" s="256">
        <f>+AD115</f>
        <v>0</v>
      </c>
      <c r="AF115" s="256">
        <f>+AB115</f>
        <v>14088343</v>
      </c>
      <c r="AG115" s="256"/>
      <c r="AH115" s="223">
        <f>+AG115+AF115+AE115</f>
        <v>14088343</v>
      </c>
      <c r="AK115" s="221"/>
      <c r="AL115" s="219" t="s">
        <v>239</v>
      </c>
      <c r="AM115" s="219"/>
      <c r="AN115" s="219"/>
      <c r="AO115" s="219"/>
      <c r="AP115" s="219"/>
      <c r="AQ115" s="219"/>
      <c r="AR115" s="219"/>
      <c r="AS115" s="223">
        <f>+AH115</f>
        <v>14088343</v>
      </c>
    </row>
    <row r="116" spans="1:45">
      <c r="B116"/>
      <c r="C116">
        <v>18</v>
      </c>
      <c r="D116" t="s">
        <v>258</v>
      </c>
      <c r="E116" t="s">
        <v>253</v>
      </c>
      <c r="F116" s="5">
        <v>259493301</v>
      </c>
      <c r="G116" s="7">
        <v>298494664</v>
      </c>
      <c r="H116" s="5"/>
      <c r="I116" s="5"/>
      <c r="J116" s="5">
        <v>298494664</v>
      </c>
      <c r="M116" s="206">
        <v>12</v>
      </c>
      <c r="N116" s="131" t="s">
        <v>611</v>
      </c>
      <c r="O116" s="128">
        <v>17</v>
      </c>
      <c r="P116" s="131" t="s">
        <v>257</v>
      </c>
      <c r="Q116" s="128" t="s">
        <v>225</v>
      </c>
      <c r="R116" s="266">
        <v>0</v>
      </c>
      <c r="S116" s="266">
        <v>0</v>
      </c>
      <c r="T116" s="217"/>
      <c r="U116" s="219" t="s">
        <v>225</v>
      </c>
      <c r="V116" s="219"/>
      <c r="W116" s="219"/>
      <c r="X116" s="219"/>
      <c r="Y116" s="219"/>
      <c r="Z116" s="219"/>
      <c r="AA116" s="219"/>
      <c r="AB116" s="223">
        <f>+GETPIVOTDATA("PPEF 2011 ",$A$4,"No. Ramo",$M116,"IPP",$N116,"PP",$O116,"Programa Presupuestario (PP)",$P116,"Unidad Responsable (UR)",$Q116)</f>
        <v>17776</v>
      </c>
      <c r="AC116" s="223">
        <f>+GETPIVOTDATA("Reducción ",$A$4,"No. Ramo",$M116,"IPP",$N116,"PP",$O116,"Programa Presupuestario (PP)",$P116,"Unidad Responsable (UR)",$Q116)</f>
        <v>0</v>
      </c>
      <c r="AD116" s="223">
        <f>+GETPIVOTDATA("Ampliación ",$A$4,"No. Ramo",$M116,"IPP",$N116,"PP",$O116,"Programa Presupuestario (PP)",$P116,"Unidad Responsable (UR)",$Q116)</f>
        <v>2000000</v>
      </c>
      <c r="AE116" s="256">
        <f>+AD116</f>
        <v>2000000</v>
      </c>
      <c r="AF116" s="256">
        <f>+AB116</f>
        <v>17776</v>
      </c>
      <c r="AG116" s="256"/>
      <c r="AH116" s="223">
        <f>+AG116+AF116+AE116</f>
        <v>2017776</v>
      </c>
      <c r="AK116" s="217"/>
      <c r="AL116" s="219" t="s">
        <v>225</v>
      </c>
      <c r="AM116" s="219"/>
      <c r="AN116" s="219"/>
      <c r="AO116" s="219"/>
      <c r="AP116" s="219"/>
      <c r="AQ116" s="219"/>
      <c r="AR116" s="219"/>
      <c r="AS116" s="223">
        <f>+AH116</f>
        <v>2017776</v>
      </c>
    </row>
    <row r="117" spans="1:45">
      <c r="B117"/>
      <c r="C117"/>
      <c r="D117" t="s">
        <v>1431</v>
      </c>
      <c r="E117"/>
      <c r="F117" s="5">
        <v>259493301</v>
      </c>
      <c r="G117" s="7">
        <v>298494664</v>
      </c>
      <c r="H117" s="5"/>
      <c r="I117" s="5"/>
      <c r="J117" s="5">
        <v>298494664</v>
      </c>
      <c r="M117" s="206"/>
      <c r="N117" s="131"/>
      <c r="O117" s="128"/>
      <c r="P117" s="130"/>
      <c r="Q117" s="128"/>
      <c r="R117" s="266"/>
      <c r="S117" s="266"/>
      <c r="T117" s="221" t="s">
        <v>258</v>
      </c>
      <c r="U117" s="219"/>
      <c r="V117" s="219"/>
      <c r="W117" s="219"/>
      <c r="X117" s="219"/>
      <c r="Y117" s="219"/>
      <c r="Z117" s="219"/>
      <c r="AA117" s="219"/>
      <c r="AB117" s="223"/>
      <c r="AC117" s="223"/>
      <c r="AD117" s="223"/>
      <c r="AE117" s="256"/>
      <c r="AF117" s="256"/>
      <c r="AG117" s="256"/>
      <c r="AH117" s="223"/>
      <c r="AK117" s="221" t="s">
        <v>258</v>
      </c>
      <c r="AL117" s="219"/>
      <c r="AM117" s="219"/>
      <c r="AN117" s="219"/>
      <c r="AO117" s="219"/>
      <c r="AP117" s="219"/>
      <c r="AQ117" s="219"/>
      <c r="AR117" s="219"/>
      <c r="AS117" s="223"/>
    </row>
    <row r="118" spans="1:45">
      <c r="B118"/>
      <c r="C118">
        <v>19</v>
      </c>
      <c r="D118" t="s">
        <v>259</v>
      </c>
      <c r="E118" t="s">
        <v>247</v>
      </c>
      <c r="F118" s="5">
        <v>249843000</v>
      </c>
      <c r="G118" s="7">
        <v>259843000</v>
      </c>
      <c r="H118" s="5"/>
      <c r="I118" s="5"/>
      <c r="J118" s="5">
        <v>259843000</v>
      </c>
      <c r="M118" s="206">
        <v>12</v>
      </c>
      <c r="N118" s="131" t="s">
        <v>611</v>
      </c>
      <c r="O118" s="128">
        <v>18</v>
      </c>
      <c r="P118" s="130" t="s">
        <v>258</v>
      </c>
      <c r="Q118" s="128" t="s">
        <v>253</v>
      </c>
      <c r="R118" s="266">
        <v>1</v>
      </c>
      <c r="S118" s="266">
        <v>1</v>
      </c>
      <c r="T118" s="221"/>
      <c r="U118" s="219" t="s">
        <v>253</v>
      </c>
      <c r="V118" s="219"/>
      <c r="W118" s="219"/>
      <c r="X118" s="219"/>
      <c r="Y118" s="219"/>
      <c r="Z118" s="219"/>
      <c r="AA118" s="219"/>
      <c r="AB118" s="223">
        <f>+GETPIVOTDATA("PPEF 2011 ",$A$4,"No. Ramo",$M118,"IPP",$N118,"PP",$O118,"Programa Presupuestario (PP)",$P118,"Unidad Responsable (UR)",$Q118)</f>
        <v>298494664</v>
      </c>
      <c r="AC118" s="223">
        <f>+GETPIVOTDATA("Reducción ",$A$4,"No. Ramo",$M118,"IPP",$N118,"PP",$O118,"Programa Presupuestario (PP)",$P118,"Unidad Responsable (UR)",$Q118)</f>
        <v>0</v>
      </c>
      <c r="AD118" s="223">
        <f>+GETPIVOTDATA("Ampliación ",$A$4,"No. Ramo",$M118,"IPP",$N118,"PP",$O118,"Programa Presupuestario (PP)",$P118,"Unidad Responsable (UR)",$Q118)</f>
        <v>0</v>
      </c>
      <c r="AE118" s="256"/>
      <c r="AF118" s="256">
        <f>+AB118</f>
        <v>298494664</v>
      </c>
      <c r="AG118" s="256">
        <f>+AD118</f>
        <v>0</v>
      </c>
      <c r="AH118" s="223">
        <f>+AG118+AF118+AE118</f>
        <v>298494664</v>
      </c>
      <c r="AK118" s="221"/>
      <c r="AL118" s="219" t="s">
        <v>253</v>
      </c>
      <c r="AM118" s="219"/>
      <c r="AN118" s="219"/>
      <c r="AO118" s="219"/>
      <c r="AP118" s="219"/>
      <c r="AQ118" s="219"/>
      <c r="AR118" s="219"/>
      <c r="AS118" s="223">
        <f>+AH118</f>
        <v>298494664</v>
      </c>
    </row>
    <row r="119" spans="1:45">
      <c r="B119"/>
      <c r="C119"/>
      <c r="D119"/>
      <c r="E119" t="s">
        <v>225</v>
      </c>
      <c r="F119" s="5">
        <v>300789</v>
      </c>
      <c r="G119" s="7">
        <v>300789</v>
      </c>
      <c r="H119" s="5"/>
      <c r="I119" s="5"/>
      <c r="J119" s="5">
        <v>300789</v>
      </c>
      <c r="M119" s="206"/>
      <c r="N119" s="131"/>
      <c r="O119" s="128"/>
      <c r="P119" s="130"/>
      <c r="Q119" s="128"/>
      <c r="R119" s="266"/>
      <c r="S119" s="266"/>
      <c r="T119" s="221" t="s">
        <v>259</v>
      </c>
      <c r="U119" s="219"/>
      <c r="V119" s="219"/>
      <c r="W119" s="219"/>
      <c r="X119" s="219"/>
      <c r="Y119" s="219"/>
      <c r="Z119" s="219"/>
      <c r="AA119" s="219"/>
      <c r="AB119" s="223"/>
      <c r="AC119" s="223"/>
      <c r="AD119" s="223"/>
      <c r="AE119" s="256"/>
      <c r="AF119" s="256"/>
      <c r="AG119" s="256"/>
      <c r="AH119" s="223"/>
      <c r="AK119" s="221" t="s">
        <v>259</v>
      </c>
      <c r="AL119" s="219"/>
      <c r="AM119" s="219"/>
      <c r="AN119" s="219"/>
      <c r="AO119" s="219"/>
      <c r="AP119" s="219"/>
      <c r="AQ119" s="219"/>
      <c r="AR119" s="219"/>
      <c r="AS119" s="223"/>
    </row>
    <row r="120" spans="1:45">
      <c r="B120"/>
      <c r="C120"/>
      <c r="D120" t="s">
        <v>1432</v>
      </c>
      <c r="E120"/>
      <c r="F120" s="5">
        <v>250143789</v>
      </c>
      <c r="G120" s="7">
        <v>260143789</v>
      </c>
      <c r="H120" s="5"/>
      <c r="I120" s="5"/>
      <c r="J120" s="5">
        <v>260143789</v>
      </c>
      <c r="M120" s="206">
        <v>12</v>
      </c>
      <c r="N120" s="131" t="s">
        <v>611</v>
      </c>
      <c r="O120" s="128">
        <v>19</v>
      </c>
      <c r="P120" s="130" t="s">
        <v>259</v>
      </c>
      <c r="Q120" s="128" t="s">
        <v>247</v>
      </c>
      <c r="R120" s="266">
        <v>1</v>
      </c>
      <c r="S120" s="266">
        <v>1</v>
      </c>
      <c r="T120" s="221"/>
      <c r="U120" s="219" t="s">
        <v>247</v>
      </c>
      <c r="V120" s="219"/>
      <c r="W120" s="219"/>
      <c r="X120" s="219"/>
      <c r="Y120" s="219"/>
      <c r="Z120" s="219"/>
      <c r="AA120" s="219"/>
      <c r="AB120" s="223">
        <f>+GETPIVOTDATA("PPEF 2011 ",$A$4,"No. Ramo",$M120,"IPP",$N120,"PP",$O120,"Programa Presupuestario (PP)",$P120,"Unidad Responsable (UR)",$Q120)</f>
        <v>259843000</v>
      </c>
      <c r="AC120" s="223">
        <f>+GETPIVOTDATA("Reducción ",$A$4,"No. Ramo",$M120,"IPP",$N120,"PP",$O120,"Programa Presupuestario (PP)",$P120,"Unidad Responsable (UR)",$Q120)</f>
        <v>0</v>
      </c>
      <c r="AD120" s="223">
        <f>+GETPIVOTDATA("Ampliación ",$A$4,"No. Ramo",$M120,"IPP",$N120,"PP",$O120,"Programa Presupuestario (PP)",$P120,"Unidad Responsable (UR)",$Q120)</f>
        <v>0</v>
      </c>
      <c r="AE120" s="256"/>
      <c r="AF120" s="256">
        <f>+AB120</f>
        <v>259843000</v>
      </c>
      <c r="AG120" s="256">
        <f>+AD120</f>
        <v>0</v>
      </c>
      <c r="AH120" s="223">
        <f>+AG120+AF120+AE120</f>
        <v>259843000</v>
      </c>
      <c r="AK120" s="221"/>
      <c r="AL120" s="219" t="s">
        <v>247</v>
      </c>
      <c r="AM120" s="219"/>
      <c r="AN120" s="219"/>
      <c r="AO120" s="219"/>
      <c r="AP120" s="219"/>
      <c r="AQ120" s="219"/>
      <c r="AR120" s="219"/>
      <c r="AS120" s="223">
        <f>+AH120</f>
        <v>259843000</v>
      </c>
    </row>
    <row r="121" spans="1:45">
      <c r="B121" t="s">
        <v>619</v>
      </c>
      <c r="C121">
        <v>150</v>
      </c>
      <c r="D121" t="s">
        <v>262</v>
      </c>
      <c r="E121" t="s">
        <v>242</v>
      </c>
      <c r="F121" s="5">
        <v>381960068</v>
      </c>
      <c r="G121" s="7">
        <v>397690601</v>
      </c>
      <c r="H121" s="5"/>
      <c r="I121" s="5"/>
      <c r="J121" s="5">
        <v>397690601</v>
      </c>
      <c r="M121" s="206">
        <v>12</v>
      </c>
      <c r="N121" s="131" t="s">
        <v>611</v>
      </c>
      <c r="O121" s="128">
        <v>19</v>
      </c>
      <c r="P121" s="130" t="s">
        <v>259</v>
      </c>
      <c r="Q121" s="127" t="s">
        <v>225</v>
      </c>
      <c r="R121" s="266">
        <v>1</v>
      </c>
      <c r="S121" s="266">
        <v>1</v>
      </c>
      <c r="T121" s="221"/>
      <c r="U121" s="219" t="s">
        <v>225</v>
      </c>
      <c r="V121" s="219"/>
      <c r="W121" s="219"/>
      <c r="X121" s="219"/>
      <c r="Y121" s="219"/>
      <c r="Z121" s="219"/>
      <c r="AA121" s="219"/>
      <c r="AB121" s="223">
        <f>+GETPIVOTDATA("PPEF 2011 ",$A$4,"No. Ramo",$M121,"IPP",$N121,"PP",$O121,"Programa Presupuestario (PP)",$P121,"Unidad Responsable (UR)",$Q121)</f>
        <v>300789</v>
      </c>
      <c r="AC121" s="223">
        <f>+GETPIVOTDATA("Reducción ",$A$4,"No. Ramo",$M121,"IPP",$N121,"PP",$O121,"Programa Presupuestario (PP)",$P121,"Unidad Responsable (UR)",$Q121)</f>
        <v>0</v>
      </c>
      <c r="AD121" s="223">
        <f>+GETPIVOTDATA("Ampliación ",$A$4,"No. Ramo",$M121,"IPP",$N121,"PP",$O121,"Programa Presupuestario (PP)",$P121,"Unidad Responsable (UR)",$Q121)</f>
        <v>0</v>
      </c>
      <c r="AE121" s="256"/>
      <c r="AF121" s="256">
        <f>+AB121</f>
        <v>300789</v>
      </c>
      <c r="AG121" s="256">
        <f>+AD121</f>
        <v>0</v>
      </c>
      <c r="AH121" s="223">
        <f>+AG121+AF121+AE121</f>
        <v>300789</v>
      </c>
      <c r="AK121" s="221"/>
      <c r="AL121" s="219" t="s">
        <v>225</v>
      </c>
      <c r="AM121" s="219"/>
      <c r="AN121" s="219"/>
      <c r="AO121" s="219"/>
      <c r="AP121" s="219"/>
      <c r="AQ121" s="219"/>
      <c r="AR121" s="219"/>
      <c r="AS121" s="223">
        <f>+AH121</f>
        <v>300789</v>
      </c>
    </row>
    <row r="122" spans="1:45">
      <c r="B122"/>
      <c r="C122"/>
      <c r="D122" t="s">
        <v>1433</v>
      </c>
      <c r="E122"/>
      <c r="F122" s="5">
        <v>381960068</v>
      </c>
      <c r="G122" s="7">
        <v>397690601</v>
      </c>
      <c r="H122" s="5"/>
      <c r="I122" s="5"/>
      <c r="J122" s="5">
        <v>397690601</v>
      </c>
      <c r="M122" s="206"/>
      <c r="N122" s="132"/>
      <c r="O122" s="128"/>
      <c r="P122" s="130"/>
      <c r="Q122" s="128"/>
      <c r="R122" s="266"/>
      <c r="S122" s="266"/>
      <c r="T122" s="221" t="s">
        <v>262</v>
      </c>
      <c r="U122" s="219"/>
      <c r="V122" s="219"/>
      <c r="W122" s="219"/>
      <c r="X122" s="219"/>
      <c r="Y122" s="219"/>
      <c r="Z122" s="219"/>
      <c r="AA122" s="219"/>
      <c r="AB122" s="223"/>
      <c r="AC122" s="223"/>
      <c r="AD122" s="223"/>
      <c r="AE122" s="256"/>
      <c r="AF122" s="256"/>
      <c r="AG122" s="256"/>
      <c r="AH122" s="223"/>
      <c r="AK122" s="221" t="s">
        <v>262</v>
      </c>
      <c r="AL122" s="219"/>
      <c r="AM122" s="219"/>
      <c r="AN122" s="219"/>
      <c r="AO122" s="219"/>
      <c r="AP122" s="219"/>
      <c r="AQ122" s="219"/>
      <c r="AR122" s="219"/>
      <c r="AS122" s="223"/>
    </row>
    <row r="123" spans="1:45">
      <c r="B123"/>
      <c r="C123">
        <v>174</v>
      </c>
      <c r="D123" t="s">
        <v>263</v>
      </c>
      <c r="E123" t="s">
        <v>242</v>
      </c>
      <c r="F123" s="5">
        <v>124273664</v>
      </c>
      <c r="G123" s="7">
        <v>202400000</v>
      </c>
      <c r="H123" s="5"/>
      <c r="I123" s="5"/>
      <c r="J123" s="5">
        <v>202400000</v>
      </c>
      <c r="M123" s="206">
        <v>12</v>
      </c>
      <c r="N123" s="131" t="s">
        <v>619</v>
      </c>
      <c r="O123" s="128">
        <v>150</v>
      </c>
      <c r="P123" s="130" t="s">
        <v>262</v>
      </c>
      <c r="Q123" s="128" t="s">
        <v>242</v>
      </c>
      <c r="R123" s="266">
        <v>1</v>
      </c>
      <c r="S123" s="266">
        <v>1</v>
      </c>
      <c r="T123" s="221"/>
      <c r="U123" s="219" t="s">
        <v>242</v>
      </c>
      <c r="V123" s="219"/>
      <c r="W123" s="219"/>
      <c r="X123" s="219"/>
      <c r="Y123" s="219"/>
      <c r="Z123" s="219"/>
      <c r="AA123" s="219"/>
      <c r="AB123" s="223">
        <f>+GETPIVOTDATA("PPEF 2011 ",$A$4,"No. Ramo",$M123,"IPP",$N123,"PP",$O123,"Programa Presupuestario (PP)",$P123,"Unidad Responsable (UR)",$Q123)</f>
        <v>397690601</v>
      </c>
      <c r="AC123" s="223">
        <f>+GETPIVOTDATA("Reducción ",$A$4,"No. Ramo",$M123,"IPP",$N123,"PP",$O123,"Programa Presupuestario (PP)",$P123,"Unidad Responsable (UR)",$Q123)</f>
        <v>0</v>
      </c>
      <c r="AD123" s="223">
        <f>+GETPIVOTDATA("Ampliación ",$A$4,"No. Ramo",$M123,"IPP",$N123,"PP",$O123,"Programa Presupuestario (PP)",$P123,"Unidad Responsable (UR)",$Q123)</f>
        <v>0</v>
      </c>
      <c r="AE123" s="256"/>
      <c r="AF123" s="256">
        <f>+AB123</f>
        <v>397690601</v>
      </c>
      <c r="AG123" s="256">
        <f>+AD123</f>
        <v>0</v>
      </c>
      <c r="AH123" s="223">
        <f>+AG123+AF123+AE123</f>
        <v>397690601</v>
      </c>
      <c r="AK123" s="221"/>
      <c r="AL123" s="219" t="s">
        <v>242</v>
      </c>
      <c r="AM123" s="219"/>
      <c r="AN123" s="219"/>
      <c r="AO123" s="219"/>
      <c r="AP123" s="219"/>
      <c r="AQ123" s="219"/>
      <c r="AR123" s="219"/>
      <c r="AS123" s="223">
        <f>+AH123</f>
        <v>397690601</v>
      </c>
    </row>
    <row r="124" spans="1:45">
      <c r="B124"/>
      <c r="C124"/>
      <c r="D124" t="s">
        <v>1434</v>
      </c>
      <c r="E124"/>
      <c r="F124" s="5">
        <v>124273664</v>
      </c>
      <c r="G124" s="7">
        <v>202400000</v>
      </c>
      <c r="H124" s="5"/>
      <c r="I124" s="5"/>
      <c r="J124" s="5">
        <v>202400000</v>
      </c>
      <c r="M124" s="206"/>
      <c r="N124" s="132"/>
      <c r="O124" s="128"/>
      <c r="P124" s="130"/>
      <c r="Q124" s="128"/>
      <c r="R124" s="266"/>
      <c r="S124" s="266"/>
      <c r="T124" s="221" t="s">
        <v>263</v>
      </c>
      <c r="U124" s="219"/>
      <c r="V124" s="219"/>
      <c r="W124" s="219"/>
      <c r="X124" s="219"/>
      <c r="Y124" s="219"/>
      <c r="Z124" s="219"/>
      <c r="AA124" s="219"/>
      <c r="AB124" s="223"/>
      <c r="AC124" s="223"/>
      <c r="AD124" s="223"/>
      <c r="AE124" s="256"/>
      <c r="AF124" s="256"/>
      <c r="AG124" s="256"/>
      <c r="AH124" s="223"/>
      <c r="AK124" s="221" t="s">
        <v>263</v>
      </c>
      <c r="AL124" s="219"/>
      <c r="AM124" s="219"/>
      <c r="AN124" s="219"/>
      <c r="AO124" s="219"/>
      <c r="AP124" s="219"/>
      <c r="AQ124" s="219"/>
      <c r="AR124" s="219"/>
      <c r="AS124" s="223"/>
    </row>
    <row r="125" spans="1:45">
      <c r="A125" s="9">
        <v>13</v>
      </c>
      <c r="B125" t="s">
        <v>614</v>
      </c>
      <c r="C125">
        <v>12</v>
      </c>
      <c r="D125" t="s">
        <v>267</v>
      </c>
      <c r="E125" t="s">
        <v>24</v>
      </c>
      <c r="F125" s="5"/>
      <c r="G125" s="7">
        <v>21000000</v>
      </c>
      <c r="H125" s="5"/>
      <c r="I125" s="5"/>
      <c r="J125" s="5">
        <v>21000000</v>
      </c>
      <c r="M125" s="206">
        <v>12</v>
      </c>
      <c r="N125" s="131" t="s">
        <v>619</v>
      </c>
      <c r="O125" s="128">
        <v>174</v>
      </c>
      <c r="P125" s="130" t="s">
        <v>263</v>
      </c>
      <c r="Q125" s="128" t="s">
        <v>242</v>
      </c>
      <c r="R125" s="266">
        <v>1</v>
      </c>
      <c r="S125" s="266">
        <v>1</v>
      </c>
      <c r="T125" s="221"/>
      <c r="U125" s="219" t="s">
        <v>242</v>
      </c>
      <c r="V125" s="219"/>
      <c r="W125" s="219"/>
      <c r="X125" s="219"/>
      <c r="Y125" s="219"/>
      <c r="Z125" s="219"/>
      <c r="AA125" s="219"/>
      <c r="AB125" s="223">
        <f>+GETPIVOTDATA("PPEF 2011 ",$A$4,"No. Ramo",$M125,"IPP",$N125,"PP",$O125,"Programa Presupuestario (PP)",$P125,"Unidad Responsable (UR)",$Q125)</f>
        <v>202400000</v>
      </c>
      <c r="AC125" s="223">
        <f>+GETPIVOTDATA("Reducción ",$A$4,"No. Ramo",$M125,"IPP",$N125,"PP",$O125,"Programa Presupuestario (PP)",$P125,"Unidad Responsable (UR)",$Q125)</f>
        <v>0</v>
      </c>
      <c r="AD125" s="223">
        <f>+GETPIVOTDATA("Ampliación ",$A$4,"No. Ramo",$M125,"IPP",$N125,"PP",$O125,"Programa Presupuestario (PP)",$P125,"Unidad Responsable (UR)",$Q125)</f>
        <v>0</v>
      </c>
      <c r="AE125" s="256"/>
      <c r="AF125" s="256">
        <f>+AB125</f>
        <v>202400000</v>
      </c>
      <c r="AG125" s="256">
        <f>+AD125</f>
        <v>0</v>
      </c>
      <c r="AH125" s="223">
        <f>+AG125+AF125+AE125</f>
        <v>202400000</v>
      </c>
      <c r="AK125" s="221"/>
      <c r="AL125" s="219" t="s">
        <v>242</v>
      </c>
      <c r="AM125" s="219"/>
      <c r="AN125" s="219"/>
      <c r="AO125" s="219"/>
      <c r="AP125" s="219"/>
      <c r="AQ125" s="219"/>
      <c r="AR125" s="219"/>
      <c r="AS125" s="223">
        <f>+AH125</f>
        <v>202400000</v>
      </c>
    </row>
    <row r="126" spans="1:45">
      <c r="B126"/>
      <c r="C126"/>
      <c r="D126" t="s">
        <v>1435</v>
      </c>
      <c r="E126"/>
      <c r="F126" s="5"/>
      <c r="G126" s="7">
        <v>21000000</v>
      </c>
      <c r="H126" s="5"/>
      <c r="I126" s="5"/>
      <c r="J126" s="5">
        <v>21000000</v>
      </c>
      <c r="M126" s="203"/>
      <c r="N126" s="130"/>
      <c r="O126" s="128"/>
      <c r="P126" s="130"/>
      <c r="Q126" s="128"/>
      <c r="R126" s="266"/>
      <c r="S126" s="266"/>
      <c r="T126" s="217" t="s">
        <v>1351</v>
      </c>
      <c r="AB126" s="220">
        <f t="shared" ref="AB126:AH126" si="12">+SUM(AB127:AB128)</f>
        <v>21000000</v>
      </c>
      <c r="AC126" s="220">
        <f t="shared" si="12"/>
        <v>0</v>
      </c>
      <c r="AD126" s="220">
        <f t="shared" si="12"/>
        <v>0</v>
      </c>
      <c r="AE126" s="220">
        <f t="shared" si="12"/>
        <v>0</v>
      </c>
      <c r="AF126" s="220">
        <f t="shared" si="12"/>
        <v>21000000</v>
      </c>
      <c r="AG126" s="220">
        <f t="shared" si="12"/>
        <v>0</v>
      </c>
      <c r="AH126" s="220">
        <f t="shared" si="12"/>
        <v>21000000</v>
      </c>
      <c r="AK126" s="217" t="s">
        <v>1351</v>
      </c>
      <c r="AS126" s="220">
        <f>+AH126</f>
        <v>21000000</v>
      </c>
    </row>
    <row r="127" spans="1:45">
      <c r="A127">
        <v>14</v>
      </c>
      <c r="B127" t="s">
        <v>613</v>
      </c>
      <c r="C127">
        <v>2</v>
      </c>
      <c r="D127" t="s">
        <v>268</v>
      </c>
      <c r="E127" t="s">
        <v>269</v>
      </c>
      <c r="F127" s="5">
        <v>170964400</v>
      </c>
      <c r="G127" s="7">
        <v>170090193</v>
      </c>
      <c r="H127" s="5"/>
      <c r="I127" s="5"/>
      <c r="J127" s="5">
        <v>170090193</v>
      </c>
      <c r="M127" s="203"/>
      <c r="N127" s="130"/>
      <c r="O127" s="128"/>
      <c r="P127" s="130"/>
      <c r="Q127" s="128"/>
      <c r="R127" s="266"/>
      <c r="S127" s="266"/>
      <c r="T127" s="221" t="s">
        <v>267</v>
      </c>
      <c r="U127" s="219"/>
      <c r="V127" s="219"/>
      <c r="W127" s="219"/>
      <c r="X127" s="219"/>
      <c r="Y127" s="219"/>
      <c r="Z127" s="219"/>
      <c r="AA127" s="219"/>
      <c r="AB127" s="223"/>
      <c r="AC127" s="223"/>
      <c r="AD127" s="223"/>
      <c r="AE127" s="256"/>
      <c r="AF127" s="256"/>
      <c r="AG127" s="256"/>
      <c r="AH127" s="223"/>
      <c r="AK127" s="221" t="s">
        <v>267</v>
      </c>
      <c r="AL127" s="219"/>
      <c r="AM127" s="219"/>
      <c r="AN127" s="219"/>
      <c r="AO127" s="219"/>
      <c r="AP127" s="219"/>
      <c r="AQ127" s="219"/>
      <c r="AR127" s="219"/>
      <c r="AS127" s="223"/>
    </row>
    <row r="128" spans="1:45">
      <c r="A128"/>
      <c r="B128"/>
      <c r="C128"/>
      <c r="D128" t="s">
        <v>1436</v>
      </c>
      <c r="E128"/>
      <c r="F128" s="5">
        <v>170964400</v>
      </c>
      <c r="G128" s="7">
        <v>170090193</v>
      </c>
      <c r="H128" s="5"/>
      <c r="I128" s="5"/>
      <c r="J128" s="5">
        <v>170090193</v>
      </c>
      <c r="M128" s="203">
        <v>13</v>
      </c>
      <c r="N128" s="130" t="s">
        <v>614</v>
      </c>
      <c r="O128" s="128">
        <v>12</v>
      </c>
      <c r="P128" s="130" t="s">
        <v>267</v>
      </c>
      <c r="Q128" s="128" t="s">
        <v>24</v>
      </c>
      <c r="R128" s="266">
        <v>1</v>
      </c>
      <c r="S128" s="266">
        <v>1</v>
      </c>
      <c r="T128" s="221"/>
      <c r="U128" s="219" t="s">
        <v>24</v>
      </c>
      <c r="V128" s="219"/>
      <c r="W128" s="219"/>
      <c r="X128" s="219"/>
      <c r="Y128" s="219"/>
      <c r="Z128" s="219"/>
      <c r="AA128" s="219"/>
      <c r="AB128" s="223">
        <f>+GETPIVOTDATA("PPEF 2011 ",$A$4,"No. Ramo",$M128,"IPP",$N128,"PP",$O128,"Programa Presupuestario (PP)",$P128,"Unidad Responsable (UR)",$Q128)</f>
        <v>21000000</v>
      </c>
      <c r="AC128" s="223">
        <f>+GETPIVOTDATA("Reducción ",$A$4,"No. Ramo",$M128,"IPP",$N128,"PP",$O128,"Programa Presupuestario (PP)",$P128,"Unidad Responsable (UR)",$Q128)</f>
        <v>0</v>
      </c>
      <c r="AD128" s="223">
        <f>+GETPIVOTDATA("Ampliación ",$A$4,"No. Ramo",$M128,"IPP",$N128,"PP",$O128,"Programa Presupuestario (PP)",$P128,"Unidad Responsable (UR)",$Q128)</f>
        <v>0</v>
      </c>
      <c r="AE128" s="256"/>
      <c r="AF128" s="256">
        <f>+AB128</f>
        <v>21000000</v>
      </c>
      <c r="AG128" s="256">
        <f>+AD128</f>
        <v>0</v>
      </c>
      <c r="AH128" s="223">
        <f>+AG128+AF128+AE128</f>
        <v>21000000</v>
      </c>
      <c r="AK128" s="221"/>
      <c r="AL128" s="219" t="s">
        <v>24</v>
      </c>
      <c r="AM128" s="219"/>
      <c r="AN128" s="219"/>
      <c r="AO128" s="219"/>
      <c r="AP128" s="219"/>
      <c r="AQ128" s="219"/>
      <c r="AR128" s="219"/>
      <c r="AS128" s="223">
        <f>+AH128</f>
        <v>21000000</v>
      </c>
    </row>
    <row r="129" spans="1:45">
      <c r="A129"/>
      <c r="B129"/>
      <c r="C129">
        <v>5</v>
      </c>
      <c r="D129" t="s">
        <v>270</v>
      </c>
      <c r="E129" t="s">
        <v>271</v>
      </c>
      <c r="F129" s="5">
        <v>18612659</v>
      </c>
      <c r="G129" s="7">
        <v>19750685</v>
      </c>
      <c r="H129" s="5"/>
      <c r="I129" s="5"/>
      <c r="J129" s="5">
        <v>19750685</v>
      </c>
      <c r="M129" s="210"/>
      <c r="N129" s="132"/>
      <c r="O129" s="128"/>
      <c r="P129" s="130"/>
      <c r="Q129" s="128"/>
      <c r="R129" s="266"/>
      <c r="S129" s="266"/>
      <c r="T129" s="217" t="s">
        <v>1343</v>
      </c>
      <c r="AB129" s="220">
        <f t="shared" ref="AB129:AH129" si="13">+SUM(AB130:AB133)</f>
        <v>189840878</v>
      </c>
      <c r="AC129" s="220">
        <f t="shared" si="13"/>
        <v>0</v>
      </c>
      <c r="AD129" s="220">
        <f t="shared" si="13"/>
        <v>0</v>
      </c>
      <c r="AE129" s="220">
        <f t="shared" si="13"/>
        <v>0</v>
      </c>
      <c r="AF129" s="220">
        <f t="shared" si="13"/>
        <v>40250685</v>
      </c>
      <c r="AG129" s="220">
        <f t="shared" si="13"/>
        <v>0</v>
      </c>
      <c r="AH129" s="220">
        <f t="shared" si="13"/>
        <v>40250685</v>
      </c>
      <c r="AK129" s="217" t="s">
        <v>1343</v>
      </c>
      <c r="AS129" s="220">
        <f>+AH129</f>
        <v>40250685</v>
      </c>
    </row>
    <row r="130" spans="1:45">
      <c r="A130"/>
      <c r="B130"/>
      <c r="C130"/>
      <c r="D130" t="s">
        <v>1437</v>
      </c>
      <c r="E130"/>
      <c r="F130" s="5">
        <v>18612659</v>
      </c>
      <c r="G130" s="7">
        <v>19750685</v>
      </c>
      <c r="H130" s="5"/>
      <c r="I130" s="5"/>
      <c r="J130" s="5">
        <v>19750685</v>
      </c>
      <c r="M130" s="210"/>
      <c r="N130" s="132"/>
      <c r="O130" s="128"/>
      <c r="P130" s="130"/>
      <c r="Q130" s="128"/>
      <c r="R130" s="266"/>
      <c r="S130" s="266"/>
      <c r="T130" s="221" t="s">
        <v>268</v>
      </c>
      <c r="U130" s="219"/>
      <c r="V130" s="219"/>
      <c r="W130" s="219"/>
      <c r="X130" s="219"/>
      <c r="Y130" s="219"/>
      <c r="Z130" s="219"/>
      <c r="AA130" s="219"/>
      <c r="AB130" s="223"/>
      <c r="AC130" s="223"/>
      <c r="AD130" s="223"/>
      <c r="AE130" s="256"/>
      <c r="AF130" s="256"/>
      <c r="AG130" s="256"/>
      <c r="AH130" s="223"/>
      <c r="AK130" s="221" t="s">
        <v>268</v>
      </c>
      <c r="AL130" s="219"/>
      <c r="AM130" s="219"/>
      <c r="AN130" s="219"/>
      <c r="AO130" s="219"/>
      <c r="AP130" s="219"/>
      <c r="AQ130" s="219"/>
      <c r="AR130" s="219"/>
      <c r="AS130" s="223"/>
    </row>
    <row r="131" spans="1:45">
      <c r="A131"/>
      <c r="B131" t="s">
        <v>616</v>
      </c>
      <c r="C131">
        <v>1</v>
      </c>
      <c r="D131" t="s">
        <v>274</v>
      </c>
      <c r="E131" t="s">
        <v>272</v>
      </c>
      <c r="F131" s="5">
        <v>30115910</v>
      </c>
      <c r="G131" s="7">
        <v>29513592</v>
      </c>
      <c r="H131" s="5"/>
      <c r="I131" s="5"/>
      <c r="J131" s="5">
        <v>29513592</v>
      </c>
      <c r="M131" s="204">
        <v>14</v>
      </c>
      <c r="N131" s="131" t="s">
        <v>613</v>
      </c>
      <c r="O131" s="128">
        <v>2</v>
      </c>
      <c r="P131" s="130" t="s">
        <v>268</v>
      </c>
      <c r="Q131" s="128" t="s">
        <v>269</v>
      </c>
      <c r="R131" s="266">
        <v>0.1205242914857531</v>
      </c>
      <c r="S131" s="266">
        <v>0.1205242914857531</v>
      </c>
      <c r="T131" s="221"/>
      <c r="U131" s="219" t="s">
        <v>269</v>
      </c>
      <c r="V131" s="219"/>
      <c r="W131" s="219"/>
      <c r="X131" s="219"/>
      <c r="Y131" s="219"/>
      <c r="Z131" s="219"/>
      <c r="AA131" s="219"/>
      <c r="AB131" s="223">
        <f>+GETPIVOTDATA("PPEF 2011 ",$A$4,"No. Ramo",$M131,"IPP",$N131,"PP",$O131,"Programa Presupuestario (PP)",$P131,"Unidad Responsable (UR)",$Q131)</f>
        <v>170090193</v>
      </c>
      <c r="AC131" s="223">
        <f>+GETPIVOTDATA("Reducción ",$A$4,"No. Ramo",$M131,"IPP",$N131,"PP",$O131,"Programa Presupuestario (PP)",$P131,"Unidad Responsable (UR)",$Q131)</f>
        <v>0</v>
      </c>
      <c r="AD131" s="223">
        <f>+GETPIVOTDATA("Ampliación ",$A$4,"No. Ramo",$M131,"IPP",$N131,"PP",$O131,"Programa Presupuestario (PP)",$P131,"Unidad Responsable (UR)",$Q131)</f>
        <v>0</v>
      </c>
      <c r="AE131" s="256"/>
      <c r="AF131" s="256">
        <f>+AB131*S131</f>
        <v>20500000</v>
      </c>
      <c r="AG131" s="256">
        <f>+AD131</f>
        <v>0</v>
      </c>
      <c r="AH131" s="223">
        <f>+AG131+AF131+AE131</f>
        <v>20500000</v>
      </c>
      <c r="AK131" s="221"/>
      <c r="AL131" s="219" t="s">
        <v>269</v>
      </c>
      <c r="AM131" s="219"/>
      <c r="AN131" s="219"/>
      <c r="AO131" s="219"/>
      <c r="AP131" s="219"/>
      <c r="AQ131" s="219"/>
      <c r="AR131" s="219"/>
      <c r="AS131" s="223">
        <f>+AH131</f>
        <v>20500000</v>
      </c>
    </row>
    <row r="132" spans="1:45">
      <c r="A132"/>
      <c r="B132"/>
      <c r="C132"/>
      <c r="D132" t="s">
        <v>1438</v>
      </c>
      <c r="E132"/>
      <c r="F132" s="5">
        <v>30115910</v>
      </c>
      <c r="G132" s="7">
        <v>29513592</v>
      </c>
      <c r="H132" s="5"/>
      <c r="I132" s="5"/>
      <c r="J132" s="5">
        <v>29513592</v>
      </c>
      <c r="M132" s="204"/>
      <c r="N132" s="132"/>
      <c r="O132" s="128"/>
      <c r="P132" s="130"/>
      <c r="Q132" s="128"/>
      <c r="R132" s="266"/>
      <c r="S132" s="266"/>
      <c r="T132" s="221" t="s">
        <v>270</v>
      </c>
      <c r="U132" s="219"/>
      <c r="V132" s="219"/>
      <c r="W132" s="219"/>
      <c r="X132" s="219"/>
      <c r="Y132" s="219"/>
      <c r="Z132" s="219"/>
      <c r="AA132" s="219"/>
      <c r="AB132" s="223"/>
      <c r="AC132" s="223"/>
      <c r="AD132" s="223"/>
      <c r="AE132" s="256"/>
      <c r="AF132" s="256"/>
      <c r="AG132" s="256"/>
      <c r="AH132" s="223"/>
      <c r="AK132" s="221" t="s">
        <v>270</v>
      </c>
      <c r="AL132" s="219"/>
      <c r="AM132" s="219"/>
      <c r="AN132" s="219"/>
      <c r="AO132" s="219"/>
      <c r="AP132" s="219"/>
      <c r="AQ132" s="219"/>
      <c r="AR132" s="219"/>
      <c r="AS132" s="223"/>
    </row>
    <row r="133" spans="1:45">
      <c r="A133">
        <v>15</v>
      </c>
      <c r="B133" t="s">
        <v>611</v>
      </c>
      <c r="C133">
        <v>1</v>
      </c>
      <c r="D133" t="s">
        <v>288</v>
      </c>
      <c r="E133" t="s">
        <v>289</v>
      </c>
      <c r="F133" s="5">
        <v>21800820</v>
      </c>
      <c r="G133" s="7">
        <v>40559047</v>
      </c>
      <c r="H133" s="5"/>
      <c r="I133" s="5"/>
      <c r="J133" s="5">
        <v>40559047</v>
      </c>
      <c r="M133" s="204">
        <v>14</v>
      </c>
      <c r="N133" s="131" t="s">
        <v>613</v>
      </c>
      <c r="O133" s="128">
        <v>5</v>
      </c>
      <c r="P133" s="130" t="s">
        <v>270</v>
      </c>
      <c r="Q133" s="128" t="s">
        <v>271</v>
      </c>
      <c r="R133" s="266">
        <v>1</v>
      </c>
      <c r="S133" s="266">
        <v>1</v>
      </c>
      <c r="T133" s="221"/>
      <c r="U133" s="219" t="s">
        <v>271</v>
      </c>
      <c r="V133" s="219"/>
      <c r="W133" s="219"/>
      <c r="X133" s="219"/>
      <c r="Y133" s="219"/>
      <c r="Z133" s="219"/>
      <c r="AA133" s="219"/>
      <c r="AB133" s="223">
        <f>+GETPIVOTDATA("PPEF 2011 ",$A$4,"No. Ramo",$M133,"IPP",$N133,"PP",$O133,"Programa Presupuestario (PP)",$P133,"Unidad Responsable (UR)",$Q133)</f>
        <v>19750685</v>
      </c>
      <c r="AC133" s="223">
        <f>+GETPIVOTDATA("Reducción ",$A$4,"No. Ramo",$M133,"IPP",$N133,"PP",$O133,"Programa Presupuestario (PP)",$P133,"Unidad Responsable (UR)",$Q133)</f>
        <v>0</v>
      </c>
      <c r="AD133" s="223">
        <f>+GETPIVOTDATA("Ampliación ",$A$4,"No. Ramo",$M133,"IPP",$N133,"PP",$O133,"Programa Presupuestario (PP)",$P133,"Unidad Responsable (UR)",$Q133)</f>
        <v>0</v>
      </c>
      <c r="AE133" s="256"/>
      <c r="AF133" s="256">
        <f>+AB133</f>
        <v>19750685</v>
      </c>
      <c r="AG133" s="256">
        <f>+AD133</f>
        <v>0</v>
      </c>
      <c r="AH133" s="223">
        <f>+AG133+AF133+AE133</f>
        <v>19750685</v>
      </c>
      <c r="AK133" s="221"/>
      <c r="AL133" s="219" t="s">
        <v>271</v>
      </c>
      <c r="AM133" s="219"/>
      <c r="AN133" s="219"/>
      <c r="AO133" s="219"/>
      <c r="AP133" s="219"/>
      <c r="AQ133" s="219"/>
      <c r="AR133" s="219"/>
      <c r="AS133" s="223">
        <f>+AH133</f>
        <v>19750685</v>
      </c>
    </row>
    <row r="134" spans="1:45">
      <c r="A134"/>
      <c r="B134"/>
      <c r="C134"/>
      <c r="D134" t="s">
        <v>1439</v>
      </c>
      <c r="E134"/>
      <c r="F134" s="5">
        <v>21800820</v>
      </c>
      <c r="G134" s="7">
        <v>40559047</v>
      </c>
      <c r="H134" s="5"/>
      <c r="I134" s="5"/>
      <c r="J134" s="5">
        <v>40559047</v>
      </c>
      <c r="M134" s="207"/>
      <c r="N134" s="130"/>
      <c r="O134" s="128"/>
      <c r="P134" s="130"/>
      <c r="Q134" s="128"/>
      <c r="R134" s="266"/>
      <c r="S134" s="266"/>
      <c r="T134" s="217" t="s">
        <v>1328</v>
      </c>
      <c r="AB134" s="220">
        <f t="shared" ref="AB134:AH134" si="14">+SUM(AB135:AB136)</f>
        <v>622500000</v>
      </c>
      <c r="AC134" s="220">
        <f t="shared" si="14"/>
        <v>0</v>
      </c>
      <c r="AD134" s="220">
        <f t="shared" si="14"/>
        <v>283000000</v>
      </c>
      <c r="AE134" s="220">
        <f t="shared" si="14"/>
        <v>283000000</v>
      </c>
      <c r="AF134" s="220">
        <f t="shared" si="14"/>
        <v>622500000</v>
      </c>
      <c r="AG134" s="220">
        <f t="shared" si="14"/>
        <v>0</v>
      </c>
      <c r="AH134" s="220">
        <f t="shared" si="14"/>
        <v>905500000</v>
      </c>
      <c r="AK134" s="217" t="s">
        <v>1328</v>
      </c>
      <c r="AS134" s="220">
        <f>+AH134</f>
        <v>905500000</v>
      </c>
    </row>
    <row r="135" spans="1:45">
      <c r="A135"/>
      <c r="B135" t="s">
        <v>619</v>
      </c>
      <c r="C135">
        <v>88</v>
      </c>
      <c r="D135" t="s">
        <v>293</v>
      </c>
      <c r="E135" t="s">
        <v>290</v>
      </c>
      <c r="F135" s="5">
        <v>772961122</v>
      </c>
      <c r="G135" s="7">
        <v>622500000</v>
      </c>
      <c r="H135" s="5"/>
      <c r="I135" s="5">
        <v>283000000</v>
      </c>
      <c r="J135" s="5">
        <v>905500000</v>
      </c>
      <c r="M135" s="207"/>
      <c r="N135" s="130"/>
      <c r="O135" s="128"/>
      <c r="P135" s="130"/>
      <c r="Q135" s="128"/>
      <c r="R135" s="266"/>
      <c r="S135" s="266"/>
      <c r="T135" s="221" t="s">
        <v>293</v>
      </c>
      <c r="U135" s="219"/>
      <c r="V135" s="219"/>
      <c r="W135" s="219"/>
      <c r="X135" s="219"/>
      <c r="Y135" s="219"/>
      <c r="Z135" s="219"/>
      <c r="AA135" s="219"/>
      <c r="AB135" s="223"/>
      <c r="AC135" s="223"/>
      <c r="AD135" s="223"/>
      <c r="AE135" s="256"/>
      <c r="AF135" s="256"/>
      <c r="AG135" s="256"/>
      <c r="AH135" s="223"/>
      <c r="AK135" s="221" t="s">
        <v>293</v>
      </c>
      <c r="AL135" s="219"/>
      <c r="AM135" s="219"/>
      <c r="AN135" s="219"/>
      <c r="AO135" s="219"/>
      <c r="AP135" s="219"/>
      <c r="AQ135" s="219"/>
      <c r="AR135" s="219"/>
      <c r="AS135" s="223"/>
    </row>
    <row r="136" spans="1:45">
      <c r="A136"/>
      <c r="B136"/>
      <c r="C136"/>
      <c r="D136" t="s">
        <v>1440</v>
      </c>
      <c r="E136"/>
      <c r="F136" s="5">
        <v>772961122</v>
      </c>
      <c r="G136" s="7">
        <v>622500000</v>
      </c>
      <c r="H136" s="5"/>
      <c r="I136" s="5">
        <v>283000000</v>
      </c>
      <c r="J136" s="5">
        <v>905500000</v>
      </c>
      <c r="M136" s="204">
        <v>15</v>
      </c>
      <c r="N136" s="130" t="s">
        <v>619</v>
      </c>
      <c r="O136" s="128">
        <v>88</v>
      </c>
      <c r="P136" s="130" t="s">
        <v>293</v>
      </c>
      <c r="Q136" s="128" t="s">
        <v>290</v>
      </c>
      <c r="R136" s="266">
        <v>1</v>
      </c>
      <c r="S136" s="266">
        <v>1</v>
      </c>
      <c r="T136" s="221"/>
      <c r="U136" s="219" t="s">
        <v>290</v>
      </c>
      <c r="V136" s="219"/>
      <c r="W136" s="219"/>
      <c r="X136" s="219"/>
      <c r="Y136" s="219"/>
      <c r="Z136" s="219"/>
      <c r="AA136" s="219"/>
      <c r="AB136" s="223">
        <f>+GETPIVOTDATA("PPEF 2011 ",$A$4,"No. Ramo",$M136,"IPP",$N136,"PP",$O136,"Programa Presupuestario (PP)",$P136,"Unidad Responsable (UR)",$Q136)</f>
        <v>622500000</v>
      </c>
      <c r="AC136" s="223">
        <f>+GETPIVOTDATA("Reducción ",$A$4,"No. Ramo",$M136,"IPP",$N136,"PP",$O136,"Programa Presupuestario (PP)",$P136,"Unidad Responsable (UR)",$Q136)</f>
        <v>0</v>
      </c>
      <c r="AD136" s="223">
        <f>+GETPIVOTDATA("Ampliación ",$A$4,"No. Ramo",$M136,"IPP",$N136,"PP",$O136,"Programa Presupuestario (PP)",$P136,"Unidad Responsable (UR)",$Q136)</f>
        <v>283000000</v>
      </c>
      <c r="AE136" s="256">
        <f>+AD136</f>
        <v>283000000</v>
      </c>
      <c r="AF136" s="256">
        <f>+AB136*S136</f>
        <v>622500000</v>
      </c>
      <c r="AG136" s="256"/>
      <c r="AH136" s="223">
        <f>+AG136+AF136+AE136</f>
        <v>905500000</v>
      </c>
      <c r="AK136" s="221"/>
      <c r="AL136" s="219" t="s">
        <v>290</v>
      </c>
      <c r="AM136" s="219"/>
      <c r="AN136" s="219"/>
      <c r="AO136" s="219"/>
      <c r="AP136" s="219"/>
      <c r="AQ136" s="219"/>
      <c r="AR136" s="219"/>
      <c r="AS136" s="223">
        <f>+AH136</f>
        <v>905500000</v>
      </c>
    </row>
    <row r="137" spans="1:45">
      <c r="A137" s="9">
        <v>16</v>
      </c>
      <c r="B137" t="s">
        <v>611</v>
      </c>
      <c r="C137">
        <v>2</v>
      </c>
      <c r="D137" t="s">
        <v>329</v>
      </c>
      <c r="E137" t="s">
        <v>330</v>
      </c>
      <c r="F137" s="5">
        <v>34297453</v>
      </c>
      <c r="G137" s="7">
        <v>38711593</v>
      </c>
      <c r="H137" s="5"/>
      <c r="I137" s="5">
        <v>10000000</v>
      </c>
      <c r="J137" s="5">
        <v>48711593</v>
      </c>
      <c r="M137" s="207"/>
      <c r="N137" s="130"/>
      <c r="O137" s="128"/>
      <c r="P137" s="130"/>
      <c r="Q137" s="128"/>
      <c r="R137" s="266"/>
      <c r="S137" s="266"/>
      <c r="T137" s="217" t="s">
        <v>1329</v>
      </c>
      <c r="AB137" s="220">
        <f t="shared" ref="AB137:AH137" si="15">+SUM(AB138:AB143)</f>
        <v>728711593</v>
      </c>
      <c r="AC137" s="220">
        <f t="shared" si="15"/>
        <v>0</v>
      </c>
      <c r="AD137" s="220">
        <f t="shared" si="15"/>
        <v>10000000</v>
      </c>
      <c r="AE137" s="220">
        <f t="shared" si="15"/>
        <v>10000000</v>
      </c>
      <c r="AF137" s="220">
        <f t="shared" si="15"/>
        <v>475600000</v>
      </c>
      <c r="AG137" s="220">
        <f t="shared" si="15"/>
        <v>0</v>
      </c>
      <c r="AH137" s="220">
        <f t="shared" si="15"/>
        <v>485600000</v>
      </c>
      <c r="AK137" s="217" t="s">
        <v>1329</v>
      </c>
      <c r="AS137" s="220">
        <f>+AH137</f>
        <v>485600000</v>
      </c>
    </row>
    <row r="138" spans="1:45">
      <c r="B138"/>
      <c r="C138"/>
      <c r="D138" t="s">
        <v>1441</v>
      </c>
      <c r="E138"/>
      <c r="F138" s="5">
        <v>34297453</v>
      </c>
      <c r="G138" s="7">
        <v>38711593</v>
      </c>
      <c r="H138" s="5"/>
      <c r="I138" s="5">
        <v>10000000</v>
      </c>
      <c r="J138" s="5">
        <v>48711593</v>
      </c>
      <c r="M138" s="207"/>
      <c r="N138" s="130"/>
      <c r="O138" s="128"/>
      <c r="P138" s="130"/>
      <c r="Q138" s="128"/>
      <c r="R138" s="266"/>
      <c r="S138" s="266"/>
      <c r="T138" s="221" t="s">
        <v>329</v>
      </c>
      <c r="U138" s="219"/>
      <c r="V138" s="219"/>
      <c r="W138" s="219"/>
      <c r="X138" s="219"/>
      <c r="Y138" s="219"/>
      <c r="Z138" s="219"/>
      <c r="AA138" s="219"/>
      <c r="AB138" s="223"/>
      <c r="AC138" s="223"/>
      <c r="AD138" s="223"/>
      <c r="AE138" s="256"/>
      <c r="AF138" s="256"/>
      <c r="AG138" s="256"/>
      <c r="AH138" s="223"/>
      <c r="AK138" s="221" t="s">
        <v>329</v>
      </c>
      <c r="AL138" s="219"/>
      <c r="AM138" s="219"/>
      <c r="AN138" s="219"/>
      <c r="AO138" s="219"/>
      <c r="AP138" s="219"/>
      <c r="AQ138" s="219"/>
      <c r="AR138" s="219"/>
      <c r="AS138" s="223"/>
    </row>
    <row r="139" spans="1:45">
      <c r="B139" t="s">
        <v>619</v>
      </c>
      <c r="C139">
        <v>46</v>
      </c>
      <c r="D139" t="s">
        <v>333</v>
      </c>
      <c r="E139" t="s">
        <v>317</v>
      </c>
      <c r="F139" s="5">
        <v>158505968</v>
      </c>
      <c r="G139" s="7">
        <v>210000000</v>
      </c>
      <c r="H139" s="5"/>
      <c r="I139" s="5"/>
      <c r="J139" s="5">
        <v>210000000</v>
      </c>
      <c r="M139" s="206">
        <v>16</v>
      </c>
      <c r="N139" s="130" t="s">
        <v>611</v>
      </c>
      <c r="O139" s="128">
        <v>2</v>
      </c>
      <c r="P139" s="130" t="s">
        <v>329</v>
      </c>
      <c r="Q139" s="128" t="s">
        <v>330</v>
      </c>
      <c r="R139" s="266">
        <v>0.22215567310805318</v>
      </c>
      <c r="S139" s="266">
        <f>8600000/AB139</f>
        <v>0.22215567310805318</v>
      </c>
      <c r="T139" s="221"/>
      <c r="U139" s="219" t="s">
        <v>330</v>
      </c>
      <c r="V139" s="219"/>
      <c r="W139" s="219"/>
      <c r="X139" s="219"/>
      <c r="Y139" s="219"/>
      <c r="Z139" s="219"/>
      <c r="AA139" s="219"/>
      <c r="AB139" s="223">
        <f>+GETPIVOTDATA("PPEF 2011 ",$A$4,"No. Ramo",$M139,"IPP",$N139,"PP",$O139,"Programa Presupuestario (PP)",$P139,"Unidad Responsable (UR)",$Q139)</f>
        <v>38711593</v>
      </c>
      <c r="AC139" s="223">
        <f>+GETPIVOTDATA("Reducción ",$A$4,"No. Ramo",$M139,"IPP",$N139,"PP",$O139,"Programa Presupuestario (PP)",$P139,"Unidad Responsable (UR)",$Q139)</f>
        <v>0</v>
      </c>
      <c r="AD139" s="223">
        <f>+GETPIVOTDATA("Ampliación ",$A$4,"No. Ramo",$M139,"IPP",$N139,"PP",$O139,"Programa Presupuestario (PP)",$P139,"Unidad Responsable (UR)",$Q139)</f>
        <v>10000000</v>
      </c>
      <c r="AE139" s="256">
        <f>+AD139</f>
        <v>10000000</v>
      </c>
      <c r="AF139" s="256">
        <f>+AB139*S139</f>
        <v>8600000</v>
      </c>
      <c r="AG139" s="256"/>
      <c r="AH139" s="223">
        <f>+AG139+AF139+AE139</f>
        <v>18600000</v>
      </c>
      <c r="AK139" s="221"/>
      <c r="AL139" s="219" t="s">
        <v>330</v>
      </c>
      <c r="AM139" s="219"/>
      <c r="AN139" s="219"/>
      <c r="AO139" s="219"/>
      <c r="AP139" s="219"/>
      <c r="AQ139" s="219"/>
      <c r="AR139" s="219"/>
      <c r="AS139" s="223">
        <f>+AH139</f>
        <v>18600000</v>
      </c>
    </row>
    <row r="140" spans="1:45">
      <c r="B140"/>
      <c r="C140"/>
      <c r="D140" t="s">
        <v>1442</v>
      </c>
      <c r="E140"/>
      <c r="F140" s="5">
        <v>158505968</v>
      </c>
      <c r="G140" s="7">
        <v>210000000</v>
      </c>
      <c r="H140" s="5"/>
      <c r="I140" s="5"/>
      <c r="J140" s="5">
        <v>210000000</v>
      </c>
      <c r="M140" s="206"/>
      <c r="N140" s="132"/>
      <c r="O140" s="128"/>
      <c r="P140" s="130"/>
      <c r="Q140" s="128"/>
      <c r="R140" s="266"/>
      <c r="S140" s="266"/>
      <c r="T140" s="221" t="s">
        <v>333</v>
      </c>
      <c r="U140" s="219"/>
      <c r="V140" s="219"/>
      <c r="W140" s="219"/>
      <c r="X140" s="219"/>
      <c r="Y140" s="219"/>
      <c r="Z140" s="219"/>
      <c r="AA140" s="219"/>
      <c r="AB140" s="223"/>
      <c r="AC140" s="223"/>
      <c r="AD140" s="223"/>
      <c r="AE140" s="256"/>
      <c r="AF140" s="256"/>
      <c r="AG140" s="256"/>
      <c r="AH140" s="223"/>
      <c r="AK140" s="221" t="s">
        <v>333</v>
      </c>
      <c r="AL140" s="219"/>
      <c r="AM140" s="219"/>
      <c r="AN140" s="219"/>
      <c r="AO140" s="219"/>
      <c r="AP140" s="219"/>
      <c r="AQ140" s="219"/>
      <c r="AR140" s="219"/>
      <c r="AS140" s="223"/>
    </row>
    <row r="141" spans="1:45">
      <c r="B141"/>
      <c r="C141">
        <v>71</v>
      </c>
      <c r="D141" t="s">
        <v>166</v>
      </c>
      <c r="E141" t="s">
        <v>312</v>
      </c>
      <c r="F141" s="5">
        <v>380000000</v>
      </c>
      <c r="G141" s="7">
        <v>480000000</v>
      </c>
      <c r="H141" s="5"/>
      <c r="I141" s="5"/>
      <c r="J141" s="5">
        <v>480000000</v>
      </c>
      <c r="M141" s="206">
        <v>16</v>
      </c>
      <c r="N141" s="131" t="s">
        <v>619</v>
      </c>
      <c r="O141" s="128">
        <v>46</v>
      </c>
      <c r="P141" s="130" t="s">
        <v>333</v>
      </c>
      <c r="Q141" s="128" t="s">
        <v>317</v>
      </c>
      <c r="R141" s="266">
        <v>0.31904761904761902</v>
      </c>
      <c r="S141" s="266">
        <v>0.31904761904761902</v>
      </c>
      <c r="T141" s="221"/>
      <c r="U141" s="219" t="s">
        <v>317</v>
      </c>
      <c r="V141" s="219"/>
      <c r="W141" s="219"/>
      <c r="X141" s="219"/>
      <c r="Y141" s="219"/>
      <c r="Z141" s="219"/>
      <c r="AA141" s="219"/>
      <c r="AB141" s="223">
        <f>+GETPIVOTDATA("PPEF 2011 ",$A$4,"No. Ramo",$M141,"IPP",$N141,"PP",$O141,"Programa Presupuestario (PP)",$P141,"Unidad Responsable (UR)",$Q141)</f>
        <v>210000000</v>
      </c>
      <c r="AC141" s="223">
        <f>+GETPIVOTDATA("Reducción ",$A$4,"No. Ramo",$M141,"IPP",$N141,"PP",$O141,"Programa Presupuestario (PP)",$P141,"Unidad Responsable (UR)",$Q141)</f>
        <v>0</v>
      </c>
      <c r="AD141" s="223">
        <f>+GETPIVOTDATA("Ampliación ",$A$4,"No. Ramo",$M141,"IPP",$N141,"PP",$O141,"Programa Presupuestario (PP)",$P141,"Unidad Responsable (UR)",$Q141)</f>
        <v>0</v>
      </c>
      <c r="AE141" s="256"/>
      <c r="AF141" s="256">
        <f>+AB141*S141</f>
        <v>66999999.999999993</v>
      </c>
      <c r="AG141" s="256"/>
      <c r="AH141" s="223">
        <f>+AG141+AF141+AE141</f>
        <v>66999999.999999993</v>
      </c>
      <c r="AK141" s="221"/>
      <c r="AL141" s="219" t="s">
        <v>317</v>
      </c>
      <c r="AM141" s="219"/>
      <c r="AN141" s="219"/>
      <c r="AO141" s="219"/>
      <c r="AP141" s="219"/>
      <c r="AQ141" s="219"/>
      <c r="AR141" s="219"/>
      <c r="AS141" s="223">
        <f>+AH141</f>
        <v>66999999.999999993</v>
      </c>
    </row>
    <row r="142" spans="1:45">
      <c r="B142"/>
      <c r="C142"/>
      <c r="D142" t="s">
        <v>1443</v>
      </c>
      <c r="E142"/>
      <c r="F142" s="5">
        <v>380000000</v>
      </c>
      <c r="G142" s="7">
        <v>480000000</v>
      </c>
      <c r="H142" s="5"/>
      <c r="I142" s="5"/>
      <c r="J142" s="5">
        <v>480000000</v>
      </c>
      <c r="M142" s="210"/>
      <c r="N142" s="132"/>
      <c r="O142" s="128"/>
      <c r="P142" s="130"/>
      <c r="Q142" s="128"/>
      <c r="R142" s="266"/>
      <c r="S142" s="266"/>
      <c r="T142" s="221" t="s">
        <v>166</v>
      </c>
      <c r="U142" s="219"/>
      <c r="V142" s="219"/>
      <c r="W142" s="219"/>
      <c r="X142" s="219"/>
      <c r="Y142" s="219"/>
      <c r="Z142" s="219"/>
      <c r="AA142" s="219"/>
      <c r="AB142" s="223"/>
      <c r="AC142" s="223"/>
      <c r="AD142" s="223"/>
      <c r="AE142" s="256"/>
      <c r="AF142" s="256"/>
      <c r="AG142" s="256"/>
      <c r="AH142" s="223"/>
      <c r="AK142" s="221" t="s">
        <v>166</v>
      </c>
      <c r="AL142" s="219"/>
      <c r="AM142" s="219"/>
      <c r="AN142" s="219"/>
      <c r="AO142" s="219"/>
      <c r="AP142" s="219"/>
      <c r="AQ142" s="219"/>
      <c r="AR142" s="219"/>
      <c r="AS142" s="223"/>
    </row>
    <row r="143" spans="1:45">
      <c r="A143" s="9">
        <v>17</v>
      </c>
      <c r="B143" t="s">
        <v>613</v>
      </c>
      <c r="C143">
        <v>2</v>
      </c>
      <c r="D143" t="s">
        <v>353</v>
      </c>
      <c r="E143" t="s">
        <v>354</v>
      </c>
      <c r="F143" s="5">
        <v>231508067</v>
      </c>
      <c r="G143" s="7">
        <v>285993672</v>
      </c>
      <c r="H143" s="5"/>
      <c r="I143" s="5"/>
      <c r="J143" s="5">
        <v>285993672</v>
      </c>
      <c r="M143" s="206">
        <v>16</v>
      </c>
      <c r="N143" s="131" t="s">
        <v>619</v>
      </c>
      <c r="O143" s="128">
        <v>71</v>
      </c>
      <c r="P143" s="130" t="s">
        <v>166</v>
      </c>
      <c r="Q143" s="128" t="s">
        <v>312</v>
      </c>
      <c r="R143" s="266">
        <v>0.3404166666666667</v>
      </c>
      <c r="S143" s="266">
        <f>400000000/AB143</f>
        <v>0.83333333333333337</v>
      </c>
      <c r="T143" s="221"/>
      <c r="U143" s="219" t="s">
        <v>312</v>
      </c>
      <c r="V143" s="219"/>
      <c r="W143" s="219"/>
      <c r="X143" s="219"/>
      <c r="Y143" s="219"/>
      <c r="Z143" s="219"/>
      <c r="AA143" s="219"/>
      <c r="AB143" s="223">
        <f>+GETPIVOTDATA("PPEF 2011 ",$A$4,"No. Ramo",$M143,"IPP",$N143,"PP",$O143,"Programa Presupuestario (PP)",$P143,"Unidad Responsable (UR)",$Q143)</f>
        <v>480000000</v>
      </c>
      <c r="AC143" s="223">
        <f>+GETPIVOTDATA("Reducción ",$A$4,"No. Ramo",$M143,"IPP",$N143,"PP",$O143,"Programa Presupuestario (PP)",$P143,"Unidad Responsable (UR)",$Q143)</f>
        <v>0</v>
      </c>
      <c r="AD143" s="223">
        <f>+GETPIVOTDATA("Ampliación ",$A$4,"No. Ramo",$M143,"IPP",$N143,"PP",$O143,"Programa Presupuestario (PP)",$P143,"Unidad Responsable (UR)",$Q143)</f>
        <v>0</v>
      </c>
      <c r="AE143" s="256"/>
      <c r="AF143" s="256">
        <f>+AB143*S143</f>
        <v>400000000</v>
      </c>
      <c r="AG143" s="256"/>
      <c r="AH143" s="223">
        <f>+AG143+AF143+AE143</f>
        <v>400000000</v>
      </c>
      <c r="AK143" s="221"/>
      <c r="AL143" s="219" t="s">
        <v>312</v>
      </c>
      <c r="AM143" s="219"/>
      <c r="AN143" s="219"/>
      <c r="AO143" s="219"/>
      <c r="AP143" s="219"/>
      <c r="AQ143" s="219"/>
      <c r="AR143" s="219"/>
      <c r="AS143" s="223">
        <f>+AH143</f>
        <v>400000000</v>
      </c>
    </row>
    <row r="144" spans="1:45">
      <c r="B144"/>
      <c r="C144"/>
      <c r="D144" t="s">
        <v>1444</v>
      </c>
      <c r="E144"/>
      <c r="F144" s="5">
        <v>231508067</v>
      </c>
      <c r="G144" s="7">
        <v>285993672</v>
      </c>
      <c r="H144" s="5"/>
      <c r="I144" s="5"/>
      <c r="J144" s="5">
        <v>285993672</v>
      </c>
      <c r="M144" s="210"/>
      <c r="N144" s="132"/>
      <c r="O144" s="128"/>
      <c r="P144" s="130"/>
      <c r="Q144" s="128"/>
      <c r="R144" s="266"/>
      <c r="S144" s="266"/>
      <c r="T144" s="217" t="s">
        <v>1344</v>
      </c>
      <c r="AB144" s="220">
        <f t="shared" ref="AB144:AH144" si="16">+SUM(AB145:AB152)</f>
        <v>913262904</v>
      </c>
      <c r="AC144" s="220">
        <f t="shared" si="16"/>
        <v>0</v>
      </c>
      <c r="AD144" s="220">
        <f t="shared" si="16"/>
        <v>10000000</v>
      </c>
      <c r="AE144" s="220">
        <f t="shared" si="16"/>
        <v>10000000</v>
      </c>
      <c r="AF144" s="220">
        <f t="shared" si="16"/>
        <v>116099999.99999999</v>
      </c>
      <c r="AG144" s="220">
        <f t="shared" si="16"/>
        <v>0</v>
      </c>
      <c r="AH144" s="220">
        <f t="shared" si="16"/>
        <v>126099999.99999999</v>
      </c>
      <c r="AK144" s="217" t="s">
        <v>1344</v>
      </c>
      <c r="AS144" s="220">
        <f>+AH144</f>
        <v>126099999.99999999</v>
      </c>
    </row>
    <row r="145" spans="1:45">
      <c r="B145"/>
      <c r="C145">
        <v>3</v>
      </c>
      <c r="D145" t="s">
        <v>355</v>
      </c>
      <c r="E145" t="s">
        <v>356</v>
      </c>
      <c r="F145" s="5">
        <v>574951504</v>
      </c>
      <c r="G145" s="7">
        <v>548033735</v>
      </c>
      <c r="H145" s="5"/>
      <c r="I145" s="5"/>
      <c r="J145" s="5">
        <v>548033735</v>
      </c>
      <c r="M145" s="210"/>
      <c r="N145" s="132"/>
      <c r="O145" s="128"/>
      <c r="P145" s="130"/>
      <c r="Q145" s="128"/>
      <c r="R145" s="266"/>
      <c r="S145" s="266"/>
      <c r="T145" s="221" t="s">
        <v>353</v>
      </c>
      <c r="U145" s="219"/>
      <c r="V145" s="219"/>
      <c r="W145" s="219"/>
      <c r="X145" s="219"/>
      <c r="Y145" s="219"/>
      <c r="Z145" s="219"/>
      <c r="AA145" s="219"/>
      <c r="AB145" s="223"/>
      <c r="AC145" s="223"/>
      <c r="AD145" s="223"/>
      <c r="AE145" s="256"/>
      <c r="AF145" s="256"/>
      <c r="AG145" s="256"/>
      <c r="AH145" s="223"/>
      <c r="AK145" s="221" t="s">
        <v>353</v>
      </c>
      <c r="AL145" s="219"/>
      <c r="AM145" s="219"/>
      <c r="AN145" s="219"/>
      <c r="AO145" s="219"/>
      <c r="AP145" s="219"/>
      <c r="AQ145" s="219"/>
      <c r="AR145" s="219"/>
      <c r="AS145" s="223"/>
    </row>
    <row r="146" spans="1:45">
      <c r="B146"/>
      <c r="C146"/>
      <c r="D146" t="s">
        <v>1445</v>
      </c>
      <c r="E146"/>
      <c r="F146" s="5">
        <v>574951504</v>
      </c>
      <c r="G146" s="7">
        <v>548033735</v>
      </c>
      <c r="H146" s="5"/>
      <c r="I146" s="5"/>
      <c r="J146" s="5">
        <v>548033735</v>
      </c>
      <c r="M146" s="206">
        <v>17</v>
      </c>
      <c r="N146" s="131" t="s">
        <v>613</v>
      </c>
      <c r="O146" s="128">
        <v>2</v>
      </c>
      <c r="P146" s="130" t="s">
        <v>353</v>
      </c>
      <c r="Q146" s="128" t="s">
        <v>354</v>
      </c>
      <c r="R146" s="266">
        <v>0.29895766365068382</v>
      </c>
      <c r="S146" s="266">
        <v>0.29895766365068382</v>
      </c>
      <c r="T146" s="221"/>
      <c r="U146" s="219" t="s">
        <v>354</v>
      </c>
      <c r="V146" s="219"/>
      <c r="W146" s="219"/>
      <c r="X146" s="219"/>
      <c r="Y146" s="219"/>
      <c r="Z146" s="219"/>
      <c r="AA146" s="219"/>
      <c r="AB146" s="223">
        <f>+GETPIVOTDATA("PPEF 2011 ",$A$4,"No. Ramo",$M146,"IPP",$N146,"PP",$O146,"Programa Presupuestario (PP)",$P146,"Unidad Responsable (UR)",$Q146)</f>
        <v>285993672</v>
      </c>
      <c r="AC146" s="223">
        <f>+GETPIVOTDATA("Reducción ",$A$4,"No. Ramo",$M146,"IPP",$N146,"PP",$O146,"Programa Presupuestario (PP)",$P146,"Unidad Responsable (UR)",$Q146)</f>
        <v>0</v>
      </c>
      <c r="AD146" s="223">
        <f>+GETPIVOTDATA("Ampliación ",$A$4,"No. Ramo",$M146,"IPP",$N146,"PP",$O146,"Programa Presupuestario (PP)",$P146,"Unidad Responsable (UR)",$Q146)</f>
        <v>0</v>
      </c>
      <c r="AE146" s="256"/>
      <c r="AF146" s="256">
        <f>+AB146*S146</f>
        <v>85499999.999999985</v>
      </c>
      <c r="AG146" s="256"/>
      <c r="AH146" s="223">
        <f>+AG146+AF146+AE146</f>
        <v>85499999.999999985</v>
      </c>
      <c r="AK146" s="221"/>
      <c r="AL146" s="219" t="s">
        <v>354</v>
      </c>
      <c r="AM146" s="219"/>
      <c r="AN146" s="219"/>
      <c r="AO146" s="219"/>
      <c r="AP146" s="219"/>
      <c r="AQ146" s="219"/>
      <c r="AR146" s="219"/>
      <c r="AS146" s="223">
        <f>+AH146</f>
        <v>85499999.999999985</v>
      </c>
    </row>
    <row r="147" spans="1:45">
      <c r="B147"/>
      <c r="C147">
        <v>9</v>
      </c>
      <c r="D147" t="s">
        <v>357</v>
      </c>
      <c r="E147" t="s">
        <v>354</v>
      </c>
      <c r="F147" s="5">
        <v>14913820</v>
      </c>
      <c r="G147" s="7">
        <v>33635267</v>
      </c>
      <c r="H147" s="5"/>
      <c r="I147" s="5"/>
      <c r="J147" s="5">
        <v>33635267</v>
      </c>
      <c r="M147" s="206"/>
      <c r="N147" s="131"/>
      <c r="O147" s="128"/>
      <c r="P147" s="130"/>
      <c r="Q147" s="128"/>
      <c r="R147" s="266"/>
      <c r="S147" s="266"/>
      <c r="T147" s="221" t="s">
        <v>355</v>
      </c>
      <c r="U147" s="219"/>
      <c r="V147" s="219"/>
      <c r="W147" s="219"/>
      <c r="X147" s="219"/>
      <c r="Y147" s="219"/>
      <c r="Z147" s="219"/>
      <c r="AA147" s="219"/>
      <c r="AB147" s="223"/>
      <c r="AC147" s="223"/>
      <c r="AD147" s="223"/>
      <c r="AE147" s="256"/>
      <c r="AF147" s="256"/>
      <c r="AG147" s="256"/>
      <c r="AH147" s="223"/>
      <c r="AK147" s="221" t="s">
        <v>355</v>
      </c>
      <c r="AL147" s="219"/>
      <c r="AM147" s="219"/>
      <c r="AN147" s="219"/>
      <c r="AO147" s="219"/>
      <c r="AP147" s="219"/>
      <c r="AQ147" s="219"/>
      <c r="AR147" s="219"/>
      <c r="AS147" s="223"/>
    </row>
    <row r="148" spans="1:45">
      <c r="B148"/>
      <c r="C148"/>
      <c r="D148" t="s">
        <v>1446</v>
      </c>
      <c r="E148"/>
      <c r="F148" s="5">
        <v>14913820</v>
      </c>
      <c r="G148" s="7">
        <v>33635267</v>
      </c>
      <c r="H148" s="5"/>
      <c r="I148" s="5"/>
      <c r="J148" s="5">
        <v>33635267</v>
      </c>
      <c r="M148" s="206">
        <v>17</v>
      </c>
      <c r="N148" s="131" t="s">
        <v>613</v>
      </c>
      <c r="O148" s="128">
        <v>3</v>
      </c>
      <c r="P148" s="130" t="s">
        <v>355</v>
      </c>
      <c r="Q148" s="128" t="s">
        <v>356</v>
      </c>
      <c r="R148" s="266">
        <v>1.8247051889971701E-2</v>
      </c>
      <c r="S148" s="266">
        <v>1.8247051889971701E-2</v>
      </c>
      <c r="T148" s="221"/>
      <c r="U148" s="219" t="s">
        <v>356</v>
      </c>
      <c r="V148" s="219"/>
      <c r="W148" s="219"/>
      <c r="X148" s="219"/>
      <c r="Y148" s="219"/>
      <c r="Z148" s="219"/>
      <c r="AA148" s="219"/>
      <c r="AB148" s="223">
        <f>+GETPIVOTDATA("PPEF 2011 ",$A$4,"No. Ramo",$M148,"IPP",$N148,"PP",$O148,"Programa Presupuestario (PP)",$P148,"Unidad Responsable (UR)",$Q148)</f>
        <v>548033735</v>
      </c>
      <c r="AC148" s="223">
        <f>+GETPIVOTDATA("Reducción ",$A$4,"No. Ramo",$M148,"IPP",$N148,"PP",$O148,"Programa Presupuestario (PP)",$P148,"Unidad Responsable (UR)",$Q148)</f>
        <v>0</v>
      </c>
      <c r="AD148" s="223">
        <f>+GETPIVOTDATA("Ampliación ",$A$4,"No. Ramo",$M148,"IPP",$N148,"PP",$O148,"Programa Presupuestario (PP)",$P148,"Unidad Responsable (UR)",$Q148)</f>
        <v>0</v>
      </c>
      <c r="AE148" s="256"/>
      <c r="AF148" s="256">
        <f>+AB148*S148</f>
        <v>10000000</v>
      </c>
      <c r="AG148" s="256"/>
      <c r="AH148" s="223">
        <f>+AG148+AF148+AE148</f>
        <v>10000000</v>
      </c>
      <c r="AK148" s="221"/>
      <c r="AL148" s="219" t="s">
        <v>356</v>
      </c>
      <c r="AM148" s="219"/>
      <c r="AN148" s="219"/>
      <c r="AO148" s="219"/>
      <c r="AP148" s="219"/>
      <c r="AQ148" s="219"/>
      <c r="AR148" s="219"/>
      <c r="AS148" s="223">
        <f>+AH148</f>
        <v>10000000</v>
      </c>
    </row>
    <row r="149" spans="1:45">
      <c r="B149"/>
      <c r="C149">
        <v>13</v>
      </c>
      <c r="D149" t="s">
        <v>359</v>
      </c>
      <c r="E149" t="s">
        <v>360</v>
      </c>
      <c r="F149" s="5">
        <v>43473180</v>
      </c>
      <c r="G149" s="7">
        <v>45600230</v>
      </c>
      <c r="H149" s="5"/>
      <c r="I149" s="5">
        <v>10000000</v>
      </c>
      <c r="J149" s="5">
        <v>55600230</v>
      </c>
      <c r="M149" s="206"/>
      <c r="N149" s="131"/>
      <c r="O149" s="128"/>
      <c r="P149" s="130"/>
      <c r="Q149" s="128"/>
      <c r="R149" s="266"/>
      <c r="S149" s="266"/>
      <c r="T149" s="221" t="s">
        <v>357</v>
      </c>
      <c r="U149" s="219"/>
      <c r="V149" s="219"/>
      <c r="W149" s="219"/>
      <c r="X149" s="219"/>
      <c r="Y149" s="219"/>
      <c r="Z149" s="219"/>
      <c r="AA149" s="219"/>
      <c r="AB149" s="223"/>
      <c r="AC149" s="223"/>
      <c r="AD149" s="223"/>
      <c r="AE149" s="256"/>
      <c r="AF149" s="256"/>
      <c r="AG149" s="256"/>
      <c r="AH149" s="223"/>
      <c r="AK149" s="221" t="s">
        <v>357</v>
      </c>
      <c r="AL149" s="219"/>
      <c r="AM149" s="219"/>
      <c r="AN149" s="219"/>
      <c r="AO149" s="219"/>
      <c r="AP149" s="219"/>
      <c r="AQ149" s="219"/>
      <c r="AR149" s="219"/>
      <c r="AS149" s="223"/>
    </row>
    <row r="150" spans="1:45">
      <c r="B150"/>
      <c r="C150"/>
      <c r="D150" t="s">
        <v>1447</v>
      </c>
      <c r="E150"/>
      <c r="F150" s="5">
        <v>43473180</v>
      </c>
      <c r="G150" s="7">
        <v>45600230</v>
      </c>
      <c r="H150" s="5"/>
      <c r="I150" s="5">
        <v>10000000</v>
      </c>
      <c r="J150" s="5">
        <v>55600230</v>
      </c>
      <c r="M150" s="206">
        <v>17</v>
      </c>
      <c r="N150" s="131" t="s">
        <v>613</v>
      </c>
      <c r="O150" s="128">
        <v>9</v>
      </c>
      <c r="P150" s="130" t="s">
        <v>357</v>
      </c>
      <c r="Q150" s="128" t="s">
        <v>354</v>
      </c>
      <c r="R150" s="266">
        <v>0.61245240003595047</v>
      </c>
      <c r="S150" s="266">
        <v>0.61245240003595047</v>
      </c>
      <c r="T150" s="221"/>
      <c r="U150" s="219" t="s">
        <v>354</v>
      </c>
      <c r="V150" s="219"/>
      <c r="W150" s="219"/>
      <c r="X150" s="219"/>
      <c r="Y150" s="219"/>
      <c r="Z150" s="219"/>
      <c r="AA150" s="219"/>
      <c r="AB150" s="223">
        <f>+GETPIVOTDATA("PPEF 2011 ",$A$4,"No. Ramo",$M150,"IPP",$N150,"PP",$O150,"Programa Presupuestario (PP)",$P150,"Unidad Responsable (UR)",$Q150)</f>
        <v>33635267</v>
      </c>
      <c r="AC150" s="223">
        <f>+GETPIVOTDATA("Reducción ",$A$4,"No. Ramo",$M150,"IPP",$N150,"PP",$O150,"Programa Presupuestario (PP)",$P150,"Unidad Responsable (UR)",$Q150)</f>
        <v>0</v>
      </c>
      <c r="AD150" s="223">
        <f>+GETPIVOTDATA("Ampliación ",$A$4,"No. Ramo",$M150,"IPP",$N150,"PP",$O150,"Programa Presupuestario (PP)",$P150,"Unidad Responsable (UR)",$Q150)</f>
        <v>0</v>
      </c>
      <c r="AE150" s="256"/>
      <c r="AF150" s="256">
        <f>+AB150*S150</f>
        <v>20600000.000000004</v>
      </c>
      <c r="AG150" s="256"/>
      <c r="AH150" s="223">
        <f>+AG150+AF150+AE150</f>
        <v>20600000.000000004</v>
      </c>
      <c r="AK150" s="221"/>
      <c r="AL150" s="219" t="s">
        <v>354</v>
      </c>
      <c r="AM150" s="219"/>
      <c r="AN150" s="219"/>
      <c r="AO150" s="219"/>
      <c r="AP150" s="219"/>
      <c r="AQ150" s="219"/>
      <c r="AR150" s="219"/>
      <c r="AS150" s="223">
        <f>+AH150</f>
        <v>20600000.000000004</v>
      </c>
    </row>
    <row r="151" spans="1:45">
      <c r="A151">
        <v>19</v>
      </c>
      <c r="B151" t="s">
        <v>630</v>
      </c>
      <c r="C151">
        <v>14</v>
      </c>
      <c r="D151" t="s">
        <v>505</v>
      </c>
      <c r="E151" t="s">
        <v>75</v>
      </c>
      <c r="F151" s="5">
        <v>1802000</v>
      </c>
      <c r="G151" s="7">
        <v>900000</v>
      </c>
      <c r="H151" s="5"/>
      <c r="I151" s="5"/>
      <c r="J151" s="5">
        <v>900000</v>
      </c>
      <c r="M151" s="210"/>
      <c r="N151" s="132"/>
      <c r="O151" s="128"/>
      <c r="P151" s="130"/>
      <c r="Q151" s="128"/>
      <c r="R151" s="266"/>
      <c r="S151" s="266"/>
      <c r="T151" s="221" t="s">
        <v>359</v>
      </c>
      <c r="U151" s="219"/>
      <c r="V151" s="219"/>
      <c r="W151" s="219"/>
      <c r="X151" s="219"/>
      <c r="Y151" s="219"/>
      <c r="Z151" s="219"/>
      <c r="AA151" s="219"/>
      <c r="AB151" s="223"/>
      <c r="AC151" s="223"/>
      <c r="AD151" s="223"/>
      <c r="AE151" s="256"/>
      <c r="AF151" s="256"/>
      <c r="AG151" s="256"/>
      <c r="AH151" s="223"/>
      <c r="AK151" s="221" t="s">
        <v>359</v>
      </c>
      <c r="AL151" s="219"/>
      <c r="AM151" s="219"/>
      <c r="AN151" s="219"/>
      <c r="AO151" s="219"/>
      <c r="AP151" s="219"/>
      <c r="AQ151" s="219"/>
      <c r="AR151" s="219"/>
      <c r="AS151" s="223"/>
    </row>
    <row r="152" spans="1:45">
      <c r="A152"/>
      <c r="B152"/>
      <c r="C152"/>
      <c r="D152" t="s">
        <v>1448</v>
      </c>
      <c r="E152"/>
      <c r="F152" s="5">
        <v>1802000</v>
      </c>
      <c r="G152" s="7">
        <v>900000</v>
      </c>
      <c r="H152" s="5"/>
      <c r="I152" s="5"/>
      <c r="J152" s="5">
        <v>900000</v>
      </c>
      <c r="M152" s="206">
        <v>17</v>
      </c>
      <c r="N152" s="131" t="s">
        <v>613</v>
      </c>
      <c r="O152" s="128">
        <v>13</v>
      </c>
      <c r="P152" s="130" t="s">
        <v>359</v>
      </c>
      <c r="Q152" s="128" t="s">
        <v>360</v>
      </c>
      <c r="R152" s="266">
        <v>0</v>
      </c>
      <c r="S152" s="266"/>
      <c r="T152" s="221"/>
      <c r="U152" s="219" t="s">
        <v>360</v>
      </c>
      <c r="V152" s="219"/>
      <c r="W152" s="219"/>
      <c r="X152" s="219"/>
      <c r="Y152" s="219"/>
      <c r="Z152" s="219"/>
      <c r="AA152" s="219"/>
      <c r="AB152" s="223">
        <f>+GETPIVOTDATA("PPEF 2011 ",$A$4,"No. Ramo",$M152,"IPP",$N152,"PP",$O152,"Programa Presupuestario (PP)",$P152,"Unidad Responsable (UR)",$Q152)</f>
        <v>45600230</v>
      </c>
      <c r="AC152" s="223">
        <f>+GETPIVOTDATA("Reducción ",$A$4,"No. Ramo",$M152,"IPP",$N152,"PP",$O152,"Programa Presupuestario (PP)",$P152,"Unidad Responsable (UR)",$Q152)</f>
        <v>0</v>
      </c>
      <c r="AD152" s="223">
        <f>+GETPIVOTDATA("Ampliación ",$A$4,"No. Ramo",$M152,"IPP",$N152,"PP",$O152,"Programa Presupuestario (PP)",$P152,"Unidad Responsable (UR)",$Q152)</f>
        <v>10000000</v>
      </c>
      <c r="AE152" s="256">
        <f>+AD152</f>
        <v>10000000</v>
      </c>
      <c r="AF152" s="256"/>
      <c r="AG152" s="256"/>
      <c r="AH152" s="223">
        <f>+AG152+AF152+AE152</f>
        <v>10000000</v>
      </c>
      <c r="AK152" s="221"/>
      <c r="AL152" s="219" t="s">
        <v>360</v>
      </c>
      <c r="AM152" s="219"/>
      <c r="AN152" s="219"/>
      <c r="AO152" s="219"/>
      <c r="AP152" s="219"/>
      <c r="AQ152" s="219"/>
      <c r="AR152" s="219"/>
      <c r="AS152" s="223">
        <f>+AH152</f>
        <v>10000000</v>
      </c>
    </row>
    <row r="153" spans="1:45">
      <c r="A153">
        <v>20</v>
      </c>
      <c r="B153" t="s">
        <v>619</v>
      </c>
      <c r="C153">
        <v>48</v>
      </c>
      <c r="D153" t="s">
        <v>410</v>
      </c>
      <c r="E153" t="s">
        <v>374</v>
      </c>
      <c r="F153" s="5">
        <v>3396641746</v>
      </c>
      <c r="G153" s="7">
        <v>2685607350</v>
      </c>
      <c r="H153" s="5"/>
      <c r="I153" s="5"/>
      <c r="J153" s="5">
        <v>2685607350</v>
      </c>
      <c r="M153" s="203"/>
      <c r="N153" s="130"/>
      <c r="O153" s="128"/>
      <c r="P153" s="130"/>
      <c r="Q153" s="128"/>
      <c r="R153" s="266"/>
      <c r="S153" s="266"/>
      <c r="T153" s="217" t="s">
        <v>1330</v>
      </c>
      <c r="AB153" s="220">
        <f t="shared" ref="AB153:AH153" si="17">+SUM(AB154:AB155)</f>
        <v>900000</v>
      </c>
      <c r="AC153" s="220">
        <f t="shared" si="17"/>
        <v>0</v>
      </c>
      <c r="AD153" s="220">
        <f t="shared" si="17"/>
        <v>0</v>
      </c>
      <c r="AE153" s="220">
        <f t="shared" si="17"/>
        <v>0</v>
      </c>
      <c r="AF153" s="220">
        <f t="shared" si="17"/>
        <v>900000</v>
      </c>
      <c r="AG153" s="220">
        <f t="shared" si="17"/>
        <v>0</v>
      </c>
      <c r="AH153" s="220">
        <f t="shared" si="17"/>
        <v>900000</v>
      </c>
      <c r="AK153" s="217" t="s">
        <v>1330</v>
      </c>
      <c r="AS153" s="220">
        <f>+AH153</f>
        <v>900000</v>
      </c>
    </row>
    <row r="154" spans="1:45">
      <c r="A154"/>
      <c r="B154"/>
      <c r="C154"/>
      <c r="D154" t="s">
        <v>1449</v>
      </c>
      <c r="E154"/>
      <c r="F154" s="5">
        <v>3396641746</v>
      </c>
      <c r="G154" s="7">
        <v>2685607350</v>
      </c>
      <c r="H154" s="5"/>
      <c r="I154" s="5"/>
      <c r="J154" s="5">
        <v>2685607350</v>
      </c>
      <c r="M154" s="203"/>
      <c r="N154" s="130"/>
      <c r="O154" s="128"/>
      <c r="P154" s="130"/>
      <c r="Q154" s="128"/>
      <c r="R154" s="266"/>
      <c r="S154" s="266"/>
      <c r="T154" s="221" t="s">
        <v>505</v>
      </c>
      <c r="U154" s="219"/>
      <c r="V154" s="219"/>
      <c r="W154" s="219"/>
      <c r="X154" s="219"/>
      <c r="Y154" s="219"/>
      <c r="Z154" s="219"/>
      <c r="AA154" s="219"/>
      <c r="AB154" s="223"/>
      <c r="AC154" s="223"/>
      <c r="AD154" s="223"/>
      <c r="AE154" s="256"/>
      <c r="AF154" s="256"/>
      <c r="AG154" s="256"/>
      <c r="AH154" s="223"/>
      <c r="AK154" s="221" t="s">
        <v>505</v>
      </c>
      <c r="AL154" s="219"/>
      <c r="AM154" s="219"/>
      <c r="AN154" s="219"/>
      <c r="AO154" s="219"/>
      <c r="AP154" s="219"/>
      <c r="AQ154" s="219"/>
      <c r="AR154" s="219"/>
      <c r="AS154" s="223"/>
    </row>
    <row r="155" spans="1:45">
      <c r="A155"/>
      <c r="B155"/>
      <c r="C155">
        <v>58</v>
      </c>
      <c r="D155" t="s">
        <v>414</v>
      </c>
      <c r="E155" t="s">
        <v>416</v>
      </c>
      <c r="F155" s="5">
        <v>1817980662</v>
      </c>
      <c r="G155" s="7">
        <v>1620548872</v>
      </c>
      <c r="H155" s="5"/>
      <c r="I155" s="5">
        <v>42000000</v>
      </c>
      <c r="J155" s="5">
        <v>1662548872</v>
      </c>
      <c r="M155" s="205">
        <v>19</v>
      </c>
      <c r="N155" s="130" t="s">
        <v>630</v>
      </c>
      <c r="O155" s="128">
        <v>14</v>
      </c>
      <c r="P155" s="130" t="s">
        <v>505</v>
      </c>
      <c r="Q155" s="128" t="s">
        <v>75</v>
      </c>
      <c r="R155" s="266">
        <v>1</v>
      </c>
      <c r="S155" s="266">
        <v>1</v>
      </c>
      <c r="T155" s="221"/>
      <c r="U155" s="219" t="s">
        <v>75</v>
      </c>
      <c r="V155" s="219"/>
      <c r="W155" s="219"/>
      <c r="X155" s="219"/>
      <c r="Y155" s="219"/>
      <c r="Z155" s="219"/>
      <c r="AA155" s="219"/>
      <c r="AB155" s="223">
        <f>+GETPIVOTDATA("PPEF 2011 ",$A$4,"No. Ramo",$M155,"IPP",$N155,"PP",$O155,"Programa Presupuestario (PP)",$P155,"Unidad Responsable (UR)",$Q155)</f>
        <v>900000</v>
      </c>
      <c r="AC155" s="223">
        <f>+GETPIVOTDATA("Reducción ",$A$4,"No. Ramo",$M155,"IPP",$N155,"PP",$O155,"Programa Presupuestario (PP)",$P155,"Unidad Responsable (UR)",$Q155)</f>
        <v>0</v>
      </c>
      <c r="AD155" s="223">
        <f>+GETPIVOTDATA("Ampliación ",$A$4,"No. Ramo",$M155,"IPP",$N155,"PP",$O155,"Programa Presupuestario (PP)",$P155,"Unidad Responsable (UR)",$Q155)</f>
        <v>0</v>
      </c>
      <c r="AE155" s="256"/>
      <c r="AF155" s="256">
        <f>+AB155</f>
        <v>900000</v>
      </c>
      <c r="AG155" s="256">
        <f>+AD155</f>
        <v>0</v>
      </c>
      <c r="AH155" s="223">
        <f>+AG155+AF155+AE155</f>
        <v>900000</v>
      </c>
      <c r="AK155" s="221"/>
      <c r="AL155" s="219" t="s">
        <v>75</v>
      </c>
      <c r="AM155" s="219"/>
      <c r="AN155" s="219"/>
      <c r="AO155" s="219"/>
      <c r="AP155" s="219"/>
      <c r="AQ155" s="219"/>
      <c r="AR155" s="219"/>
      <c r="AS155" s="223">
        <f>+AH155</f>
        <v>900000</v>
      </c>
    </row>
    <row r="156" spans="1:45">
      <c r="A156"/>
      <c r="B156"/>
      <c r="C156"/>
      <c r="D156" t="s">
        <v>1450</v>
      </c>
      <c r="E156"/>
      <c r="F156" s="5">
        <v>1817980662</v>
      </c>
      <c r="G156" s="7">
        <v>1620548872</v>
      </c>
      <c r="H156" s="5"/>
      <c r="I156" s="5">
        <v>42000000</v>
      </c>
      <c r="J156" s="5">
        <v>1662548872</v>
      </c>
      <c r="M156" s="207"/>
      <c r="N156" s="132"/>
      <c r="O156" s="128"/>
      <c r="P156" s="130"/>
      <c r="Q156" s="128"/>
      <c r="R156" s="266"/>
      <c r="S156" s="266"/>
      <c r="T156" s="217" t="s">
        <v>1331</v>
      </c>
      <c r="AB156" s="220">
        <f t="shared" ref="AB156:AH156" si="18">+SUM(AB157:AB172)</f>
        <v>9851428855</v>
      </c>
      <c r="AC156" s="220">
        <f t="shared" si="18"/>
        <v>0</v>
      </c>
      <c r="AD156" s="220">
        <f t="shared" si="18"/>
        <v>401000000</v>
      </c>
      <c r="AE156" s="220">
        <f t="shared" si="18"/>
        <v>9000000</v>
      </c>
      <c r="AF156" s="220">
        <f t="shared" si="18"/>
        <v>4194934064</v>
      </c>
      <c r="AG156" s="220">
        <f t="shared" si="18"/>
        <v>0</v>
      </c>
      <c r="AH156" s="220">
        <f t="shared" si="18"/>
        <v>4203934064</v>
      </c>
      <c r="AK156" s="217" t="s">
        <v>1331</v>
      </c>
      <c r="AS156" s="220">
        <f>+AH156</f>
        <v>4203934064</v>
      </c>
    </row>
    <row r="157" spans="1:45">
      <c r="A157"/>
      <c r="B157"/>
      <c r="C157">
        <v>70</v>
      </c>
      <c r="D157" t="s">
        <v>418</v>
      </c>
      <c r="E157" t="s">
        <v>371</v>
      </c>
      <c r="F157" s="5">
        <v>350832463</v>
      </c>
      <c r="G157" s="7">
        <v>347798724</v>
      </c>
      <c r="H157" s="5"/>
      <c r="I157" s="5"/>
      <c r="J157" s="5">
        <v>347798724</v>
      </c>
      <c r="M157" s="207"/>
      <c r="N157" s="132"/>
      <c r="O157" s="128"/>
      <c r="P157" s="130"/>
      <c r="Q157" s="128"/>
      <c r="R157" s="266"/>
      <c r="S157" s="266"/>
      <c r="T157" s="221" t="s">
        <v>410</v>
      </c>
      <c r="U157" s="219"/>
      <c r="V157" s="219"/>
      <c r="W157" s="219"/>
      <c r="X157" s="219"/>
      <c r="Y157" s="219"/>
      <c r="Z157" s="219"/>
      <c r="AA157" s="219"/>
      <c r="AB157" s="223"/>
      <c r="AC157" s="223"/>
      <c r="AD157" s="223"/>
      <c r="AE157" s="256"/>
      <c r="AF157" s="256"/>
      <c r="AG157" s="256"/>
      <c r="AH157" s="223"/>
      <c r="AK157" s="221" t="s">
        <v>410</v>
      </c>
      <c r="AL157" s="219"/>
      <c r="AM157" s="219"/>
      <c r="AN157" s="219"/>
      <c r="AO157" s="219"/>
      <c r="AP157" s="219"/>
      <c r="AQ157" s="219"/>
      <c r="AR157" s="219"/>
      <c r="AS157" s="223"/>
    </row>
    <row r="158" spans="1:45">
      <c r="A158"/>
      <c r="B158"/>
      <c r="C158"/>
      <c r="D158" t="s">
        <v>1451</v>
      </c>
      <c r="E158"/>
      <c r="F158" s="5">
        <v>350832463</v>
      </c>
      <c r="G158" s="7">
        <v>347798724</v>
      </c>
      <c r="H158" s="5"/>
      <c r="I158" s="5"/>
      <c r="J158" s="5">
        <v>347798724</v>
      </c>
      <c r="M158" s="204">
        <v>20</v>
      </c>
      <c r="N158" s="131" t="s">
        <v>619</v>
      </c>
      <c r="O158" s="128">
        <v>48</v>
      </c>
      <c r="P158" s="130" t="s">
        <v>410</v>
      </c>
      <c r="Q158" s="128" t="s">
        <v>374</v>
      </c>
      <c r="R158" s="266">
        <v>7.9237197500222803E-2</v>
      </c>
      <c r="S158" s="266">
        <f>232800000/AB158</f>
        <v>8.6684302528439242E-2</v>
      </c>
      <c r="T158" s="221"/>
      <c r="U158" s="219" t="s">
        <v>374</v>
      </c>
      <c r="V158" s="219"/>
      <c r="W158" s="219"/>
      <c r="X158" s="219"/>
      <c r="Y158" s="219"/>
      <c r="Z158" s="219"/>
      <c r="AA158" s="219"/>
      <c r="AB158" s="223">
        <f>+GETPIVOTDATA("PPEF 2011 ",$A$4,"No. Ramo",$M158,"IPP",$N158,"PP",$O158,"Programa Presupuestario (PP)",$P158,"Unidad Responsable (UR)",$Q158)</f>
        <v>2685607350</v>
      </c>
      <c r="AC158" s="223">
        <f>+GETPIVOTDATA("Reducción ",$A$4,"No. Ramo",$M158,"IPP",$N158,"PP",$O158,"Programa Presupuestario (PP)",$P158,"Unidad Responsable (UR)",$Q158)</f>
        <v>0</v>
      </c>
      <c r="AD158" s="223">
        <f>+GETPIVOTDATA("Ampliación ",$A$4,"No. Ramo",$M158,"IPP",$N158,"PP",$O158,"Programa Presupuestario (PP)",$P158,"Unidad Responsable (UR)",$Q158)</f>
        <v>0</v>
      </c>
      <c r="AE158" s="256"/>
      <c r="AF158" s="256">
        <f>+AB158*S158</f>
        <v>232800000</v>
      </c>
      <c r="AG158" s="282">
        <f>+S158*AD158</f>
        <v>0</v>
      </c>
      <c r="AH158" s="223">
        <f>+AG158+AF158+AE158</f>
        <v>232800000</v>
      </c>
      <c r="AK158" s="221"/>
      <c r="AL158" s="219" t="s">
        <v>374</v>
      </c>
      <c r="AM158" s="219"/>
      <c r="AN158" s="219"/>
      <c r="AO158" s="219"/>
      <c r="AP158" s="219"/>
      <c r="AQ158" s="219"/>
      <c r="AR158" s="219"/>
      <c r="AS158" s="223">
        <f>+AH158</f>
        <v>232800000</v>
      </c>
    </row>
    <row r="159" spans="1:45">
      <c r="A159"/>
      <c r="B159"/>
      <c r="C159">
        <v>71</v>
      </c>
      <c r="D159" t="s">
        <v>166</v>
      </c>
      <c r="E159" t="s">
        <v>408</v>
      </c>
      <c r="F159" s="5">
        <v>825046554</v>
      </c>
      <c r="G159" s="7">
        <v>625052810</v>
      </c>
      <c r="H159" s="5"/>
      <c r="I159" s="5"/>
      <c r="J159" s="5">
        <v>625052810</v>
      </c>
      <c r="M159" s="204"/>
      <c r="N159" s="131"/>
      <c r="O159" s="128"/>
      <c r="P159" s="130"/>
      <c r="Q159" s="128"/>
      <c r="R159" s="266"/>
      <c r="S159" s="266"/>
      <c r="T159" s="221" t="s">
        <v>414</v>
      </c>
      <c r="U159" s="219"/>
      <c r="V159" s="219"/>
      <c r="W159" s="219"/>
      <c r="X159" s="219"/>
      <c r="Y159" s="219"/>
      <c r="Z159" s="219"/>
      <c r="AA159" s="219"/>
      <c r="AB159" s="223"/>
      <c r="AC159" s="223"/>
      <c r="AD159" s="223"/>
      <c r="AE159" s="256"/>
      <c r="AF159" s="256"/>
      <c r="AG159" s="256"/>
      <c r="AH159" s="223"/>
      <c r="AK159" s="221" t="s">
        <v>414</v>
      </c>
      <c r="AL159" s="219"/>
      <c r="AM159" s="219"/>
      <c r="AN159" s="219"/>
      <c r="AO159" s="219"/>
      <c r="AP159" s="219"/>
      <c r="AQ159" s="219"/>
      <c r="AR159" s="219"/>
      <c r="AS159" s="223"/>
    </row>
    <row r="160" spans="1:45">
      <c r="A160"/>
      <c r="B160"/>
      <c r="C160"/>
      <c r="D160" t="s">
        <v>1443</v>
      </c>
      <c r="E160"/>
      <c r="F160" s="5">
        <v>825046554</v>
      </c>
      <c r="G160" s="7">
        <v>625052810</v>
      </c>
      <c r="H160" s="5"/>
      <c r="I160" s="5"/>
      <c r="J160" s="5">
        <v>625052810</v>
      </c>
      <c r="M160" s="204">
        <v>20</v>
      </c>
      <c r="N160" s="131" t="s">
        <v>619</v>
      </c>
      <c r="O160" s="128">
        <v>58</v>
      </c>
      <c r="P160" s="130" t="s">
        <v>414</v>
      </c>
      <c r="Q160" s="128" t="s">
        <v>416</v>
      </c>
      <c r="R160" s="266">
        <v>0.39980281446272847</v>
      </c>
      <c r="S160" s="266">
        <f>747900000/AB160</f>
        <v>0.461510302418081</v>
      </c>
      <c r="T160" s="221"/>
      <c r="U160" s="219" t="s">
        <v>416</v>
      </c>
      <c r="V160" s="219"/>
      <c r="W160" s="219"/>
      <c r="X160" s="219"/>
      <c r="Y160" s="219"/>
      <c r="Z160" s="219"/>
      <c r="AA160" s="219"/>
      <c r="AB160" s="223">
        <f>+GETPIVOTDATA("PPEF 2011 ",$A$4,"No. Ramo",$M160,"IPP",$N160,"PP",$O160,"Programa Presupuestario (PP)",$P160,"Unidad Responsable (UR)",$Q160)</f>
        <v>1620548872</v>
      </c>
      <c r="AC160" s="223">
        <f>+GETPIVOTDATA("Reducción ",$A$4,"No. Ramo",$M160,"IPP",$N160,"PP",$O160,"Programa Presupuestario (PP)",$P160,"Unidad Responsable (UR)",$Q160)</f>
        <v>0</v>
      </c>
      <c r="AD160" s="223">
        <f>+GETPIVOTDATA("Ampliación ",$A$4,"No. Ramo",$M160,"IPP",$N160,"PP",$O160,"Programa Presupuestario (PP)",$P160,"Unidad Responsable (UR)",$Q160)</f>
        <v>42000000</v>
      </c>
      <c r="AE160" s="256"/>
      <c r="AF160" s="256">
        <f>+AB160*S160</f>
        <v>747900000</v>
      </c>
      <c r="AG160" s="270"/>
      <c r="AH160" s="223">
        <f>+AG160+AF160+AE160</f>
        <v>747900000</v>
      </c>
      <c r="AK160" s="221"/>
      <c r="AL160" s="219" t="s">
        <v>416</v>
      </c>
      <c r="AM160" s="219"/>
      <c r="AN160" s="219"/>
      <c r="AO160" s="219"/>
      <c r="AP160" s="219"/>
      <c r="AQ160" s="219"/>
      <c r="AR160" s="219"/>
      <c r="AS160" s="223">
        <f>+AH160</f>
        <v>747900000</v>
      </c>
    </row>
    <row r="161" spans="1:45">
      <c r="A161"/>
      <c r="B161"/>
      <c r="C161">
        <v>117</v>
      </c>
      <c r="D161" t="s">
        <v>419</v>
      </c>
      <c r="E161" t="s">
        <v>416</v>
      </c>
      <c r="F161" s="5">
        <v>377256635</v>
      </c>
      <c r="G161" s="7">
        <v>377256635</v>
      </c>
      <c r="H161" s="5"/>
      <c r="I161" s="5">
        <v>350000000</v>
      </c>
      <c r="J161" s="5">
        <v>727256635</v>
      </c>
      <c r="M161" s="204"/>
      <c r="N161" s="131"/>
      <c r="O161" s="128"/>
      <c r="P161" s="130"/>
      <c r="Q161" s="128"/>
      <c r="R161" s="266"/>
      <c r="S161" s="266"/>
      <c r="T161" s="221" t="s">
        <v>418</v>
      </c>
      <c r="U161" s="219"/>
      <c r="V161" s="219"/>
      <c r="W161" s="219"/>
      <c r="X161" s="219"/>
      <c r="Y161" s="219"/>
      <c r="Z161" s="219"/>
      <c r="AA161" s="219"/>
      <c r="AB161" s="223"/>
      <c r="AC161" s="223"/>
      <c r="AD161" s="223"/>
      <c r="AE161" s="256"/>
      <c r="AF161" s="256"/>
      <c r="AG161" s="256"/>
      <c r="AH161" s="223"/>
      <c r="AK161" s="221" t="s">
        <v>418</v>
      </c>
      <c r="AL161" s="219"/>
      <c r="AM161" s="219"/>
      <c r="AN161" s="219"/>
      <c r="AO161" s="219"/>
      <c r="AP161" s="219"/>
      <c r="AQ161" s="219"/>
      <c r="AR161" s="219"/>
      <c r="AS161" s="223"/>
    </row>
    <row r="162" spans="1:45">
      <c r="A162"/>
      <c r="B162"/>
      <c r="C162"/>
      <c r="D162" t="s">
        <v>1452</v>
      </c>
      <c r="E162"/>
      <c r="F162" s="5">
        <v>377256635</v>
      </c>
      <c r="G162" s="7">
        <v>377256635</v>
      </c>
      <c r="H162" s="5"/>
      <c r="I162" s="5">
        <v>350000000</v>
      </c>
      <c r="J162" s="5">
        <v>727256635</v>
      </c>
      <c r="M162" s="204">
        <v>20</v>
      </c>
      <c r="N162" s="131" t="s">
        <v>619</v>
      </c>
      <c r="O162" s="128">
        <v>70</v>
      </c>
      <c r="P162" s="130" t="s">
        <v>418</v>
      </c>
      <c r="Q162" s="128" t="s">
        <v>371</v>
      </c>
      <c r="R162" s="266">
        <v>0.18085172733411178</v>
      </c>
      <c r="S162" s="266">
        <v>0.18085172733411178</v>
      </c>
      <c r="T162" s="221"/>
      <c r="U162" s="219" t="s">
        <v>371</v>
      </c>
      <c r="V162" s="219"/>
      <c r="W162" s="219"/>
      <c r="X162" s="219"/>
      <c r="Y162" s="219"/>
      <c r="Z162" s="219"/>
      <c r="AA162" s="219"/>
      <c r="AB162" s="223">
        <f>+GETPIVOTDATA("PPEF 2011 ",$A$4,"No. Ramo",$M162,"IPP",$N162,"PP",$O162,"Programa Presupuestario (PP)",$P162,"Unidad Responsable (UR)",$Q162)</f>
        <v>347798724</v>
      </c>
      <c r="AC162" s="223">
        <f>+GETPIVOTDATA("Reducción ",$A$4,"No. Ramo",$M162,"IPP",$N162,"PP",$O162,"Programa Presupuestario (PP)",$P162,"Unidad Responsable (UR)",$Q162)</f>
        <v>0</v>
      </c>
      <c r="AD162" s="223">
        <f>+GETPIVOTDATA("Ampliación ",$A$4,"No. Ramo",$M162,"IPP",$N162,"PP",$O162,"Programa Presupuestario (PP)",$P162,"Unidad Responsable (UR)",$Q162)</f>
        <v>0</v>
      </c>
      <c r="AE162" s="256"/>
      <c r="AF162" s="256">
        <f>+AB162*S162</f>
        <v>62900000</v>
      </c>
      <c r="AG162" s="282">
        <f>+S162*AD162</f>
        <v>0</v>
      </c>
      <c r="AH162" s="223">
        <f>+AG162+AF162+AE162</f>
        <v>62900000</v>
      </c>
      <c r="AK162" s="221"/>
      <c r="AL162" s="219" t="s">
        <v>371</v>
      </c>
      <c r="AM162" s="219"/>
      <c r="AN162" s="219"/>
      <c r="AO162" s="219"/>
      <c r="AP162" s="219"/>
      <c r="AQ162" s="219"/>
      <c r="AR162" s="219"/>
      <c r="AS162" s="223">
        <f>+AH162</f>
        <v>62900000</v>
      </c>
    </row>
    <row r="163" spans="1:45">
      <c r="A163"/>
      <c r="B163"/>
      <c r="C163">
        <v>155</v>
      </c>
      <c r="D163" t="s">
        <v>421</v>
      </c>
      <c r="E163" t="s">
        <v>371</v>
      </c>
      <c r="F163" s="5">
        <v>195534434</v>
      </c>
      <c r="G163" s="7">
        <v>193976464</v>
      </c>
      <c r="H163" s="5"/>
      <c r="I163" s="5">
        <v>9000000</v>
      </c>
      <c r="J163" s="5">
        <v>202976464</v>
      </c>
      <c r="M163" s="204"/>
      <c r="N163" s="131"/>
      <c r="O163" s="128"/>
      <c r="P163" s="130"/>
      <c r="Q163" s="128"/>
      <c r="R163" s="266"/>
      <c r="S163" s="266"/>
      <c r="T163" s="221" t="str">
        <f>+P164</f>
        <v>Programa de Empleo Temporal (PET)</v>
      </c>
      <c r="U163" s="219"/>
      <c r="V163" s="219"/>
      <c r="W163" s="219"/>
      <c r="X163" s="219"/>
      <c r="Y163" s="219"/>
      <c r="Z163" s="219"/>
      <c r="AA163" s="219"/>
      <c r="AB163" s="253"/>
      <c r="AC163" s="253"/>
      <c r="AD163" s="253"/>
      <c r="AE163" s="258"/>
      <c r="AF163" s="258"/>
      <c r="AG163" s="258"/>
      <c r="AH163" s="253"/>
      <c r="AK163" s="221"/>
      <c r="AL163" s="219"/>
      <c r="AM163" s="219"/>
      <c r="AN163" s="219"/>
      <c r="AO163" s="219"/>
      <c r="AP163" s="219"/>
      <c r="AQ163" s="219"/>
      <c r="AR163" s="219"/>
      <c r="AS163" s="253"/>
    </row>
    <row r="164" spans="1:45">
      <c r="A164"/>
      <c r="B164"/>
      <c r="C164"/>
      <c r="D164" t="s">
        <v>1453</v>
      </c>
      <c r="E164"/>
      <c r="F164" s="5">
        <v>195534434</v>
      </c>
      <c r="G164" s="7">
        <v>193976464</v>
      </c>
      <c r="H164" s="5"/>
      <c r="I164" s="5">
        <v>9000000</v>
      </c>
      <c r="J164" s="5">
        <v>202976464</v>
      </c>
      <c r="M164" s="204">
        <v>20</v>
      </c>
      <c r="N164" s="259" t="s">
        <v>619</v>
      </c>
      <c r="O164" s="128">
        <v>71</v>
      </c>
      <c r="P164" s="260" t="s">
        <v>166</v>
      </c>
      <c r="Q164" s="127" t="s">
        <v>408</v>
      </c>
      <c r="R164" s="266"/>
      <c r="S164" s="266"/>
      <c r="T164" s="221"/>
      <c r="U164" s="219" t="str">
        <f>+Q164</f>
        <v>Dirección General de Atención a Grupos Prioritarios</v>
      </c>
      <c r="V164" s="219"/>
      <c r="W164" s="219"/>
      <c r="X164" s="219"/>
      <c r="Y164" s="219"/>
      <c r="Z164" s="219"/>
      <c r="AA164" s="219"/>
      <c r="AB164" s="223">
        <f>+GETPIVOTDATA("PPEF 2011 ",$A$4,"No. Ramo",$M164,"IPP",$N164,"PP",$O164,"Programa Presupuestario (PP)",$P164,"Unidad Responsable (UR)",$Q164)</f>
        <v>625052810</v>
      </c>
      <c r="AC164" s="223">
        <f>+GETPIVOTDATA("Reducción ",$A$4,"No. Ramo",$M164,"IPP",$N164,"PP",$O164,"Programa Presupuestario (PP)",$P164,"Unidad Responsable (UR)",$Q164)</f>
        <v>0</v>
      </c>
      <c r="AD164" s="223">
        <f>+GETPIVOTDATA("Ampliación ",$A$4,"No. Ramo",$M164,"IPP",$N164,"PP",$O164,"Programa Presupuestario (PP)",$P164,"Unidad Responsable (UR)",$Q164)</f>
        <v>0</v>
      </c>
      <c r="AE164" s="256"/>
      <c r="AF164" s="256">
        <f>+AB164*S164</f>
        <v>0</v>
      </c>
      <c r="AG164" s="256"/>
      <c r="AH164" s="253"/>
      <c r="AK164" s="221"/>
      <c r="AL164" s="219"/>
      <c r="AM164" s="219"/>
      <c r="AN164" s="219"/>
      <c r="AO164" s="219"/>
      <c r="AP164" s="219"/>
      <c r="AQ164" s="219"/>
      <c r="AR164" s="219"/>
      <c r="AS164" s="253"/>
    </row>
    <row r="165" spans="1:45">
      <c r="A165"/>
      <c r="B165"/>
      <c r="C165">
        <v>174</v>
      </c>
      <c r="D165" t="s">
        <v>263</v>
      </c>
      <c r="E165" t="s">
        <v>375</v>
      </c>
      <c r="F165" s="5">
        <v>35830200</v>
      </c>
      <c r="G165" s="7">
        <v>44223949</v>
      </c>
      <c r="H165" s="5"/>
      <c r="I165" s="5"/>
      <c r="J165" s="5">
        <v>44223949</v>
      </c>
      <c r="M165" s="204"/>
      <c r="N165" s="131"/>
      <c r="O165" s="128"/>
      <c r="P165" s="130"/>
      <c r="Q165" s="128"/>
      <c r="R165" s="266"/>
      <c r="S165" s="266"/>
      <c r="T165" s="221" t="s">
        <v>419</v>
      </c>
      <c r="U165" s="219"/>
      <c r="V165" s="219"/>
      <c r="W165" s="219"/>
      <c r="X165" s="219"/>
      <c r="Y165" s="219"/>
      <c r="Z165" s="219"/>
      <c r="AA165" s="219"/>
      <c r="AB165" s="223"/>
      <c r="AC165" s="223"/>
      <c r="AD165" s="223"/>
      <c r="AE165" s="256"/>
      <c r="AF165" s="256"/>
      <c r="AG165" s="256"/>
      <c r="AH165" s="223"/>
      <c r="AK165" s="221" t="s">
        <v>419</v>
      </c>
      <c r="AL165" s="219"/>
      <c r="AM165" s="219"/>
      <c r="AN165" s="219"/>
      <c r="AO165" s="219"/>
      <c r="AP165" s="219"/>
      <c r="AQ165" s="219"/>
      <c r="AR165" s="219"/>
      <c r="AS165" s="223"/>
    </row>
    <row r="166" spans="1:45">
      <c r="A166"/>
      <c r="B166"/>
      <c r="C166"/>
      <c r="D166"/>
      <c r="E166" t="s">
        <v>376</v>
      </c>
      <c r="F166" s="5">
        <v>26908560</v>
      </c>
      <c r="G166" s="7">
        <v>36347549</v>
      </c>
      <c r="H166" s="5"/>
      <c r="I166" s="5"/>
      <c r="J166" s="5">
        <v>36347549</v>
      </c>
      <c r="M166" s="204">
        <v>20</v>
      </c>
      <c r="N166" s="131" t="s">
        <v>619</v>
      </c>
      <c r="O166" s="128">
        <v>117</v>
      </c>
      <c r="P166" s="130" t="s">
        <v>419</v>
      </c>
      <c r="Q166" s="128" t="s">
        <v>416</v>
      </c>
      <c r="R166" s="266">
        <v>4.5857377697280259E-2</v>
      </c>
      <c r="S166" s="266">
        <v>5.3014309476624576E-2</v>
      </c>
      <c r="T166" s="221"/>
      <c r="U166" s="219" t="s">
        <v>416</v>
      </c>
      <c r="V166" s="219"/>
      <c r="W166" s="219"/>
      <c r="X166" s="219"/>
      <c r="Y166" s="219"/>
      <c r="Z166" s="219"/>
      <c r="AA166" s="219"/>
      <c r="AB166" s="223">
        <f>+GETPIVOTDATA("PPEF 2011 ",$A$4,"No. Ramo",$M166,"IPP",$N166,"PP",$O166,"Programa Presupuestario (PP)",$P166,"Unidad Responsable (UR)",$Q166)</f>
        <v>377256635</v>
      </c>
      <c r="AC166" s="223">
        <f>+GETPIVOTDATA("Reducción ",$A$4,"No. Ramo",$M166,"IPP",$N166,"PP",$O166,"Programa Presupuestario (PP)",$P166,"Unidad Responsable (UR)",$Q166)</f>
        <v>0</v>
      </c>
      <c r="AD166" s="223">
        <f>+GETPIVOTDATA("Ampliación ",$A$4,"No. Ramo",$M166,"IPP",$N166,"PP",$O166,"Programa Presupuestario (PP)",$P166,"Unidad Responsable (UR)",$Q166)</f>
        <v>350000000</v>
      </c>
      <c r="AE166" s="256"/>
      <c r="AF166" s="256">
        <f>+AB166*S166</f>
        <v>20000000</v>
      </c>
      <c r="AG166" s="256"/>
      <c r="AH166" s="223">
        <f>+AG166+AF166+AE166</f>
        <v>20000000</v>
      </c>
      <c r="AK166" s="221"/>
      <c r="AL166" s="219" t="s">
        <v>416</v>
      </c>
      <c r="AM166" s="219"/>
      <c r="AN166" s="219"/>
      <c r="AO166" s="219"/>
      <c r="AP166" s="219"/>
      <c r="AQ166" s="219"/>
      <c r="AR166" s="219"/>
      <c r="AS166" s="223">
        <f>+AH166</f>
        <v>20000000</v>
      </c>
    </row>
    <row r="167" spans="1:45">
      <c r="A167"/>
      <c r="B167"/>
      <c r="C167"/>
      <c r="D167"/>
      <c r="E167" t="s">
        <v>377</v>
      </c>
      <c r="F167" s="5">
        <v>9679740</v>
      </c>
      <c r="G167" s="7">
        <v>12331319</v>
      </c>
      <c r="H167" s="5"/>
      <c r="I167" s="5"/>
      <c r="J167" s="5">
        <v>12331319</v>
      </c>
      <c r="M167" s="204"/>
      <c r="N167" s="131"/>
      <c r="O167" s="128"/>
      <c r="P167" s="130"/>
      <c r="Q167" s="128"/>
      <c r="R167" s="266"/>
      <c r="S167" s="266"/>
      <c r="T167" s="221" t="s">
        <v>421</v>
      </c>
      <c r="U167" s="219"/>
      <c r="V167" s="219"/>
      <c r="W167" s="219"/>
      <c r="X167" s="219"/>
      <c r="Y167" s="219"/>
      <c r="Z167" s="219"/>
      <c r="AA167" s="219"/>
      <c r="AB167" s="223"/>
      <c r="AC167" s="223"/>
      <c r="AD167" s="223"/>
      <c r="AE167" s="256"/>
      <c r="AF167" s="256"/>
      <c r="AG167" s="256"/>
      <c r="AH167" s="223"/>
      <c r="AK167" s="386" t="s">
        <v>421</v>
      </c>
      <c r="AL167" s="387"/>
      <c r="AM167" s="387"/>
      <c r="AN167" s="387"/>
      <c r="AO167" s="387"/>
      <c r="AP167" s="387"/>
      <c r="AQ167" s="387"/>
      <c r="AR167" s="388"/>
      <c r="AS167" s="223"/>
    </row>
    <row r="168" spans="1:45">
      <c r="A168"/>
      <c r="B168"/>
      <c r="C168"/>
      <c r="D168"/>
      <c r="E168" t="s">
        <v>378</v>
      </c>
      <c r="F168" s="5">
        <v>28783860</v>
      </c>
      <c r="G168" s="7">
        <v>29873963</v>
      </c>
      <c r="H168" s="5"/>
      <c r="I168" s="5"/>
      <c r="J168" s="5">
        <v>29873963</v>
      </c>
      <c r="M168" s="204">
        <v>20</v>
      </c>
      <c r="N168" s="131" t="s">
        <v>619</v>
      </c>
      <c r="O168" s="128">
        <v>155</v>
      </c>
      <c r="P168" s="130" t="s">
        <v>421</v>
      </c>
      <c r="Q168" s="128" t="s">
        <v>371</v>
      </c>
      <c r="R168" s="266">
        <v>1</v>
      </c>
      <c r="S168" s="266">
        <v>1</v>
      </c>
      <c r="T168" s="221"/>
      <c r="U168" s="219" t="s">
        <v>371</v>
      </c>
      <c r="V168" s="219"/>
      <c r="W168" s="219"/>
      <c r="X168" s="219"/>
      <c r="Y168" s="219"/>
      <c r="Z168" s="219"/>
      <c r="AA168" s="219"/>
      <c r="AB168" s="223">
        <f>+GETPIVOTDATA("PPEF 2011 ",$A$4,"No. Ramo",$M168,"IPP",$N168,"PP",$O168,"Programa Presupuestario (PP)",$P168,"Unidad Responsable (UR)",$Q168)</f>
        <v>193976464</v>
      </c>
      <c r="AC168" s="223">
        <f>+GETPIVOTDATA("Reducción ",$A$4,"No. Ramo",$M168,"IPP",$N168,"PP",$O168,"Programa Presupuestario (PP)",$P168,"Unidad Responsable (UR)",$Q168)</f>
        <v>0</v>
      </c>
      <c r="AD168" s="223">
        <f>+GETPIVOTDATA("Ampliación ",$A$4,"No. Ramo",$M168,"IPP",$N168,"PP",$O168,"Programa Presupuestario (PP)",$P168,"Unidad Responsable (UR)",$Q168)</f>
        <v>9000000</v>
      </c>
      <c r="AE168" s="256">
        <f>+AD168</f>
        <v>9000000</v>
      </c>
      <c r="AF168" s="256">
        <f>+AB168*S168</f>
        <v>193976464</v>
      </c>
      <c r="AG168" s="256"/>
      <c r="AH168" s="223">
        <f>+AG168+AF168+AE168</f>
        <v>202976464</v>
      </c>
      <c r="AK168" s="221"/>
      <c r="AL168" s="219" t="s">
        <v>371</v>
      </c>
      <c r="AM168" s="219"/>
      <c r="AN168" s="219"/>
      <c r="AO168" s="219"/>
      <c r="AP168" s="219"/>
      <c r="AQ168" s="219"/>
      <c r="AR168" s="219"/>
      <c r="AS168" s="223">
        <f>+AH168</f>
        <v>202976464</v>
      </c>
    </row>
    <row r="169" spans="1:45">
      <c r="A169"/>
      <c r="B169"/>
      <c r="C169"/>
      <c r="D169"/>
      <c r="E169" t="s">
        <v>381</v>
      </c>
      <c r="F169" s="5">
        <v>62275920</v>
      </c>
      <c r="G169" s="7">
        <v>64805118</v>
      </c>
      <c r="H169" s="5"/>
      <c r="I169" s="5"/>
      <c r="J169" s="5">
        <v>64805118</v>
      </c>
      <c r="M169" s="204"/>
      <c r="N169" s="131"/>
      <c r="O169" s="128"/>
      <c r="P169" s="130"/>
      <c r="Q169" s="128"/>
      <c r="R169" s="266"/>
      <c r="S169" s="266"/>
      <c r="T169" s="221" t="s">
        <v>263</v>
      </c>
      <c r="U169" s="219"/>
      <c r="V169" s="219"/>
      <c r="W169" s="219"/>
      <c r="X169" s="219"/>
      <c r="Y169" s="219"/>
      <c r="Z169" s="219"/>
      <c r="AA169" s="219"/>
      <c r="AB169" s="223"/>
      <c r="AC169" s="223"/>
      <c r="AD169" s="223"/>
      <c r="AE169" s="256"/>
      <c r="AF169" s="256"/>
      <c r="AG169" s="256"/>
      <c r="AH169" s="223"/>
      <c r="AK169" s="221" t="s">
        <v>263</v>
      </c>
      <c r="AL169" s="219"/>
      <c r="AM169" s="219"/>
      <c r="AN169" s="219"/>
      <c r="AO169" s="219"/>
      <c r="AP169" s="219"/>
      <c r="AQ169" s="219"/>
      <c r="AR169" s="219"/>
      <c r="AS169" s="223"/>
    </row>
    <row r="170" spans="1:45">
      <c r="A170"/>
      <c r="B170"/>
      <c r="C170"/>
      <c r="D170"/>
      <c r="E170" t="s">
        <v>382</v>
      </c>
      <c r="F170" s="5">
        <v>46738860</v>
      </c>
      <c r="G170" s="7">
        <v>57775431</v>
      </c>
      <c r="H170" s="5"/>
      <c r="I170" s="5"/>
      <c r="J170" s="5">
        <v>57775431</v>
      </c>
      <c r="M170" s="204">
        <v>20</v>
      </c>
      <c r="N170" s="131" t="s">
        <v>619</v>
      </c>
      <c r="O170" s="128">
        <v>174</v>
      </c>
      <c r="P170" s="130" t="s">
        <v>263</v>
      </c>
      <c r="Q170" s="128" t="s">
        <v>407</v>
      </c>
      <c r="R170" s="266">
        <v>1</v>
      </c>
      <c r="S170" s="266">
        <v>1</v>
      </c>
      <c r="T170" s="221"/>
      <c r="U170" s="219" t="s">
        <v>407</v>
      </c>
      <c r="V170" s="219"/>
      <c r="W170" s="219"/>
      <c r="X170" s="219"/>
      <c r="Y170" s="219"/>
      <c r="Z170" s="219"/>
      <c r="AA170" s="219"/>
      <c r="AB170" s="223">
        <f>+GETPIVOTDATA("PPEF 2011 ",$A$4,"No. Ramo",20,"IPP","S","PP",174,"Programa Presupuestario (PP)","Programa de estancias infantiles para apoyar a madres trabajadoras")</f>
        <v>2891057600</v>
      </c>
      <c r="AC170" s="223">
        <f>+GETPIVOTDATA("Reducción ",$A$4,"No. Ramo",20,"IPP","S","PP",174,"Programa Presupuestario (PP)","Programa de estancias infantiles para apoyar a madres trabajadoras")</f>
        <v>0</v>
      </c>
      <c r="AD170" s="223">
        <f>+GETPIVOTDATA("Ampliación ",$A$4,"No. Ramo",20,"IPP","S","PP",174,"Programa Presupuestario (PP)","Programa de estancias infantiles para apoyar a madres trabajadoras")</f>
        <v>0</v>
      </c>
      <c r="AE170" s="256"/>
      <c r="AF170" s="256">
        <f>+AB170*S170</f>
        <v>2891057600</v>
      </c>
      <c r="AG170" s="256">
        <f>+AD170*S170</f>
        <v>0</v>
      </c>
      <c r="AH170" s="223">
        <f>+AG170+AF170+AE170</f>
        <v>2891057600</v>
      </c>
      <c r="AK170" s="221"/>
      <c r="AL170" s="219" t="s">
        <v>407</v>
      </c>
      <c r="AM170" s="219"/>
      <c r="AN170" s="219"/>
      <c r="AO170" s="219"/>
      <c r="AP170" s="219"/>
      <c r="AQ170" s="219"/>
      <c r="AR170" s="219"/>
      <c r="AS170" s="223">
        <f>+AH170</f>
        <v>2891057600</v>
      </c>
    </row>
    <row r="171" spans="1:45">
      <c r="A171"/>
      <c r="B171"/>
      <c r="C171"/>
      <c r="D171"/>
      <c r="E171" t="s">
        <v>379</v>
      </c>
      <c r="F171" s="5">
        <v>30443700</v>
      </c>
      <c r="G171" s="7">
        <v>39936743</v>
      </c>
      <c r="H171" s="5"/>
      <c r="I171" s="5"/>
      <c r="J171" s="5">
        <v>39936743</v>
      </c>
      <c r="M171" s="207"/>
      <c r="N171" s="132"/>
      <c r="O171" s="128"/>
      <c r="P171" s="130"/>
      <c r="Q171" s="128"/>
      <c r="R171" s="266"/>
      <c r="S171" s="266"/>
      <c r="T171" s="221" t="s">
        <v>422</v>
      </c>
      <c r="U171" s="219"/>
      <c r="V171" s="219"/>
      <c r="W171" s="219"/>
      <c r="X171" s="219"/>
      <c r="Y171" s="219"/>
      <c r="Z171" s="219"/>
      <c r="AA171" s="219"/>
      <c r="AB171" s="223"/>
      <c r="AC171" s="223"/>
      <c r="AD171" s="223"/>
      <c r="AE171" s="256"/>
      <c r="AF171" s="256"/>
      <c r="AG171" s="256"/>
      <c r="AH171" s="223"/>
      <c r="AK171" s="221" t="s">
        <v>422</v>
      </c>
      <c r="AL171" s="219"/>
      <c r="AM171" s="219"/>
      <c r="AN171" s="219"/>
      <c r="AO171" s="219"/>
      <c r="AP171" s="219"/>
      <c r="AQ171" s="219"/>
      <c r="AR171" s="219"/>
      <c r="AS171" s="223"/>
    </row>
    <row r="172" spans="1:45">
      <c r="A172"/>
      <c r="B172"/>
      <c r="C172"/>
      <c r="D172"/>
      <c r="E172" t="s">
        <v>380</v>
      </c>
      <c r="F172" s="5">
        <v>19104120</v>
      </c>
      <c r="G172" s="7">
        <v>23795555</v>
      </c>
      <c r="H172" s="5"/>
      <c r="I172" s="5"/>
      <c r="J172" s="5">
        <v>23795555</v>
      </c>
      <c r="M172" s="204">
        <v>20</v>
      </c>
      <c r="N172" s="131" t="s">
        <v>619</v>
      </c>
      <c r="O172" s="128">
        <v>175</v>
      </c>
      <c r="P172" s="130" t="s">
        <v>422</v>
      </c>
      <c r="Q172" s="128" t="s">
        <v>373</v>
      </c>
      <c r="R172" s="266">
        <v>4.1706812100632498E-2</v>
      </c>
      <c r="S172" s="266">
        <v>4.1706812100632498E-2</v>
      </c>
      <c r="T172" s="221"/>
      <c r="U172" s="219" t="s">
        <v>373</v>
      </c>
      <c r="V172" s="219"/>
      <c r="W172" s="219"/>
      <c r="X172" s="219"/>
      <c r="Y172" s="219"/>
      <c r="Z172" s="219"/>
      <c r="AA172" s="219"/>
      <c r="AB172" s="223">
        <f>+GETPIVOTDATA("PPEF 2011 ",$A$4,"No. Ramo",$M172,"IPP",$N172,"PP",$O172,"Programa Presupuestario (PP)",$P172,"Unidad Responsable (UR)",$Q172)</f>
        <v>1110130400</v>
      </c>
      <c r="AC172" s="223">
        <f>+GETPIVOTDATA("Reducción ",$A$4,"No. Ramo",$M172,"IPP",$N172,"PP",$O172,"Programa Presupuestario (PP)",$P172,"Unidad Responsable (UR)",$Q172)</f>
        <v>0</v>
      </c>
      <c r="AD172" s="223">
        <f>+GETPIVOTDATA("Ampliación ",$A$4,"No. Ramo",$M172,"IPP",$N172,"PP",$O172,"Programa Presupuestario (PP)",$P172,"Unidad Responsable (UR)",$Q172)</f>
        <v>0</v>
      </c>
      <c r="AE172" s="256"/>
      <c r="AF172" s="256">
        <f>+AB172*S172</f>
        <v>46299999.999999993</v>
      </c>
      <c r="AG172" s="256"/>
      <c r="AH172" s="223">
        <f>+AG172+AF172+AE172</f>
        <v>46299999.999999993</v>
      </c>
      <c r="AK172" s="221"/>
      <c r="AL172" s="219" t="s">
        <v>373</v>
      </c>
      <c r="AM172" s="219"/>
      <c r="AN172" s="219"/>
      <c r="AO172" s="219"/>
      <c r="AP172" s="219"/>
      <c r="AQ172" s="219"/>
      <c r="AR172" s="219"/>
      <c r="AS172" s="223">
        <f>+AH172</f>
        <v>46299999.999999993</v>
      </c>
    </row>
    <row r="173" spans="1:45">
      <c r="A173"/>
      <c r="B173"/>
      <c r="C173"/>
      <c r="D173"/>
      <c r="E173" t="s">
        <v>384</v>
      </c>
      <c r="F173" s="5">
        <v>41376300</v>
      </c>
      <c r="G173" s="7">
        <v>42483672</v>
      </c>
      <c r="H173" s="5"/>
      <c r="I173" s="5"/>
      <c r="J173" s="5">
        <v>42483672</v>
      </c>
      <c r="M173" s="207"/>
      <c r="N173" s="130"/>
      <c r="O173" s="128"/>
      <c r="P173" s="130"/>
      <c r="Q173" s="128"/>
      <c r="R173" s="266"/>
      <c r="S173" s="266"/>
      <c r="T173" s="217" t="s">
        <v>1345</v>
      </c>
      <c r="U173" s="219"/>
      <c r="V173" s="219"/>
      <c r="W173" s="219"/>
      <c r="X173" s="219"/>
      <c r="Y173" s="219"/>
      <c r="Z173" s="219"/>
      <c r="AA173" s="219"/>
      <c r="AB173" s="220">
        <f t="shared" ref="AB173:AH173" si="19">+SUM(AB174:AB179)</f>
        <v>90933403</v>
      </c>
      <c r="AC173" s="220">
        <f t="shared" si="19"/>
        <v>0</v>
      </c>
      <c r="AD173" s="220">
        <f t="shared" si="19"/>
        <v>0</v>
      </c>
      <c r="AE173" s="220">
        <f t="shared" si="19"/>
        <v>0</v>
      </c>
      <c r="AF173" s="220">
        <f t="shared" si="19"/>
        <v>7300000</v>
      </c>
      <c r="AG173" s="220">
        <f t="shared" si="19"/>
        <v>0</v>
      </c>
      <c r="AH173" s="220">
        <f t="shared" si="19"/>
        <v>7300000</v>
      </c>
      <c r="AK173" s="217" t="s">
        <v>1345</v>
      </c>
      <c r="AL173" s="219"/>
      <c r="AM173" s="219"/>
      <c r="AN173" s="219"/>
      <c r="AO173" s="219"/>
      <c r="AP173" s="219"/>
      <c r="AQ173" s="219"/>
      <c r="AR173" s="219"/>
      <c r="AS173" s="220">
        <f>+AH173</f>
        <v>7300000</v>
      </c>
    </row>
    <row r="174" spans="1:45">
      <c r="A174"/>
      <c r="B174"/>
      <c r="C174"/>
      <c r="D174"/>
      <c r="E174" t="s">
        <v>383</v>
      </c>
      <c r="F174" s="5">
        <v>173006400</v>
      </c>
      <c r="G174" s="7">
        <v>165795504</v>
      </c>
      <c r="H174" s="5"/>
      <c r="I174" s="5"/>
      <c r="J174" s="5">
        <v>165795504</v>
      </c>
      <c r="M174" s="207"/>
      <c r="N174" s="130"/>
      <c r="O174" s="128"/>
      <c r="P174" s="130"/>
      <c r="Q174" s="128"/>
      <c r="R174" s="266"/>
      <c r="S174" s="266"/>
      <c r="T174" s="221" t="s">
        <v>10</v>
      </c>
      <c r="U174" s="219"/>
      <c r="V174" s="219"/>
      <c r="W174" s="219"/>
      <c r="X174" s="219"/>
      <c r="Y174" s="219"/>
      <c r="Z174" s="219"/>
      <c r="AA174" s="219"/>
      <c r="AB174" s="223"/>
      <c r="AC174" s="223"/>
      <c r="AD174" s="223"/>
      <c r="AE174" s="256"/>
      <c r="AF174" s="256"/>
      <c r="AG174" s="256"/>
      <c r="AH174" s="223"/>
      <c r="AK174" s="221" t="s">
        <v>10</v>
      </c>
      <c r="AL174" s="219"/>
      <c r="AM174" s="219"/>
      <c r="AN174" s="219"/>
      <c r="AO174" s="219"/>
      <c r="AP174" s="219"/>
      <c r="AQ174" s="219"/>
      <c r="AR174" s="219"/>
      <c r="AS174" s="223"/>
    </row>
    <row r="175" spans="1:45">
      <c r="A175"/>
      <c r="B175"/>
      <c r="C175"/>
      <c r="D175"/>
      <c r="E175" t="s">
        <v>385</v>
      </c>
      <c r="F175" s="5">
        <v>110155920</v>
      </c>
      <c r="G175" s="7">
        <v>121454088</v>
      </c>
      <c r="H175" s="5"/>
      <c r="I175" s="5"/>
      <c r="J175" s="5">
        <v>121454088</v>
      </c>
      <c r="M175" s="206">
        <v>21</v>
      </c>
      <c r="N175" s="130" t="s">
        <v>609</v>
      </c>
      <c r="O175" s="128">
        <v>1</v>
      </c>
      <c r="P175" s="130" t="s">
        <v>10</v>
      </c>
      <c r="Q175" s="128" t="s">
        <v>104</v>
      </c>
      <c r="R175" s="266">
        <v>2.2846830751784983E-2</v>
      </c>
      <c r="S175" s="266">
        <f>1300000/AB175</f>
        <v>2.2846830751784983E-2</v>
      </c>
      <c r="T175" s="221"/>
      <c r="U175" s="219" t="s">
        <v>104</v>
      </c>
      <c r="V175" s="219"/>
      <c r="W175" s="219"/>
      <c r="X175" s="219"/>
      <c r="Y175" s="219"/>
      <c r="Z175" s="219"/>
      <c r="AA175" s="219"/>
      <c r="AB175" s="223">
        <f>+GETPIVOTDATA("PPEF 2011 ",$A$4,"No. Ramo",$M175,"IPP",$N175,"PP",$O175,"Programa Presupuestario (PP)",$P175,"Unidad Responsable (UR)",$Q175)</f>
        <v>56900671</v>
      </c>
      <c r="AC175" s="223">
        <f>+GETPIVOTDATA("Reducción ",$A$4,"No. Ramo",$M175,"IPP",$N175,"PP",$O175,"Programa Presupuestario (PP)",$P175,"Unidad Responsable (UR)",$Q175)</f>
        <v>0</v>
      </c>
      <c r="AD175" s="223">
        <f>+GETPIVOTDATA("Ampliación ",$A$4,"No. Ramo",$M175,"IPP",$N175,"PP",$O175,"Programa Presupuestario (PP)",$P175,"Unidad Responsable (UR)",$Q175)</f>
        <v>0</v>
      </c>
      <c r="AE175" s="256"/>
      <c r="AF175" s="256">
        <f>+AB175*S175</f>
        <v>1300000</v>
      </c>
      <c r="AG175" s="256"/>
      <c r="AH175" s="223">
        <f>+AG175+AF175+AE175</f>
        <v>1300000</v>
      </c>
      <c r="AK175" s="221"/>
      <c r="AL175" s="219" t="s">
        <v>104</v>
      </c>
      <c r="AM175" s="219"/>
      <c r="AN175" s="219"/>
      <c r="AO175" s="219"/>
      <c r="AP175" s="219"/>
      <c r="AQ175" s="219"/>
      <c r="AR175" s="219"/>
      <c r="AS175" s="223">
        <f>+AH175</f>
        <v>1300000</v>
      </c>
    </row>
    <row r="176" spans="1:45">
      <c r="A176"/>
      <c r="B176"/>
      <c r="C176"/>
      <c r="D176"/>
      <c r="E176" t="s">
        <v>386</v>
      </c>
      <c r="F176" s="5">
        <v>57368220</v>
      </c>
      <c r="G176" s="7">
        <v>56426937</v>
      </c>
      <c r="H176" s="5"/>
      <c r="I176" s="5"/>
      <c r="J176" s="5">
        <v>56426937</v>
      </c>
      <c r="M176" s="206"/>
      <c r="N176" s="132"/>
      <c r="O176" s="128"/>
      <c r="P176" s="130"/>
      <c r="Q176" s="128"/>
      <c r="R176" s="266"/>
      <c r="S176" s="266"/>
      <c r="T176" s="221" t="s">
        <v>431</v>
      </c>
      <c r="U176" s="219"/>
      <c r="V176" s="219"/>
      <c r="W176" s="219"/>
      <c r="X176" s="219"/>
      <c r="Y176" s="219"/>
      <c r="Z176" s="219"/>
      <c r="AA176" s="219"/>
      <c r="AB176" s="223"/>
      <c r="AC176" s="223"/>
      <c r="AD176" s="223"/>
      <c r="AE176" s="256"/>
      <c r="AF176" s="256"/>
      <c r="AG176" s="256"/>
      <c r="AH176" s="223"/>
      <c r="AK176" s="221" t="s">
        <v>431</v>
      </c>
      <c r="AL176" s="219"/>
      <c r="AM176" s="219"/>
      <c r="AN176" s="219"/>
      <c r="AO176" s="219"/>
      <c r="AP176" s="219"/>
      <c r="AQ176" s="219"/>
      <c r="AR176" s="219"/>
      <c r="AS176" s="223"/>
    </row>
    <row r="177" spans="1:45">
      <c r="A177"/>
      <c r="B177"/>
      <c r="C177"/>
      <c r="D177"/>
      <c r="E177" t="s">
        <v>387</v>
      </c>
      <c r="F177" s="5">
        <v>52827600</v>
      </c>
      <c r="G177" s="7">
        <v>52086090</v>
      </c>
      <c r="H177" s="5"/>
      <c r="I177" s="5"/>
      <c r="J177" s="5">
        <v>52086090</v>
      </c>
      <c r="M177" s="206">
        <v>21</v>
      </c>
      <c r="N177" s="131" t="s">
        <v>611</v>
      </c>
      <c r="O177" s="128">
        <v>1</v>
      </c>
      <c r="P177" s="130" t="s">
        <v>431</v>
      </c>
      <c r="Q177" s="128" t="s">
        <v>432</v>
      </c>
      <c r="R177" s="266">
        <v>0.26151214224121949</v>
      </c>
      <c r="S177" s="266">
        <f>4500000/AB177</f>
        <v>0.26151214224121949</v>
      </c>
      <c r="T177" s="221"/>
      <c r="U177" s="219" t="s">
        <v>432</v>
      </c>
      <c r="V177" s="219"/>
      <c r="W177" s="219"/>
      <c r="X177" s="219"/>
      <c r="Y177" s="219"/>
      <c r="Z177" s="219"/>
      <c r="AA177" s="219"/>
      <c r="AB177" s="223">
        <f>+GETPIVOTDATA("PPEF 2011 ",$A$4,"No. Ramo",$M177,"IPP",$N177,"PP",$O177,"Programa Presupuestario (PP)",$P177,"Unidad Responsable (UR)",$Q177)</f>
        <v>17207614</v>
      </c>
      <c r="AC177" s="223">
        <f>+GETPIVOTDATA("Reducción ",$A$4,"No. Ramo",$M177,"IPP",$N177,"PP",$O177,"Programa Presupuestario (PP)",$P177,"Unidad Responsable (UR)",$Q177)</f>
        <v>0</v>
      </c>
      <c r="AD177" s="223">
        <f>+GETPIVOTDATA("Ampliación ",$A$4,"No. Ramo",$M177,"IPP",$N177,"PP",$O177,"Programa Presupuestario (PP)",$P177,"Unidad Responsable (UR)",$Q177)</f>
        <v>0</v>
      </c>
      <c r="AE177" s="256"/>
      <c r="AF177" s="256">
        <f>+AB177*S177</f>
        <v>4500000</v>
      </c>
      <c r="AG177" s="256"/>
      <c r="AH177" s="223">
        <f>+AG177+AF177+AE177</f>
        <v>4500000</v>
      </c>
      <c r="AK177" s="221"/>
      <c r="AL177" s="219" t="s">
        <v>432</v>
      </c>
      <c r="AM177" s="219"/>
      <c r="AN177" s="219"/>
      <c r="AO177" s="219"/>
      <c r="AP177" s="219"/>
      <c r="AQ177" s="219"/>
      <c r="AR177" s="219"/>
      <c r="AS177" s="223">
        <f>+AH177</f>
        <v>4500000</v>
      </c>
    </row>
    <row r="178" spans="1:45">
      <c r="A178"/>
      <c r="B178"/>
      <c r="C178"/>
      <c r="D178"/>
      <c r="E178" t="s">
        <v>388</v>
      </c>
      <c r="F178" s="5">
        <v>115318980</v>
      </c>
      <c r="G178" s="7">
        <v>120877617</v>
      </c>
      <c r="H178" s="5"/>
      <c r="I178" s="5"/>
      <c r="J178" s="5">
        <v>120877617</v>
      </c>
      <c r="M178" s="210"/>
      <c r="N178" s="132"/>
      <c r="O178" s="128"/>
      <c r="P178" s="130"/>
      <c r="Q178" s="128"/>
      <c r="R178" s="266"/>
      <c r="S178" s="266"/>
      <c r="T178" s="221" t="s">
        <v>433</v>
      </c>
      <c r="U178" s="219"/>
      <c r="V178" s="219"/>
      <c r="W178" s="219"/>
      <c r="X178" s="219"/>
      <c r="Y178" s="219"/>
      <c r="Z178" s="219"/>
      <c r="AA178" s="219"/>
      <c r="AB178" s="223"/>
      <c r="AC178" s="223"/>
      <c r="AD178" s="223"/>
      <c r="AE178" s="256"/>
      <c r="AF178" s="256"/>
      <c r="AG178" s="256"/>
      <c r="AH178" s="223"/>
      <c r="AK178" s="221" t="s">
        <v>433</v>
      </c>
      <c r="AL178" s="219"/>
      <c r="AM178" s="219"/>
      <c r="AN178" s="219"/>
      <c r="AO178" s="219"/>
      <c r="AP178" s="219"/>
      <c r="AQ178" s="219"/>
      <c r="AR178" s="219"/>
      <c r="AS178" s="223"/>
    </row>
    <row r="179" spans="1:45">
      <c r="A179"/>
      <c r="B179"/>
      <c r="C179"/>
      <c r="D179"/>
      <c r="E179" t="s">
        <v>389</v>
      </c>
      <c r="F179" s="5">
        <v>298444020</v>
      </c>
      <c r="G179" s="7">
        <v>286414422</v>
      </c>
      <c r="H179" s="5"/>
      <c r="I179" s="5"/>
      <c r="J179" s="5">
        <v>286414422</v>
      </c>
      <c r="M179" s="206">
        <v>21</v>
      </c>
      <c r="N179" s="131" t="s">
        <v>611</v>
      </c>
      <c r="O179" s="128">
        <v>2</v>
      </c>
      <c r="P179" s="130" t="s">
        <v>433</v>
      </c>
      <c r="Q179" s="128" t="s">
        <v>434</v>
      </c>
      <c r="R179" s="266">
        <v>8.9152420803230034E-2</v>
      </c>
      <c r="S179" s="266">
        <v>8.9152420803230034E-2</v>
      </c>
      <c r="T179" s="221"/>
      <c r="U179" s="219" t="s">
        <v>434</v>
      </c>
      <c r="V179" s="219"/>
      <c r="W179" s="219"/>
      <c r="X179" s="219"/>
      <c r="Y179" s="219"/>
      <c r="Z179" s="219"/>
      <c r="AA179" s="219"/>
      <c r="AB179" s="223">
        <f>+GETPIVOTDATA("PPEF 2011 ",$A$4,"No. Ramo",$M179,"IPP",$N179,"PP",$O179,"Programa Presupuestario (PP)",$P179,"Unidad Responsable (UR)",$Q179)</f>
        <v>16825118</v>
      </c>
      <c r="AC179" s="223">
        <f>+GETPIVOTDATA("Reducción ",$A$4,"No. Ramo",$M179,"IPP",$N179,"PP",$O179,"Programa Presupuestario (PP)",$P179,"Unidad Responsable (UR)",$Q179)</f>
        <v>0</v>
      </c>
      <c r="AD179" s="223">
        <f>+GETPIVOTDATA("Ampliación ",$A$4,"No. Ramo",$M179,"IPP",$N179,"PP",$O179,"Programa Presupuestario (PP)",$P179,"Unidad Responsable (UR)",$Q179)</f>
        <v>0</v>
      </c>
      <c r="AE179" s="256"/>
      <c r="AF179" s="256">
        <f>+AB179*S179</f>
        <v>1500000</v>
      </c>
      <c r="AG179" s="256"/>
      <c r="AH179" s="223">
        <f>+AG179+AF179+AE179</f>
        <v>1500000</v>
      </c>
      <c r="AK179" s="221"/>
      <c r="AL179" s="219" t="s">
        <v>434</v>
      </c>
      <c r="AM179" s="219"/>
      <c r="AN179" s="219"/>
      <c r="AO179" s="219"/>
      <c r="AP179" s="219"/>
      <c r="AQ179" s="219"/>
      <c r="AR179" s="219"/>
      <c r="AS179" s="223">
        <f>+AH179</f>
        <v>1500000</v>
      </c>
    </row>
    <row r="180" spans="1:45">
      <c r="A180"/>
      <c r="B180"/>
      <c r="C180"/>
      <c r="D180"/>
      <c r="E180" t="s">
        <v>390</v>
      </c>
      <c r="F180" s="5">
        <v>79536660</v>
      </c>
      <c r="G180" s="7">
        <v>77164276</v>
      </c>
      <c r="H180" s="5"/>
      <c r="I180" s="5"/>
      <c r="J180" s="5">
        <v>77164276</v>
      </c>
      <c r="M180" s="210"/>
      <c r="N180" s="132"/>
      <c r="O180" s="128"/>
      <c r="P180" s="130"/>
      <c r="Q180" s="128"/>
      <c r="R180" s="266"/>
      <c r="S180" s="266"/>
      <c r="T180" s="217" t="s">
        <v>1346</v>
      </c>
      <c r="U180" s="219"/>
      <c r="V180" s="219"/>
      <c r="W180" s="219"/>
      <c r="X180" s="219"/>
      <c r="Y180" s="219"/>
      <c r="Z180" s="219"/>
      <c r="AA180" s="219"/>
      <c r="AB180" s="220">
        <f t="shared" ref="AB180:AH180" si="20">+SUM(AB181:AB184)</f>
        <v>366511264</v>
      </c>
      <c r="AC180" s="220">
        <f t="shared" si="20"/>
        <v>0</v>
      </c>
      <c r="AD180" s="220">
        <f t="shared" si="20"/>
        <v>0</v>
      </c>
      <c r="AE180" s="220">
        <f t="shared" si="20"/>
        <v>0</v>
      </c>
      <c r="AF180" s="220">
        <f t="shared" si="20"/>
        <v>8000000</v>
      </c>
      <c r="AG180" s="220">
        <f t="shared" si="20"/>
        <v>0</v>
      </c>
      <c r="AH180" s="220">
        <f t="shared" si="20"/>
        <v>8000000</v>
      </c>
      <c r="AK180" s="217" t="s">
        <v>1346</v>
      </c>
      <c r="AL180" s="219"/>
      <c r="AM180" s="219"/>
      <c r="AN180" s="219"/>
      <c r="AO180" s="219"/>
      <c r="AP180" s="219"/>
      <c r="AQ180" s="219"/>
      <c r="AR180" s="219"/>
      <c r="AS180" s="220">
        <f>+AH180</f>
        <v>8000000</v>
      </c>
    </row>
    <row r="181" spans="1:45">
      <c r="A181"/>
      <c r="B181"/>
      <c r="C181"/>
      <c r="D181"/>
      <c r="E181" t="s">
        <v>391</v>
      </c>
      <c r="F181" s="5">
        <v>49180740</v>
      </c>
      <c r="G181" s="7">
        <v>50872038</v>
      </c>
      <c r="H181" s="5"/>
      <c r="I181" s="5"/>
      <c r="J181" s="5">
        <v>50872038</v>
      </c>
      <c r="M181" s="210"/>
      <c r="N181" s="132"/>
      <c r="O181" s="128"/>
      <c r="P181" s="130"/>
      <c r="Q181" s="128"/>
      <c r="R181" s="266"/>
      <c r="S181" s="266"/>
      <c r="T181" s="221" t="s">
        <v>494</v>
      </c>
      <c r="U181" s="219"/>
      <c r="V181" s="219"/>
      <c r="W181" s="219"/>
      <c r="X181" s="219"/>
      <c r="Y181" s="219"/>
      <c r="Z181" s="219"/>
      <c r="AA181" s="219"/>
      <c r="AB181" s="223"/>
      <c r="AC181" s="223"/>
      <c r="AD181" s="223"/>
      <c r="AE181" s="256"/>
      <c r="AF181" s="256"/>
      <c r="AG181" s="256"/>
      <c r="AH181" s="223"/>
      <c r="AK181" s="221" t="s">
        <v>494</v>
      </c>
      <c r="AL181" s="219"/>
      <c r="AM181" s="219"/>
      <c r="AN181" s="219"/>
      <c r="AO181" s="219"/>
      <c r="AP181" s="219"/>
      <c r="AQ181" s="219"/>
      <c r="AR181" s="219"/>
      <c r="AS181" s="223"/>
    </row>
    <row r="182" spans="1:45">
      <c r="A182"/>
      <c r="B182"/>
      <c r="C182"/>
      <c r="D182"/>
      <c r="E182" t="s">
        <v>392</v>
      </c>
      <c r="F182" s="5">
        <v>49898940</v>
      </c>
      <c r="G182" s="7">
        <v>53401992</v>
      </c>
      <c r="H182" s="5"/>
      <c r="I182" s="5"/>
      <c r="J182" s="5">
        <v>53401992</v>
      </c>
      <c r="M182" s="204">
        <v>22</v>
      </c>
      <c r="N182" s="131" t="s">
        <v>612</v>
      </c>
      <c r="O182" s="128">
        <v>3</v>
      </c>
      <c r="P182" s="130" t="s">
        <v>494</v>
      </c>
      <c r="Q182" s="128" t="s">
        <v>495</v>
      </c>
      <c r="R182" s="266">
        <v>0</v>
      </c>
      <c r="S182" s="266">
        <v>2.2886230951532509E-2</v>
      </c>
      <c r="T182" s="221"/>
      <c r="U182" s="219" t="s">
        <v>495</v>
      </c>
      <c r="V182" s="219"/>
      <c r="W182" s="219"/>
      <c r="X182" s="219"/>
      <c r="Y182" s="219"/>
      <c r="Z182" s="219"/>
      <c r="AA182" s="219"/>
      <c r="AB182" s="223">
        <f>+GETPIVOTDATA("PPEF 2011 ",$A$4,"No. Ramo",$M182,"IPP",$N182,"PP",$O182,"Programa Presupuestario (PP)",$P182,"Unidad Responsable (UR)",$Q182)</f>
        <v>262166366</v>
      </c>
      <c r="AC182" s="223">
        <f>+GETPIVOTDATA("Reducción ",$A$4,"No. Ramo",$M182,"IPP",$N182,"PP",$O182,"Programa Presupuestario (PP)",$P182,"Unidad Responsable (UR)",$Q182)</f>
        <v>0</v>
      </c>
      <c r="AD182" s="223">
        <f>+GETPIVOTDATA("Ampliación ",$A$4,"No. Ramo",$M182,"IPP",$N182,"PP",$O182,"Programa Presupuestario (PP)",$P182,"Unidad Responsable (UR)",$Q182)</f>
        <v>0</v>
      </c>
      <c r="AE182" s="256"/>
      <c r="AF182" s="256">
        <f>+AB182*S182</f>
        <v>6000000</v>
      </c>
      <c r="AG182" s="256"/>
      <c r="AH182" s="223">
        <f>+AG182+AF182+AE182</f>
        <v>6000000</v>
      </c>
      <c r="AK182" s="221"/>
      <c r="AL182" s="219" t="s">
        <v>495</v>
      </c>
      <c r="AM182" s="219"/>
      <c r="AN182" s="219"/>
      <c r="AO182" s="219"/>
      <c r="AP182" s="219"/>
      <c r="AQ182" s="219"/>
      <c r="AR182" s="219"/>
      <c r="AS182" s="223">
        <f>+AH182</f>
        <v>6000000</v>
      </c>
    </row>
    <row r="183" spans="1:45">
      <c r="A183"/>
      <c r="B183"/>
      <c r="C183"/>
      <c r="D183"/>
      <c r="E183" t="s">
        <v>393</v>
      </c>
      <c r="F183" s="5">
        <v>38280060</v>
      </c>
      <c r="G183" s="7">
        <v>47290992</v>
      </c>
      <c r="H183" s="5"/>
      <c r="I183" s="5"/>
      <c r="J183" s="5">
        <v>47290992</v>
      </c>
      <c r="M183" s="207"/>
      <c r="N183" s="132"/>
      <c r="O183" s="128"/>
      <c r="P183" s="130"/>
      <c r="Q183" s="128"/>
      <c r="R183" s="266"/>
      <c r="S183" s="266"/>
      <c r="T183" s="221" t="s">
        <v>496</v>
      </c>
      <c r="U183" s="219"/>
      <c r="V183" s="219"/>
      <c r="W183" s="219"/>
      <c r="X183" s="219"/>
      <c r="Y183" s="219"/>
      <c r="Z183" s="219"/>
      <c r="AA183" s="219"/>
      <c r="AB183" s="223"/>
      <c r="AC183" s="223"/>
      <c r="AD183" s="223"/>
      <c r="AE183" s="256"/>
      <c r="AF183" s="256"/>
      <c r="AG183" s="256"/>
      <c r="AH183" s="223"/>
      <c r="AK183" s="221" t="s">
        <v>496</v>
      </c>
      <c r="AL183" s="219"/>
      <c r="AM183" s="219"/>
      <c r="AN183" s="219"/>
      <c r="AO183" s="219"/>
      <c r="AP183" s="219"/>
      <c r="AQ183" s="219"/>
      <c r="AR183" s="219"/>
      <c r="AS183" s="223"/>
    </row>
    <row r="184" spans="1:45">
      <c r="A184"/>
      <c r="B184"/>
      <c r="C184"/>
      <c r="D184"/>
      <c r="E184" t="s">
        <v>394</v>
      </c>
      <c r="F184" s="5">
        <v>70766640</v>
      </c>
      <c r="G184" s="7">
        <v>69334727</v>
      </c>
      <c r="H184" s="5"/>
      <c r="I184" s="5"/>
      <c r="J184" s="5">
        <v>69334727</v>
      </c>
      <c r="M184" s="204">
        <v>22</v>
      </c>
      <c r="N184" s="131" t="s">
        <v>612</v>
      </c>
      <c r="O184" s="128">
        <v>7</v>
      </c>
      <c r="P184" s="130" t="s">
        <v>496</v>
      </c>
      <c r="Q184" s="128" t="s">
        <v>497</v>
      </c>
      <c r="R184" s="266">
        <v>0</v>
      </c>
      <c r="S184" s="266">
        <v>1.916720451439801E-2</v>
      </c>
      <c r="T184" s="221"/>
      <c r="U184" s="219" t="s">
        <v>497</v>
      </c>
      <c r="V184" s="219"/>
      <c r="W184" s="219"/>
      <c r="X184" s="219"/>
      <c r="Y184" s="219"/>
      <c r="Z184" s="219"/>
      <c r="AA184" s="219"/>
      <c r="AB184" s="223">
        <f>+GETPIVOTDATA("PPEF 2011 ",$A$4,"No. Ramo",$M184,"IPP",$N184,"PP",$O184,"Programa Presupuestario (PP)",$P184,"Unidad Responsable (UR)",$Q184)</f>
        <v>104344898</v>
      </c>
      <c r="AC184" s="223">
        <f>+GETPIVOTDATA("Reducción ",$A$4,"No. Ramo",$M184,"IPP",$N184,"PP",$O184,"Programa Presupuestario (PP)",$P184,"Unidad Responsable (UR)",$Q184)</f>
        <v>0</v>
      </c>
      <c r="AD184" s="223">
        <f>+GETPIVOTDATA("Ampliación ",$A$4,"No. Ramo",$M184,"IPP",$N184,"PP",$O184,"Programa Presupuestario (PP)",$P184,"Unidad Responsable (UR)",$Q184)</f>
        <v>0</v>
      </c>
      <c r="AE184" s="256"/>
      <c r="AF184" s="256">
        <f>+AB184*S184</f>
        <v>2000000</v>
      </c>
      <c r="AG184" s="256"/>
      <c r="AH184" s="223">
        <f>+AG184+AF184+AE184</f>
        <v>2000000</v>
      </c>
      <c r="AK184" s="221"/>
      <c r="AL184" s="219" t="s">
        <v>497</v>
      </c>
      <c r="AM184" s="219"/>
      <c r="AN184" s="219"/>
      <c r="AO184" s="219"/>
      <c r="AP184" s="219"/>
      <c r="AQ184" s="219"/>
      <c r="AR184" s="219"/>
      <c r="AS184" s="223">
        <f>+AH184</f>
        <v>2000000</v>
      </c>
    </row>
    <row r="185" spans="1:45">
      <c r="A185"/>
      <c r="B185"/>
      <c r="C185"/>
      <c r="D185"/>
      <c r="E185" t="s">
        <v>395</v>
      </c>
      <c r="F185" s="5">
        <v>85681260</v>
      </c>
      <c r="G185" s="7">
        <v>91117047</v>
      </c>
      <c r="H185" s="5"/>
      <c r="I185" s="5"/>
      <c r="J185" s="5">
        <v>91117047</v>
      </c>
      <c r="M185" s="205"/>
      <c r="N185" s="130"/>
      <c r="O185" s="128"/>
      <c r="P185" s="130"/>
      <c r="Q185" s="128"/>
      <c r="R185" s="266"/>
      <c r="S185" s="266"/>
      <c r="T185" s="217" t="s">
        <v>1371</v>
      </c>
      <c r="AB185" s="220">
        <f t="shared" ref="AB185:AH185" si="21">+SUM(AB186:AB187)</f>
        <v>35330600</v>
      </c>
      <c r="AC185" s="220">
        <f t="shared" si="21"/>
        <v>0</v>
      </c>
      <c r="AD185" s="220">
        <f t="shared" si="21"/>
        <v>20000000</v>
      </c>
      <c r="AE185" s="220">
        <f t="shared" si="21"/>
        <v>20000000</v>
      </c>
      <c r="AF185" s="220">
        <f t="shared" si="21"/>
        <v>0</v>
      </c>
      <c r="AG185" s="220">
        <f t="shared" si="21"/>
        <v>0</v>
      </c>
      <c r="AH185" s="220">
        <f t="shared" si="21"/>
        <v>20000000</v>
      </c>
      <c r="AK185" s="217" t="s">
        <v>1371</v>
      </c>
      <c r="AS185" s="220">
        <f>+AH185</f>
        <v>20000000</v>
      </c>
    </row>
    <row r="186" spans="1:45">
      <c r="A186"/>
      <c r="B186"/>
      <c r="C186"/>
      <c r="D186"/>
      <c r="E186" t="s">
        <v>396</v>
      </c>
      <c r="F186" s="5">
        <v>33029220</v>
      </c>
      <c r="G186" s="7">
        <v>34705048</v>
      </c>
      <c r="H186" s="5"/>
      <c r="I186" s="5"/>
      <c r="J186" s="5">
        <v>34705048</v>
      </c>
      <c r="M186" s="205"/>
      <c r="N186" s="130"/>
      <c r="O186" s="128"/>
      <c r="P186" s="130"/>
      <c r="Q186" s="128"/>
      <c r="R186" s="266"/>
      <c r="S186" s="266"/>
      <c r="T186" s="221" t="s">
        <v>435</v>
      </c>
      <c r="U186" s="219"/>
      <c r="V186" s="219"/>
      <c r="W186" s="219"/>
      <c r="X186" s="219"/>
      <c r="Y186" s="219"/>
      <c r="Z186" s="219"/>
      <c r="AA186" s="219"/>
      <c r="AB186" s="223"/>
      <c r="AC186" s="223"/>
      <c r="AD186" s="223"/>
      <c r="AE186" s="256"/>
      <c r="AF186" s="256"/>
      <c r="AG186" s="256"/>
      <c r="AH186" s="223"/>
      <c r="AK186" s="221" t="s">
        <v>435</v>
      </c>
      <c r="AL186" s="219"/>
      <c r="AM186" s="219"/>
      <c r="AN186" s="219"/>
      <c r="AO186" s="219"/>
      <c r="AP186" s="219"/>
      <c r="AQ186" s="219"/>
      <c r="AR186" s="219"/>
      <c r="AS186" s="223"/>
    </row>
    <row r="187" spans="1:45">
      <c r="A187"/>
      <c r="B187"/>
      <c r="C187"/>
      <c r="D187"/>
      <c r="E187" t="s">
        <v>397</v>
      </c>
      <c r="F187" s="5">
        <v>23062200</v>
      </c>
      <c r="G187" s="7">
        <v>27613572</v>
      </c>
      <c r="H187" s="5"/>
      <c r="I187" s="5"/>
      <c r="J187" s="5">
        <v>27613572</v>
      </c>
      <c r="M187" s="205">
        <v>27</v>
      </c>
      <c r="N187" s="130" t="s">
        <v>610</v>
      </c>
      <c r="O187" s="128">
        <v>2</v>
      </c>
      <c r="P187" s="130" t="s">
        <v>435</v>
      </c>
      <c r="Q187" s="128" t="s">
        <v>436</v>
      </c>
      <c r="R187" s="266">
        <v>0</v>
      </c>
      <c r="S187" s="266">
        <v>0.56608152706152748</v>
      </c>
      <c r="T187" s="221"/>
      <c r="U187" s="219" t="s">
        <v>436</v>
      </c>
      <c r="V187" s="219"/>
      <c r="W187" s="219"/>
      <c r="X187" s="219"/>
      <c r="Y187" s="219"/>
      <c r="Z187" s="219"/>
      <c r="AA187" s="219"/>
      <c r="AB187" s="223">
        <f>+GETPIVOTDATA("PPEF 2011 ",$A$4,"No. Ramo",$M187,"IPP",$N187,"PP",$O187,"Programa Presupuestario (PP)",$P187,"Unidad Responsable (UR)",$Q187)</f>
        <v>35330600</v>
      </c>
      <c r="AC187" s="223">
        <f>+GETPIVOTDATA("Reducción ",$A$4,"No. Ramo",$M187,"IPP",$N187,"PP",$O187,"Programa Presupuestario (PP)",$P187,"Unidad Responsable (UR)",$Q187)</f>
        <v>0</v>
      </c>
      <c r="AD187" s="223">
        <f>+GETPIVOTDATA("Ampliación ",$A$4,"No. Ramo",$M187,"IPP",$N187,"PP",$O187,"Programa Presupuestario (PP)",$P187,"Unidad Responsable (UR)",$Q187)</f>
        <v>20000000</v>
      </c>
      <c r="AE187" s="256">
        <f>+AD187</f>
        <v>20000000</v>
      </c>
      <c r="AF187" s="256"/>
      <c r="AG187" s="256"/>
      <c r="AH187" s="223">
        <f>+AG187+AF187+AE187</f>
        <v>20000000</v>
      </c>
      <c r="AK187" s="221"/>
      <c r="AL187" s="219" t="s">
        <v>436</v>
      </c>
      <c r="AM187" s="219"/>
      <c r="AN187" s="219"/>
      <c r="AO187" s="219"/>
      <c r="AP187" s="219"/>
      <c r="AQ187" s="219"/>
      <c r="AR187" s="219"/>
      <c r="AS187" s="223">
        <f>+AH187</f>
        <v>20000000</v>
      </c>
    </row>
    <row r="188" spans="1:45">
      <c r="A188"/>
      <c r="B188"/>
      <c r="C188"/>
      <c r="D188"/>
      <c r="E188" t="s">
        <v>398</v>
      </c>
      <c r="F188" s="5">
        <v>43459080</v>
      </c>
      <c r="G188" s="7">
        <v>45722502</v>
      </c>
      <c r="H188" s="5"/>
      <c r="I188" s="5"/>
      <c r="J188" s="5">
        <v>45722502</v>
      </c>
      <c r="M188" s="205"/>
      <c r="N188" s="130"/>
      <c r="O188" s="128"/>
      <c r="P188" s="130"/>
      <c r="Q188" s="128"/>
      <c r="R188" s="266"/>
      <c r="S188" s="266"/>
      <c r="T188" s="217" t="s">
        <v>1333</v>
      </c>
      <c r="AB188" s="220">
        <f t="shared" ref="AB188:AH188" si="22">+SUM(AB189:AB190)</f>
        <v>15457873</v>
      </c>
      <c r="AC188" s="220">
        <f t="shared" si="22"/>
        <v>0</v>
      </c>
      <c r="AD188" s="220">
        <f t="shared" si="22"/>
        <v>0</v>
      </c>
      <c r="AE188" s="220">
        <f t="shared" si="22"/>
        <v>0</v>
      </c>
      <c r="AF188" s="220">
        <f t="shared" si="22"/>
        <v>15457873</v>
      </c>
      <c r="AG188" s="220">
        <f t="shared" si="22"/>
        <v>0</v>
      </c>
      <c r="AH188" s="220">
        <f t="shared" si="22"/>
        <v>15457873</v>
      </c>
      <c r="AK188" s="217" t="s">
        <v>1333</v>
      </c>
      <c r="AS188" s="220">
        <f>+AH188</f>
        <v>15457873</v>
      </c>
    </row>
    <row r="189" spans="1:45">
      <c r="A189"/>
      <c r="B189"/>
      <c r="C189"/>
      <c r="D189"/>
      <c r="E189" t="s">
        <v>399</v>
      </c>
      <c r="F189" s="5">
        <v>51247560</v>
      </c>
      <c r="G189" s="7">
        <v>56151942</v>
      </c>
      <c r="H189" s="5"/>
      <c r="I189" s="5"/>
      <c r="J189" s="5">
        <v>56151942</v>
      </c>
      <c r="M189" s="205"/>
      <c r="N189" s="130"/>
      <c r="O189" s="128"/>
      <c r="P189" s="130"/>
      <c r="Q189" s="128"/>
      <c r="R189" s="266"/>
      <c r="S189" s="266"/>
      <c r="T189" s="221" t="s">
        <v>499</v>
      </c>
      <c r="U189" s="219"/>
      <c r="V189" s="219"/>
      <c r="W189" s="219"/>
      <c r="X189" s="219"/>
      <c r="Y189" s="219"/>
      <c r="Z189" s="219"/>
      <c r="AA189" s="219"/>
      <c r="AB189" s="223"/>
      <c r="AC189" s="223"/>
      <c r="AD189" s="223"/>
      <c r="AE189" s="256"/>
      <c r="AF189" s="256"/>
      <c r="AG189" s="256"/>
      <c r="AH189" s="223"/>
      <c r="AK189" s="386" t="s">
        <v>499</v>
      </c>
      <c r="AL189" s="387"/>
      <c r="AM189" s="387"/>
      <c r="AN189" s="387"/>
      <c r="AO189" s="387"/>
      <c r="AP189" s="387"/>
      <c r="AQ189" s="387"/>
      <c r="AR189" s="388"/>
      <c r="AS189" s="223"/>
    </row>
    <row r="190" spans="1:45">
      <c r="A190"/>
      <c r="B190"/>
      <c r="C190"/>
      <c r="D190"/>
      <c r="E190" t="s">
        <v>400</v>
      </c>
      <c r="F190" s="5">
        <v>38798760</v>
      </c>
      <c r="G190" s="7">
        <v>43405075</v>
      </c>
      <c r="H190" s="5"/>
      <c r="I190" s="5"/>
      <c r="J190" s="5">
        <v>43405075</v>
      </c>
      <c r="M190" s="205">
        <v>35</v>
      </c>
      <c r="N190" s="130" t="s">
        <v>613</v>
      </c>
      <c r="O190" s="128">
        <v>13</v>
      </c>
      <c r="P190" s="130" t="s">
        <v>499</v>
      </c>
      <c r="Q190" s="128" t="s">
        <v>498</v>
      </c>
      <c r="R190" s="266">
        <v>1</v>
      </c>
      <c r="S190" s="266">
        <v>1</v>
      </c>
      <c r="T190" s="221"/>
      <c r="U190" s="219" t="s">
        <v>498</v>
      </c>
      <c r="V190" s="219"/>
      <c r="W190" s="219"/>
      <c r="X190" s="219"/>
      <c r="Y190" s="219"/>
      <c r="Z190" s="219"/>
      <c r="AA190" s="219"/>
      <c r="AB190" s="223">
        <f>+GETPIVOTDATA("PPEF 2011 ",$A$4,"No. Ramo",$M190,"IPP",$N190,"PP",$O190,"Programa Presupuestario (PP)",$P190,"Unidad Responsable (UR)",$Q190)</f>
        <v>15457873</v>
      </c>
      <c r="AC190" s="223">
        <f>+GETPIVOTDATA("Reducción ",$A$4,"No. Ramo",$M190,"IPP",$N190,"PP",$O190,"Programa Presupuestario (PP)",$P190,"Unidad Responsable (UR)",$Q190)</f>
        <v>0</v>
      </c>
      <c r="AD190" s="223">
        <f>+GETPIVOTDATA("Ampliación ",$A$4,"No. Ramo",$M190,"IPP",$N190,"PP",$O190,"Programa Presupuestario (PP)",$P190,"Unidad Responsable (UR)",$Q190)</f>
        <v>0</v>
      </c>
      <c r="AE190" s="256"/>
      <c r="AF190" s="256">
        <f>+AB190*S190</f>
        <v>15457873</v>
      </c>
      <c r="AG190" s="256">
        <f>+AD190</f>
        <v>0</v>
      </c>
      <c r="AH190" s="223">
        <f>+AG190+AF190+AE190</f>
        <v>15457873</v>
      </c>
      <c r="AK190" s="221"/>
      <c r="AL190" s="219" t="s">
        <v>498</v>
      </c>
      <c r="AM190" s="219"/>
      <c r="AN190" s="219"/>
      <c r="AO190" s="219"/>
      <c r="AP190" s="219"/>
      <c r="AQ190" s="219"/>
      <c r="AR190" s="219"/>
      <c r="AS190" s="223">
        <f>+AH190</f>
        <v>15457873</v>
      </c>
    </row>
    <row r="191" spans="1:45">
      <c r="A191"/>
      <c r="B191"/>
      <c r="C191"/>
      <c r="D191"/>
      <c r="E191" t="s">
        <v>401</v>
      </c>
      <c r="F191" s="5">
        <v>43969800</v>
      </c>
      <c r="G191" s="7">
        <v>42901936</v>
      </c>
      <c r="H191" s="5"/>
      <c r="I191" s="5"/>
      <c r="J191" s="5">
        <v>42901936</v>
      </c>
      <c r="M191" s="205"/>
      <c r="N191" s="130"/>
      <c r="O191" s="128"/>
      <c r="P191" s="130"/>
      <c r="Q191" s="128"/>
      <c r="R191" s="266"/>
      <c r="S191" s="266"/>
      <c r="T191" s="217" t="s">
        <v>1347</v>
      </c>
      <c r="AB191" s="220">
        <f t="shared" ref="AB191:AH191" si="23">+SUM(AB192:AB193)</f>
        <v>26500000</v>
      </c>
      <c r="AC191" s="220">
        <f t="shared" si="23"/>
        <v>0</v>
      </c>
      <c r="AD191" s="220">
        <f t="shared" si="23"/>
        <v>0</v>
      </c>
      <c r="AE191" s="220">
        <f t="shared" si="23"/>
        <v>0</v>
      </c>
      <c r="AF191" s="220">
        <f t="shared" si="23"/>
        <v>26500000</v>
      </c>
      <c r="AG191" s="220">
        <f t="shared" si="23"/>
        <v>0</v>
      </c>
      <c r="AH191" s="220">
        <f t="shared" si="23"/>
        <v>26500000</v>
      </c>
      <c r="AK191" s="217" t="s">
        <v>1347</v>
      </c>
      <c r="AS191" s="220">
        <f>+AH191</f>
        <v>26500000</v>
      </c>
    </row>
    <row r="192" spans="1:45">
      <c r="A192"/>
      <c r="B192"/>
      <c r="C192"/>
      <c r="D192"/>
      <c r="E192" t="s">
        <v>402</v>
      </c>
      <c r="F192" s="5">
        <v>68045460</v>
      </c>
      <c r="G192" s="7">
        <v>77908460</v>
      </c>
      <c r="H192" s="5"/>
      <c r="I192" s="5"/>
      <c r="J192" s="5">
        <v>77908460</v>
      </c>
      <c r="M192" s="205"/>
      <c r="N192" s="130"/>
      <c r="O192" s="128"/>
      <c r="P192" s="130"/>
      <c r="Q192" s="128"/>
      <c r="R192" s="266"/>
      <c r="S192" s="266"/>
      <c r="T192" s="221" t="s">
        <v>440</v>
      </c>
      <c r="U192" s="219"/>
      <c r="V192" s="219"/>
      <c r="W192" s="219"/>
      <c r="X192" s="219"/>
      <c r="Y192" s="219"/>
      <c r="Z192" s="219"/>
      <c r="AA192" s="219"/>
      <c r="AB192" s="223"/>
      <c r="AC192" s="223"/>
      <c r="AD192" s="223"/>
      <c r="AE192" s="256"/>
      <c r="AF192" s="256"/>
      <c r="AG192" s="256"/>
      <c r="AH192" s="223"/>
      <c r="AK192" s="386" t="s">
        <v>440</v>
      </c>
      <c r="AL192" s="387"/>
      <c r="AM192" s="387"/>
      <c r="AN192" s="387"/>
      <c r="AO192" s="387"/>
      <c r="AP192" s="387"/>
      <c r="AQ192" s="387"/>
      <c r="AR192" s="388"/>
      <c r="AS192" s="223"/>
    </row>
    <row r="193" spans="1:45">
      <c r="A193"/>
      <c r="B193"/>
      <c r="C193"/>
      <c r="D193"/>
      <c r="E193" t="s">
        <v>403</v>
      </c>
      <c r="F193" s="5">
        <v>38455620</v>
      </c>
      <c r="G193" s="7">
        <v>40875800</v>
      </c>
      <c r="H193" s="5"/>
      <c r="I193" s="5"/>
      <c r="J193" s="5">
        <v>40875800</v>
      </c>
      <c r="M193" s="205">
        <v>36</v>
      </c>
      <c r="N193" s="130" t="s">
        <v>613</v>
      </c>
      <c r="O193" s="128">
        <v>7</v>
      </c>
      <c r="P193" s="130" t="s">
        <v>440</v>
      </c>
      <c r="Q193" s="128" t="s">
        <v>439</v>
      </c>
      <c r="R193" s="266">
        <v>1</v>
      </c>
      <c r="S193" s="266">
        <v>1</v>
      </c>
      <c r="T193" s="221"/>
      <c r="U193" s="219" t="s">
        <v>439</v>
      </c>
      <c r="V193" s="219"/>
      <c r="W193" s="219"/>
      <c r="X193" s="219"/>
      <c r="Y193" s="219"/>
      <c r="Z193" s="219"/>
      <c r="AA193" s="219"/>
      <c r="AB193" s="223">
        <f>+GETPIVOTDATA("PPEF 2011 ",$A$4,"No. Ramo",$M193,"IPP",$N193,"PP",$O193,"Programa Presupuestario (PP)",$P193,"Unidad Responsable (UR)",$Q193)</f>
        <v>26500000</v>
      </c>
      <c r="AC193" s="223">
        <f>+GETPIVOTDATA("Reducción ",$A$4,"No. Ramo",$M193,"IPP",$N193,"PP",$O193,"Programa Presupuestario (PP)",$P193,"Unidad Responsable (UR)",$Q193)</f>
        <v>0</v>
      </c>
      <c r="AD193" s="223">
        <f>+GETPIVOTDATA("Ampliación ",$A$4,"No. Ramo",$M193,"IPP",$N193,"PP",$O193,"Programa Presupuestario (PP)",$P193,"Unidad Responsable (UR)",$Q193)</f>
        <v>0</v>
      </c>
      <c r="AE193" s="256"/>
      <c r="AF193" s="256">
        <f>+AB193*S193</f>
        <v>26500000</v>
      </c>
      <c r="AG193" s="256">
        <f>+AD193</f>
        <v>0</v>
      </c>
      <c r="AH193" s="223">
        <f>+AG193+AF193+AE193</f>
        <v>26500000</v>
      </c>
      <c r="AK193" s="221"/>
      <c r="AL193" s="219" t="s">
        <v>439</v>
      </c>
      <c r="AM193" s="219"/>
      <c r="AN193" s="219"/>
      <c r="AO193" s="219"/>
      <c r="AP193" s="219"/>
      <c r="AQ193" s="219"/>
      <c r="AR193" s="219"/>
      <c r="AS193" s="223">
        <f>+AH193</f>
        <v>26500000</v>
      </c>
    </row>
    <row r="194" spans="1:45">
      <c r="A194"/>
      <c r="B194"/>
      <c r="C194"/>
      <c r="D194"/>
      <c r="E194" t="s">
        <v>404</v>
      </c>
      <c r="F194" s="5">
        <v>134303400</v>
      </c>
      <c r="G194" s="7">
        <v>132034266</v>
      </c>
      <c r="H194" s="5"/>
      <c r="I194" s="5"/>
      <c r="J194" s="5">
        <v>132034266</v>
      </c>
      <c r="M194" s="205"/>
      <c r="N194" s="130"/>
      <c r="O194" s="128"/>
      <c r="P194" s="130"/>
      <c r="Q194" s="128"/>
      <c r="R194" s="266"/>
      <c r="S194" s="266"/>
      <c r="T194" s="217" t="s">
        <v>1353</v>
      </c>
      <c r="AB194" s="220">
        <f t="shared" ref="AB194:AH194" si="24">+SUM(AB195:AB196)</f>
        <v>812600000</v>
      </c>
      <c r="AC194" s="220">
        <f t="shared" si="24"/>
        <v>0</v>
      </c>
      <c r="AD194" s="220">
        <f t="shared" si="24"/>
        <v>515000000</v>
      </c>
      <c r="AE194" s="220">
        <f t="shared" si="24"/>
        <v>0</v>
      </c>
      <c r="AF194" s="220">
        <f t="shared" si="24"/>
        <v>20000000</v>
      </c>
      <c r="AG194" s="220">
        <f t="shared" si="24"/>
        <v>0</v>
      </c>
      <c r="AH194" s="220">
        <f t="shared" si="24"/>
        <v>20000000</v>
      </c>
      <c r="AK194" s="217" t="s">
        <v>1353</v>
      </c>
      <c r="AS194" s="220">
        <f>+AH194</f>
        <v>20000000</v>
      </c>
    </row>
    <row r="195" spans="1:45">
      <c r="A195"/>
      <c r="B195"/>
      <c r="C195"/>
      <c r="D195"/>
      <c r="E195" t="s">
        <v>405</v>
      </c>
      <c r="F195" s="5">
        <v>44057580</v>
      </c>
      <c r="G195" s="7">
        <v>45203067</v>
      </c>
      <c r="H195" s="5"/>
      <c r="I195" s="5"/>
      <c r="J195" s="5">
        <v>45203067</v>
      </c>
      <c r="M195" s="205"/>
      <c r="N195" s="130"/>
      <c r="O195" s="128"/>
      <c r="P195" s="130"/>
      <c r="Q195" s="128"/>
      <c r="R195" s="266"/>
      <c r="S195" s="266"/>
      <c r="T195" s="221" t="s">
        <v>466</v>
      </c>
      <c r="U195" s="219"/>
      <c r="V195" s="219"/>
      <c r="W195" s="219"/>
      <c r="X195" s="219"/>
      <c r="Y195" s="219"/>
      <c r="Z195" s="219"/>
      <c r="AA195" s="219"/>
      <c r="AB195" s="223"/>
      <c r="AC195" s="223"/>
      <c r="AD195" s="223"/>
      <c r="AE195" s="256"/>
      <c r="AF195" s="256"/>
      <c r="AG195" s="256"/>
      <c r="AH195" s="223"/>
      <c r="AK195" s="221" t="s">
        <v>466</v>
      </c>
      <c r="AL195" s="219"/>
      <c r="AM195" s="219"/>
      <c r="AN195" s="219"/>
      <c r="AO195" s="219"/>
      <c r="AP195" s="219"/>
      <c r="AQ195" s="219"/>
      <c r="AR195" s="219"/>
      <c r="AS195" s="223"/>
    </row>
    <row r="196" spans="1:45">
      <c r="A196"/>
      <c r="B196"/>
      <c r="C196"/>
      <c r="D196"/>
      <c r="E196" t="s">
        <v>406</v>
      </c>
      <c r="F196" s="5">
        <v>37498020</v>
      </c>
      <c r="G196" s="7">
        <v>36261316</v>
      </c>
      <c r="H196" s="5"/>
      <c r="I196" s="5"/>
      <c r="J196" s="5">
        <v>36261316</v>
      </c>
      <c r="M196" s="203">
        <v>38</v>
      </c>
      <c r="N196" s="130" t="s">
        <v>4</v>
      </c>
      <c r="O196" s="128">
        <v>2</v>
      </c>
      <c r="P196" s="130" t="s">
        <v>466</v>
      </c>
      <c r="Q196" s="128" t="s">
        <v>465</v>
      </c>
      <c r="R196" s="266">
        <v>2.4612355402412009E-2</v>
      </c>
      <c r="S196" s="266">
        <v>2.4612355402412009E-2</v>
      </c>
      <c r="T196" s="221"/>
      <c r="U196" s="219" t="s">
        <v>465</v>
      </c>
      <c r="V196" s="219"/>
      <c r="W196" s="219"/>
      <c r="X196" s="219"/>
      <c r="Y196" s="219"/>
      <c r="Z196" s="219"/>
      <c r="AA196" s="219"/>
      <c r="AB196" s="223">
        <f>+GETPIVOTDATA("PPEF 2011 ",$A$4,"No. Ramo",$M196,"IPP",$N196,"PP",$O196,"Programa Presupuestario (PP)",$P196,"Unidad Responsable (UR)",$Q196)</f>
        <v>812600000</v>
      </c>
      <c r="AC196" s="223">
        <f>+GETPIVOTDATA("Reducción ",$A$4,"No. Ramo",$M196,"IPP",$N196,"PP",$O196,"Programa Presupuestario (PP)",$P196,"Unidad Responsable (UR)",$Q196)</f>
        <v>0</v>
      </c>
      <c r="AD196" s="280">
        <f>+GETPIVOTDATA("Ampliación ",$A$4,"No. Ramo",$M196,"IPP",$N196,"PP",$O196,"Programa Presupuestario (PP)",$P196,"Unidad Responsable (UR)",$Q196)</f>
        <v>515000000</v>
      </c>
      <c r="AE196" s="256"/>
      <c r="AF196" s="256">
        <f>+AB196*S196</f>
        <v>20000000</v>
      </c>
      <c r="AG196" s="256"/>
      <c r="AH196" s="223">
        <f>+AG196+AF196+AE196</f>
        <v>20000000</v>
      </c>
      <c r="AK196" s="221"/>
      <c r="AL196" s="219" t="s">
        <v>465</v>
      </c>
      <c r="AM196" s="219"/>
      <c r="AN196" s="219"/>
      <c r="AO196" s="219"/>
      <c r="AP196" s="219"/>
      <c r="AQ196" s="219"/>
      <c r="AR196" s="219"/>
      <c r="AS196" s="223">
        <f>+AH196</f>
        <v>20000000</v>
      </c>
    </row>
    <row r="197" spans="1:45">
      <c r="A197"/>
      <c r="B197"/>
      <c r="C197"/>
      <c r="D197"/>
      <c r="E197" t="s">
        <v>407</v>
      </c>
      <c r="F197" s="5">
        <v>578050615</v>
      </c>
      <c r="G197" s="7">
        <v>764465587</v>
      </c>
      <c r="H197" s="5"/>
      <c r="I197" s="5"/>
      <c r="J197" s="5">
        <v>764465587</v>
      </c>
      <c r="M197" s="203"/>
      <c r="N197" s="130"/>
      <c r="O197" s="128"/>
      <c r="P197" s="130"/>
      <c r="Q197" s="128"/>
      <c r="R197" s="266"/>
      <c r="S197" s="266"/>
      <c r="T197" s="217" t="s">
        <v>1372</v>
      </c>
      <c r="AB197" s="220">
        <f t="shared" ref="AB197:AH197" si="25">+SUM(AB198:AB199)</f>
        <v>3794802222</v>
      </c>
      <c r="AC197" s="220">
        <f t="shared" si="25"/>
        <v>288500000</v>
      </c>
      <c r="AD197" s="220">
        <f t="shared" si="25"/>
        <v>15000000</v>
      </c>
      <c r="AE197" s="220">
        <f t="shared" si="25"/>
        <v>15000000</v>
      </c>
      <c r="AF197" s="220">
        <f t="shared" si="25"/>
        <v>163500000.00000003</v>
      </c>
      <c r="AG197" s="220">
        <f t="shared" si="25"/>
        <v>0</v>
      </c>
      <c r="AH197" s="220">
        <f t="shared" si="25"/>
        <v>178500000.00000003</v>
      </c>
      <c r="AK197" s="217" t="s">
        <v>1372</v>
      </c>
      <c r="AS197" s="220">
        <f>+AH197</f>
        <v>178500000.00000003</v>
      </c>
    </row>
    <row r="198" spans="1:45">
      <c r="A198"/>
      <c r="B198"/>
      <c r="C198"/>
      <c r="D198" t="s">
        <v>1434</v>
      </c>
      <c r="E198"/>
      <c r="F198" s="5">
        <v>2615584015</v>
      </c>
      <c r="G198" s="7">
        <v>2891057600</v>
      </c>
      <c r="H198" s="5"/>
      <c r="I198" s="5"/>
      <c r="J198" s="5">
        <v>2891057600</v>
      </c>
      <c r="M198" s="203"/>
      <c r="N198" s="130"/>
      <c r="O198" s="128"/>
      <c r="P198" s="130"/>
      <c r="Q198" s="128"/>
      <c r="R198" s="266"/>
      <c r="S198" s="266"/>
      <c r="T198" s="221" t="s">
        <v>504</v>
      </c>
      <c r="U198" s="219"/>
      <c r="V198" s="219"/>
      <c r="W198" s="219"/>
      <c r="X198" s="219"/>
      <c r="Y198" s="219"/>
      <c r="Z198" s="219"/>
      <c r="AA198" s="219"/>
      <c r="AB198" s="223"/>
      <c r="AC198" s="223"/>
      <c r="AD198" s="223"/>
      <c r="AE198" s="256"/>
      <c r="AF198" s="256"/>
      <c r="AG198" s="256"/>
      <c r="AH198" s="223"/>
      <c r="AK198" s="221" t="s">
        <v>504</v>
      </c>
      <c r="AL198" s="219"/>
      <c r="AM198" s="219"/>
      <c r="AN198" s="219"/>
      <c r="AO198" s="219"/>
      <c r="AP198" s="219"/>
      <c r="AQ198" s="219"/>
      <c r="AR198" s="219"/>
      <c r="AS198" s="223"/>
    </row>
    <row r="199" spans="1:45">
      <c r="A199"/>
      <c r="B199"/>
      <c r="C199">
        <v>175</v>
      </c>
      <c r="D199" t="s">
        <v>422</v>
      </c>
      <c r="E199" t="s">
        <v>373</v>
      </c>
      <c r="F199" s="5">
        <v>958879678</v>
      </c>
      <c r="G199" s="7">
        <v>1110130400</v>
      </c>
      <c r="H199" s="5"/>
      <c r="I199" s="5"/>
      <c r="J199" s="5">
        <v>1110130400</v>
      </c>
      <c r="M199" s="205">
        <v>40</v>
      </c>
      <c r="N199" s="130" t="s">
        <v>611</v>
      </c>
      <c r="O199" s="128">
        <v>2</v>
      </c>
      <c r="P199" s="130" t="s">
        <v>504</v>
      </c>
      <c r="Q199" s="128" t="s">
        <v>501</v>
      </c>
      <c r="R199" s="266">
        <v>4.3085249358220709E-2</v>
      </c>
      <c r="S199" s="266">
        <v>4.3085249358220709E-2</v>
      </c>
      <c r="T199" s="221"/>
      <c r="U199" s="219" t="s">
        <v>501</v>
      </c>
      <c r="V199" s="219"/>
      <c r="W199" s="219"/>
      <c r="X199" s="219"/>
      <c r="Y199" s="219"/>
      <c r="Z199" s="219"/>
      <c r="AA199" s="219"/>
      <c r="AB199" s="223">
        <f>+GETPIVOTDATA("PPEF 2011 ",$A$4,"No. Ramo",$M199,"IPP",$N199,"PP",$O199,"Programa Presupuestario (PP)",$P199,"Unidad Responsable (UR)",$Q199)</f>
        <v>3794802222</v>
      </c>
      <c r="AC199" s="223">
        <f>+GETPIVOTDATA("Reducción ",$A$4,"No. Ramo",$M199,"IPP",$N199,"PP",$O199,"Programa Presupuestario (PP)",$P199,"Unidad Responsable (UR)",$Q199)</f>
        <v>288500000</v>
      </c>
      <c r="AD199" s="223">
        <f>+GETPIVOTDATA("Ampliación ",$A$4,"No. Ramo",$M199,"IPP",$N199,"PP",$O199,"Programa Presupuestario (PP)",$P199,"Unidad Responsable (UR)",$Q199)</f>
        <v>15000000</v>
      </c>
      <c r="AE199" s="256">
        <f>+AD199</f>
        <v>15000000</v>
      </c>
      <c r="AF199" s="256">
        <f>+AB199*S199</f>
        <v>163500000.00000003</v>
      </c>
      <c r="AG199" s="256"/>
      <c r="AH199" s="223">
        <f>+AG199+AF199+AE199</f>
        <v>178500000.00000003</v>
      </c>
      <c r="AK199" s="221"/>
      <c r="AL199" s="219" t="s">
        <v>501</v>
      </c>
      <c r="AM199" s="219"/>
      <c r="AN199" s="219"/>
      <c r="AO199" s="219"/>
      <c r="AP199" s="219"/>
      <c r="AQ199" s="219"/>
      <c r="AR199" s="219"/>
      <c r="AS199" s="223">
        <f>+AH199</f>
        <v>178500000.00000003</v>
      </c>
    </row>
    <row r="200" spans="1:45">
      <c r="A200"/>
      <c r="B200"/>
      <c r="C200"/>
      <c r="D200" t="s">
        <v>1454</v>
      </c>
      <c r="E200"/>
      <c r="F200" s="5">
        <v>958879678</v>
      </c>
      <c r="G200" s="7">
        <v>1110130400</v>
      </c>
      <c r="H200" s="5"/>
      <c r="I200" s="5"/>
      <c r="J200" s="5">
        <v>1110130400</v>
      </c>
      <c r="M200" s="207"/>
      <c r="N200" s="132"/>
      <c r="O200" s="128"/>
      <c r="P200" s="130"/>
      <c r="Q200" s="128"/>
      <c r="R200" s="266"/>
      <c r="S200" s="266"/>
      <c r="T200" s="217" t="s">
        <v>1373</v>
      </c>
      <c r="AB200" s="220">
        <f t="shared" ref="AB200:AH200" si="26">+SUM(AB201:AB204)</f>
        <v>278506683</v>
      </c>
      <c r="AC200" s="220">
        <f t="shared" si="26"/>
        <v>0</v>
      </c>
      <c r="AD200" s="220">
        <f t="shared" si="26"/>
        <v>0</v>
      </c>
      <c r="AE200" s="220">
        <f t="shared" si="26"/>
        <v>0</v>
      </c>
      <c r="AF200" s="220">
        <f t="shared" si="26"/>
        <v>278506683</v>
      </c>
      <c r="AG200" s="220">
        <f t="shared" si="26"/>
        <v>0</v>
      </c>
      <c r="AH200" s="220">
        <f t="shared" si="26"/>
        <v>278506683</v>
      </c>
      <c r="AK200" s="217" t="s">
        <v>1373</v>
      </c>
      <c r="AS200" s="220">
        <f>+AH200</f>
        <v>278506683</v>
      </c>
    </row>
    <row r="201" spans="1:45">
      <c r="A201" s="9">
        <v>21</v>
      </c>
      <c r="B201" t="s">
        <v>609</v>
      </c>
      <c r="C201">
        <v>1</v>
      </c>
      <c r="D201" t="s">
        <v>10</v>
      </c>
      <c r="E201" t="s">
        <v>104</v>
      </c>
      <c r="F201" s="5">
        <v>51198188</v>
      </c>
      <c r="G201" s="7">
        <v>56900671</v>
      </c>
      <c r="H201" s="5"/>
      <c r="I201" s="5"/>
      <c r="J201" s="5">
        <v>56900671</v>
      </c>
      <c r="M201" s="207"/>
      <c r="N201" s="132"/>
      <c r="O201" s="128"/>
      <c r="P201" s="130"/>
      <c r="Q201" s="128"/>
      <c r="R201" s="266"/>
      <c r="S201" s="266"/>
      <c r="T201" s="221" t="s">
        <v>471</v>
      </c>
      <c r="U201" s="219"/>
      <c r="V201" s="219"/>
      <c r="W201" s="219"/>
      <c r="X201" s="219"/>
      <c r="Y201" s="219"/>
      <c r="Z201" s="219"/>
      <c r="AA201" s="219"/>
      <c r="AB201" s="223"/>
      <c r="AC201" s="223"/>
      <c r="AD201" s="223"/>
      <c r="AE201" s="256"/>
      <c r="AF201" s="256"/>
      <c r="AG201" s="256"/>
      <c r="AH201" s="223"/>
      <c r="AK201" s="221" t="s">
        <v>471</v>
      </c>
      <c r="AL201" s="219"/>
      <c r="AM201" s="219"/>
      <c r="AN201" s="219"/>
      <c r="AO201" s="219"/>
      <c r="AP201" s="219"/>
      <c r="AQ201" s="219"/>
      <c r="AR201" s="219"/>
      <c r="AS201" s="223"/>
    </row>
    <row r="202" spans="1:45">
      <c r="B202"/>
      <c r="C202"/>
      <c r="D202" t="s">
        <v>1400</v>
      </c>
      <c r="E202"/>
      <c r="F202" s="5">
        <v>51198188</v>
      </c>
      <c r="G202" s="7">
        <v>56900671</v>
      </c>
      <c r="H202" s="5"/>
      <c r="I202" s="5"/>
      <c r="J202" s="5">
        <v>56900671</v>
      </c>
      <c r="M202" s="204" t="s">
        <v>469</v>
      </c>
      <c r="N202" s="131" t="s">
        <v>613</v>
      </c>
      <c r="O202" s="128">
        <v>5</v>
      </c>
      <c r="P202" s="130" t="s">
        <v>471</v>
      </c>
      <c r="Q202" s="128" t="s">
        <v>470</v>
      </c>
      <c r="R202" s="266">
        <v>1</v>
      </c>
      <c r="S202" s="266">
        <v>1</v>
      </c>
      <c r="T202" s="221"/>
      <c r="U202" s="219" t="s">
        <v>470</v>
      </c>
      <c r="V202" s="219"/>
      <c r="W202" s="219"/>
      <c r="X202" s="219"/>
      <c r="Y202" s="219"/>
      <c r="Z202" s="219"/>
      <c r="AA202" s="219"/>
      <c r="AB202" s="223">
        <f>+GETPIVOTDATA("PPEF 2011 ",$A$4,"No. Ramo",$M202,"IPP",$N202,"PP",$O202,"Programa Presupuestario (PP)",$P202,"Unidad Responsable (UR)",$Q202)</f>
        <v>227581251</v>
      </c>
      <c r="AC202" s="223">
        <f>+GETPIVOTDATA("Reducción ",$A$4,"No. Ramo",$M202,"IPP",$N202,"PP",$O202,"Programa Presupuestario (PP)",$P202,"Unidad Responsable (UR)",$Q202)</f>
        <v>0</v>
      </c>
      <c r="AD202" s="223">
        <f>+GETPIVOTDATA("Ampliación ",$A$4,"No. Ramo",$M202,"IPP",$N202,"PP",$O202,"Programa Presupuestario (PP)",$P202,"Unidad Responsable (UR)",$Q202)</f>
        <v>0</v>
      </c>
      <c r="AE202" s="256"/>
      <c r="AF202" s="256">
        <f>+AB202*S202</f>
        <v>227581251</v>
      </c>
      <c r="AG202" s="256">
        <f>+AD202</f>
        <v>0</v>
      </c>
      <c r="AH202" s="223">
        <f>+AG202+AF202+AE202</f>
        <v>227581251</v>
      </c>
      <c r="AK202" s="221"/>
      <c r="AL202" s="219" t="s">
        <v>470</v>
      </c>
      <c r="AM202" s="219"/>
      <c r="AN202" s="219"/>
      <c r="AO202" s="219"/>
      <c r="AP202" s="219"/>
      <c r="AQ202" s="219"/>
      <c r="AR202" s="219"/>
      <c r="AS202" s="223">
        <f>+AH202</f>
        <v>227581251</v>
      </c>
    </row>
    <row r="203" spans="1:45">
      <c r="B203" t="s">
        <v>611</v>
      </c>
      <c r="C203">
        <v>1</v>
      </c>
      <c r="D203" t="s">
        <v>431</v>
      </c>
      <c r="E203" t="s">
        <v>432</v>
      </c>
      <c r="F203" s="5">
        <v>20891358</v>
      </c>
      <c r="G203" s="7">
        <v>17207614</v>
      </c>
      <c r="H203" s="5"/>
      <c r="I203" s="5"/>
      <c r="J203" s="5">
        <v>17207614</v>
      </c>
      <c r="M203" s="207"/>
      <c r="N203" s="132"/>
      <c r="O203" s="128"/>
      <c r="P203" s="130"/>
      <c r="Q203" s="128"/>
      <c r="R203" s="266"/>
      <c r="S203" s="266"/>
      <c r="T203" s="221" t="s">
        <v>473</v>
      </c>
      <c r="U203" s="219"/>
      <c r="V203" s="219"/>
      <c r="W203" s="219"/>
      <c r="X203" s="219"/>
      <c r="Y203" s="219"/>
      <c r="Z203" s="219"/>
      <c r="AA203" s="219"/>
      <c r="AB203" s="223"/>
      <c r="AC203" s="223"/>
      <c r="AD203" s="223"/>
      <c r="AE203" s="256"/>
      <c r="AF203" s="256"/>
      <c r="AG203" s="256"/>
      <c r="AH203" s="223"/>
      <c r="AK203" s="221" t="s">
        <v>473</v>
      </c>
      <c r="AL203" s="219"/>
      <c r="AM203" s="219"/>
      <c r="AN203" s="219"/>
      <c r="AO203" s="219"/>
      <c r="AP203" s="219"/>
      <c r="AQ203" s="219"/>
      <c r="AR203" s="219"/>
      <c r="AS203" s="223"/>
    </row>
    <row r="204" spans="1:45">
      <c r="B204"/>
      <c r="C204"/>
      <c r="D204" t="s">
        <v>1455</v>
      </c>
      <c r="E204"/>
      <c r="F204" s="5">
        <v>20891358</v>
      </c>
      <c r="G204" s="7">
        <v>17207614</v>
      </c>
      <c r="H204" s="5"/>
      <c r="I204" s="5"/>
      <c r="J204" s="5">
        <v>17207614</v>
      </c>
      <c r="M204" s="204" t="s">
        <v>469</v>
      </c>
      <c r="N204" s="131" t="s">
        <v>613</v>
      </c>
      <c r="O204" s="128">
        <v>36</v>
      </c>
      <c r="P204" s="130" t="s">
        <v>473</v>
      </c>
      <c r="Q204" s="128" t="s">
        <v>470</v>
      </c>
      <c r="R204" s="266">
        <v>1</v>
      </c>
      <c r="S204" s="266">
        <v>1</v>
      </c>
      <c r="T204" s="221"/>
      <c r="U204" s="219" t="s">
        <v>470</v>
      </c>
      <c r="V204" s="219"/>
      <c r="W204" s="219"/>
      <c r="X204" s="219"/>
      <c r="Y204" s="219"/>
      <c r="Z204" s="219"/>
      <c r="AA204" s="219"/>
      <c r="AB204" s="223">
        <f>+GETPIVOTDATA("PPEF 2011 ",$A$4,"No. Ramo",$M204,"IPP",$N204,"PP",$O204,"Programa Presupuestario (PP)",$P204,"Unidad Responsable (UR)",$Q204)</f>
        <v>50925432</v>
      </c>
      <c r="AC204" s="223">
        <f>+GETPIVOTDATA("Reducción ",$A$4,"No. Ramo",$M204,"IPP",$N204,"PP",$O204,"Programa Presupuestario (PP)",$P204,"Unidad Responsable (UR)",$Q204)</f>
        <v>0</v>
      </c>
      <c r="AD204" s="223">
        <f>+GETPIVOTDATA("Ampliación ",$A$4,"No. Ramo",$M204,"IPP",$N204,"PP",$O204,"Programa Presupuestario (PP)",$P204,"Unidad Responsable (UR)",$Q204)</f>
        <v>0</v>
      </c>
      <c r="AE204" s="256"/>
      <c r="AF204" s="256">
        <f>+AB204*S204</f>
        <v>50925432</v>
      </c>
      <c r="AG204" s="256">
        <f>+AD204</f>
        <v>0</v>
      </c>
      <c r="AH204" s="223">
        <f>+AG204+AF204+AE204</f>
        <v>50925432</v>
      </c>
      <c r="AK204" s="221"/>
      <c r="AL204" s="219" t="s">
        <v>470</v>
      </c>
      <c r="AM204" s="219"/>
      <c r="AN204" s="219"/>
      <c r="AO204" s="219"/>
      <c r="AP204" s="219"/>
      <c r="AQ204" s="219"/>
      <c r="AR204" s="219"/>
      <c r="AS204" s="223">
        <f>+AH204</f>
        <v>50925432</v>
      </c>
    </row>
    <row r="205" spans="1:45">
      <c r="B205"/>
      <c r="C205">
        <v>2</v>
      </c>
      <c r="D205" t="s">
        <v>433</v>
      </c>
      <c r="E205" t="s">
        <v>434</v>
      </c>
      <c r="F205" s="5">
        <v>11630609</v>
      </c>
      <c r="G205" s="7">
        <v>16825118</v>
      </c>
      <c r="H205" s="5"/>
      <c r="I205" s="5"/>
      <c r="J205" s="5">
        <v>16825118</v>
      </c>
      <c r="M205" s="207"/>
      <c r="N205" s="132"/>
      <c r="O205" s="128"/>
      <c r="P205" s="130"/>
      <c r="Q205" s="128"/>
      <c r="R205" s="266"/>
      <c r="S205" s="266"/>
      <c r="T205" s="217" t="s">
        <v>1374</v>
      </c>
      <c r="AB205" s="220">
        <f t="shared" ref="AB205:AH205" si="27">+SUM(AB206:AB209)</f>
        <v>8553332370</v>
      </c>
      <c r="AC205" s="220">
        <f t="shared" si="27"/>
        <v>0</v>
      </c>
      <c r="AD205" s="220">
        <f t="shared" si="27"/>
        <v>0</v>
      </c>
      <c r="AE205" s="220">
        <f t="shared" si="27"/>
        <v>0</v>
      </c>
      <c r="AF205" s="220">
        <f t="shared" si="27"/>
        <v>8553332370</v>
      </c>
      <c r="AG205" s="220">
        <f t="shared" si="27"/>
        <v>0</v>
      </c>
      <c r="AH205" s="220">
        <f t="shared" si="27"/>
        <v>8553332370</v>
      </c>
      <c r="AK205" s="217" t="s">
        <v>1374</v>
      </c>
      <c r="AS205" s="220">
        <f>+AH205</f>
        <v>8553332370</v>
      </c>
    </row>
    <row r="206" spans="1:45">
      <c r="B206"/>
      <c r="C206"/>
      <c r="D206" t="s">
        <v>1456</v>
      </c>
      <c r="E206"/>
      <c r="F206" s="5">
        <v>11630609</v>
      </c>
      <c r="G206" s="7">
        <v>16825118</v>
      </c>
      <c r="H206" s="5"/>
      <c r="I206" s="5"/>
      <c r="J206" s="5">
        <v>16825118</v>
      </c>
      <c r="M206" s="207"/>
      <c r="N206" s="132"/>
      <c r="O206" s="128"/>
      <c r="P206" s="130"/>
      <c r="Q206" s="128"/>
      <c r="R206" s="266"/>
      <c r="S206" s="266"/>
      <c r="T206" s="221" t="s">
        <v>472</v>
      </c>
      <c r="U206" s="219"/>
      <c r="V206" s="219"/>
      <c r="W206" s="219"/>
      <c r="X206" s="219"/>
      <c r="Y206" s="219"/>
      <c r="Z206" s="219"/>
      <c r="AA206" s="219"/>
      <c r="AB206" s="223"/>
      <c r="AC206" s="223"/>
      <c r="AD206" s="223"/>
      <c r="AE206" s="256"/>
      <c r="AF206" s="256"/>
      <c r="AG206" s="256"/>
      <c r="AH206" s="223"/>
      <c r="AK206" s="221" t="s">
        <v>472</v>
      </c>
      <c r="AL206" s="219"/>
      <c r="AM206" s="219"/>
      <c r="AN206" s="219"/>
      <c r="AO206" s="219"/>
      <c r="AP206" s="219"/>
      <c r="AQ206" s="219"/>
      <c r="AR206" s="219"/>
      <c r="AS206" s="223"/>
    </row>
    <row r="207" spans="1:45">
      <c r="A207">
        <v>22</v>
      </c>
      <c r="B207" t="s">
        <v>612</v>
      </c>
      <c r="C207">
        <v>3</v>
      </c>
      <c r="D207" t="s">
        <v>494</v>
      </c>
      <c r="E207" t="s">
        <v>495</v>
      </c>
      <c r="F207" s="5">
        <v>133315572</v>
      </c>
      <c r="G207" s="7">
        <v>262166366</v>
      </c>
      <c r="H207" s="5"/>
      <c r="I207" s="5"/>
      <c r="J207" s="5">
        <v>262166366</v>
      </c>
      <c r="M207" s="204" t="s">
        <v>474</v>
      </c>
      <c r="N207" s="131" t="s">
        <v>613</v>
      </c>
      <c r="O207" s="128">
        <v>7</v>
      </c>
      <c r="P207" s="130" t="s">
        <v>472</v>
      </c>
      <c r="Q207" s="128" t="s">
        <v>475</v>
      </c>
      <c r="R207" s="266">
        <v>1</v>
      </c>
      <c r="S207" s="266">
        <v>1</v>
      </c>
      <c r="T207" s="221"/>
      <c r="U207" s="219" t="s">
        <v>475</v>
      </c>
      <c r="V207" s="219"/>
      <c r="W207" s="219"/>
      <c r="X207" s="219"/>
      <c r="Y207" s="219"/>
      <c r="Z207" s="219"/>
      <c r="AA207" s="219"/>
      <c r="AB207" s="223">
        <f>+GETPIVOTDATA("PPEF 2011 ",$A$4,"No. Ramo",$M207,"IPP",$N207,"PP",$O207,"Programa Presupuestario (PP)",$P207,"Unidad Responsable (UR)",$Q207)</f>
        <v>7954943517</v>
      </c>
      <c r="AC207" s="223">
        <f>+GETPIVOTDATA("Reducción ",$A$4,"No. Ramo",$M207,"IPP",$N207,"PP",$O207,"Programa Presupuestario (PP)",$P207,"Unidad Responsable (UR)",$Q207)</f>
        <v>0</v>
      </c>
      <c r="AD207" s="223">
        <f>+GETPIVOTDATA("Ampliación ",$A$4,"No. Ramo",$M207,"IPP",$N207,"PP",$O207,"Programa Presupuestario (PP)",$P207,"Unidad Responsable (UR)",$Q207)</f>
        <v>0</v>
      </c>
      <c r="AE207" s="256"/>
      <c r="AF207" s="256">
        <f>+AB207*S207</f>
        <v>7954943517</v>
      </c>
      <c r="AG207" s="256">
        <f>+AD207</f>
        <v>0</v>
      </c>
      <c r="AH207" s="223">
        <f>+AG207+AF207+AE207</f>
        <v>7954943517</v>
      </c>
      <c r="AK207" s="221"/>
      <c r="AL207" s="219" t="s">
        <v>475</v>
      </c>
      <c r="AM207" s="219"/>
      <c r="AN207" s="219"/>
      <c r="AO207" s="219"/>
      <c r="AP207" s="219"/>
      <c r="AQ207" s="219"/>
      <c r="AR207" s="219"/>
      <c r="AS207" s="223">
        <f>+AH207</f>
        <v>7954943517</v>
      </c>
    </row>
    <row r="208" spans="1:45">
      <c r="A208"/>
      <c r="B208"/>
      <c r="C208"/>
      <c r="D208" t="s">
        <v>1457</v>
      </c>
      <c r="E208"/>
      <c r="F208" s="5">
        <v>133315572</v>
      </c>
      <c r="G208" s="7">
        <v>262166366</v>
      </c>
      <c r="H208" s="5"/>
      <c r="I208" s="5"/>
      <c r="J208" s="5">
        <v>262166366</v>
      </c>
      <c r="M208" s="207"/>
      <c r="N208" s="132"/>
      <c r="O208" s="208"/>
      <c r="P208" s="132"/>
      <c r="Q208" s="208"/>
      <c r="R208" s="266"/>
      <c r="S208" s="266"/>
      <c r="T208" s="221" t="s">
        <v>790</v>
      </c>
      <c r="U208" s="219"/>
      <c r="V208" s="219"/>
      <c r="W208" s="219"/>
      <c r="X208" s="219"/>
      <c r="Y208" s="219"/>
      <c r="Z208" s="219"/>
      <c r="AA208" s="219"/>
      <c r="AB208" s="223"/>
      <c r="AC208" s="223"/>
      <c r="AD208" s="223"/>
      <c r="AE208" s="256"/>
      <c r="AF208" s="256"/>
      <c r="AG208" s="256"/>
      <c r="AH208" s="223"/>
      <c r="AK208" s="221" t="s">
        <v>790</v>
      </c>
      <c r="AL208" s="219"/>
      <c r="AM208" s="219"/>
      <c r="AN208" s="219"/>
      <c r="AO208" s="219"/>
      <c r="AP208" s="219"/>
      <c r="AQ208" s="219"/>
      <c r="AR208" s="219"/>
      <c r="AS208" s="223"/>
    </row>
    <row r="209" spans="1:45" ht="15.75" thickBot="1">
      <c r="A209"/>
      <c r="B209"/>
      <c r="C209">
        <v>7</v>
      </c>
      <c r="D209" t="s">
        <v>496</v>
      </c>
      <c r="E209" t="s">
        <v>497</v>
      </c>
      <c r="F209" s="5">
        <v>120177733</v>
      </c>
      <c r="G209" s="7">
        <v>104344898</v>
      </c>
      <c r="H209" s="5"/>
      <c r="I209" s="5"/>
      <c r="J209" s="5">
        <v>104344898</v>
      </c>
      <c r="M209" s="204" t="s">
        <v>474</v>
      </c>
      <c r="N209" s="131" t="s">
        <v>613</v>
      </c>
      <c r="O209" s="208">
        <v>8</v>
      </c>
      <c r="P209" s="132" t="s">
        <v>790</v>
      </c>
      <c r="Q209" s="208" t="s">
        <v>475</v>
      </c>
      <c r="R209" s="266">
        <v>1</v>
      </c>
      <c r="S209" s="266">
        <v>1</v>
      </c>
      <c r="T209" s="221"/>
      <c r="U209" s="219" t="s">
        <v>475</v>
      </c>
      <c r="V209" s="219"/>
      <c r="W209" s="219"/>
      <c r="X209" s="219"/>
      <c r="Y209" s="219"/>
      <c r="Z209" s="219"/>
      <c r="AA209" s="219"/>
      <c r="AB209" s="223">
        <f>+GETPIVOTDATA("PPEF 2011 ",$A$4,"No. Ramo",$M209,"IPP",$N209,"PP",$O209,"Programa Presupuestario (PP)",$P209,"Unidad Responsable (UR)",$Q209)</f>
        <v>598388853</v>
      </c>
      <c r="AC209" s="223">
        <f>+GETPIVOTDATA("Reducción ",$A$4,"No. Ramo",$M209,"IPP",$N209,"PP",$O209,"Programa Presupuestario (PP)",$P209,"Unidad Responsable (UR)",$Q209)</f>
        <v>0</v>
      </c>
      <c r="AD209" s="223">
        <f>+GETPIVOTDATA("Ampliación ",$A$4,"No. Ramo",$M209,"IPP",$N209,"PP",$O209,"Programa Presupuestario (PP)",$P209,"Unidad Responsable (UR)",$Q209)</f>
        <v>0</v>
      </c>
      <c r="AE209" s="256"/>
      <c r="AF209" s="256">
        <f>+AB209*S209</f>
        <v>598388853</v>
      </c>
      <c r="AG209" s="256">
        <f>+AD209</f>
        <v>0</v>
      </c>
      <c r="AH209" s="223">
        <f>+AG209+AF209+AE209</f>
        <v>598388853</v>
      </c>
      <c r="AK209" s="221"/>
      <c r="AL209" s="219" t="s">
        <v>475</v>
      </c>
      <c r="AM209" s="219"/>
      <c r="AN209" s="219"/>
      <c r="AO209" s="219"/>
      <c r="AP209" s="219"/>
      <c r="AQ209" s="219"/>
      <c r="AR209" s="219"/>
      <c r="AS209" s="223">
        <f>+AH209</f>
        <v>598388853</v>
      </c>
    </row>
    <row r="210" spans="1:45" ht="15.75" thickTop="1">
      <c r="A210"/>
      <c r="B210"/>
      <c r="C210"/>
      <c r="D210" t="s">
        <v>1458</v>
      </c>
      <c r="E210"/>
      <c r="F210" s="5">
        <v>120177733</v>
      </c>
      <c r="G210" s="7">
        <v>104344898</v>
      </c>
      <c r="H210" s="5"/>
      <c r="I210" s="5"/>
      <c r="J210" s="5">
        <v>104344898</v>
      </c>
      <c r="M210" s="209" t="s">
        <v>635</v>
      </c>
      <c r="N210" s="209"/>
      <c r="O210" s="209"/>
      <c r="P210" s="209"/>
      <c r="Q210" s="209"/>
      <c r="R210" s="262"/>
      <c r="S210" s="262"/>
    </row>
    <row r="211" spans="1:45">
      <c r="A211">
        <v>27</v>
      </c>
      <c r="B211" t="s">
        <v>610</v>
      </c>
      <c r="C211">
        <v>2</v>
      </c>
      <c r="D211" t="s">
        <v>435</v>
      </c>
      <c r="E211" t="s">
        <v>436</v>
      </c>
      <c r="F211" s="5">
        <v>38683500</v>
      </c>
      <c r="G211" s="7">
        <v>35330600</v>
      </c>
      <c r="H211" s="5"/>
      <c r="I211" s="5">
        <v>20000000</v>
      </c>
      <c r="J211" s="5">
        <v>55330600</v>
      </c>
      <c r="N211" s="8"/>
      <c r="O211" s="8"/>
      <c r="P211" s="8"/>
      <c r="Q211" s="8"/>
      <c r="R211" s="262"/>
      <c r="S211" s="262"/>
      <c r="AK211" s="252" t="s">
        <v>1468</v>
      </c>
      <c r="AL211" s="252"/>
      <c r="AM211" s="252"/>
      <c r="AN211" s="252"/>
      <c r="AO211" s="252"/>
      <c r="AP211" s="252"/>
    </row>
    <row r="212" spans="1:45">
      <c r="A212"/>
      <c r="B212"/>
      <c r="C212"/>
      <c r="D212" t="s">
        <v>1459</v>
      </c>
      <c r="E212"/>
      <c r="F212" s="5">
        <v>38683500</v>
      </c>
      <c r="G212" s="7">
        <v>35330600</v>
      </c>
      <c r="H212" s="5"/>
      <c r="I212" s="5">
        <v>20000000</v>
      </c>
      <c r="J212" s="5">
        <v>55330600</v>
      </c>
      <c r="N212" s="8"/>
      <c r="O212" s="8"/>
      <c r="P212" s="8"/>
      <c r="Q212" s="8"/>
      <c r="R212" s="262"/>
      <c r="S212" s="262"/>
    </row>
    <row r="213" spans="1:45">
      <c r="A213">
        <v>35</v>
      </c>
      <c r="B213" t="s">
        <v>613</v>
      </c>
      <c r="C213">
        <v>13</v>
      </c>
      <c r="D213" t="s">
        <v>499</v>
      </c>
      <c r="E213" t="s">
        <v>498</v>
      </c>
      <c r="F213" s="5">
        <v>13008886</v>
      </c>
      <c r="G213" s="7">
        <v>15457873</v>
      </c>
      <c r="H213" s="5"/>
      <c r="I213" s="5"/>
      <c r="J213" s="5">
        <v>15457873</v>
      </c>
      <c r="N213" s="8"/>
      <c r="O213" s="8"/>
      <c r="P213" s="8"/>
      <c r="Q213" s="8"/>
      <c r="R213" s="262"/>
      <c r="S213" s="262"/>
    </row>
    <row r="214" spans="1:45">
      <c r="A214"/>
      <c r="B214"/>
      <c r="C214"/>
      <c r="D214" t="s">
        <v>1460</v>
      </c>
      <c r="E214"/>
      <c r="F214" s="5">
        <v>13008886</v>
      </c>
      <c r="G214" s="7">
        <v>15457873</v>
      </c>
      <c r="H214" s="5"/>
      <c r="I214" s="5"/>
      <c r="J214" s="5">
        <v>15457873</v>
      </c>
      <c r="N214" s="8"/>
      <c r="O214" s="8"/>
      <c r="P214" s="8"/>
      <c r="Q214" s="8"/>
      <c r="R214" s="262"/>
      <c r="S214" s="262"/>
    </row>
    <row r="215" spans="1:45">
      <c r="A215">
        <v>36</v>
      </c>
      <c r="B215" t="s">
        <v>613</v>
      </c>
      <c r="C215">
        <v>7</v>
      </c>
      <c r="D215" t="s">
        <v>440</v>
      </c>
      <c r="E215" t="s">
        <v>439</v>
      </c>
      <c r="F215" s="5">
        <v>25282772</v>
      </c>
      <c r="G215" s="7">
        <v>26500000</v>
      </c>
      <c r="H215" s="5"/>
      <c r="I215" s="5"/>
      <c r="J215" s="5">
        <v>26500000</v>
      </c>
      <c r="N215" s="8"/>
      <c r="O215" s="8"/>
      <c r="P215" s="8"/>
      <c r="Q215" s="8"/>
      <c r="R215" s="262"/>
      <c r="S215" s="262"/>
    </row>
    <row r="216" spans="1:45">
      <c r="A216"/>
      <c r="B216"/>
      <c r="C216"/>
      <c r="D216" t="s">
        <v>1461</v>
      </c>
      <c r="E216"/>
      <c r="F216" s="5">
        <v>25282772</v>
      </c>
      <c r="G216" s="7">
        <v>26500000</v>
      </c>
      <c r="H216" s="5"/>
      <c r="I216" s="5"/>
      <c r="J216" s="5">
        <v>26500000</v>
      </c>
    </row>
    <row r="217" spans="1:45">
      <c r="A217" s="9">
        <v>38</v>
      </c>
      <c r="B217" t="s">
        <v>4</v>
      </c>
      <c r="C217">
        <v>2</v>
      </c>
      <c r="D217" t="s">
        <v>466</v>
      </c>
      <c r="E217" t="s">
        <v>465</v>
      </c>
      <c r="F217" s="5">
        <v>847160740</v>
      </c>
      <c r="G217" s="7">
        <v>812600000</v>
      </c>
      <c r="H217" s="5"/>
      <c r="I217" s="5">
        <v>515000000</v>
      </c>
      <c r="J217" s="5">
        <v>1327600000</v>
      </c>
    </row>
    <row r="218" spans="1:45">
      <c r="B218"/>
      <c r="C218"/>
      <c r="D218" t="s">
        <v>1462</v>
      </c>
      <c r="E218"/>
      <c r="F218" s="5">
        <v>847160740</v>
      </c>
      <c r="G218" s="7">
        <v>812600000</v>
      </c>
      <c r="H218" s="5"/>
      <c r="I218" s="5">
        <v>515000000</v>
      </c>
      <c r="J218" s="5">
        <v>1327600000</v>
      </c>
    </row>
    <row r="219" spans="1:45">
      <c r="A219">
        <v>40</v>
      </c>
      <c r="B219" t="s">
        <v>611</v>
      </c>
      <c r="C219">
        <v>2</v>
      </c>
      <c r="D219" t="s">
        <v>504</v>
      </c>
      <c r="E219" t="s">
        <v>501</v>
      </c>
      <c r="F219" s="5">
        <v>3407554096</v>
      </c>
      <c r="G219" s="7">
        <v>3794802222</v>
      </c>
      <c r="H219" s="5">
        <v>288500000</v>
      </c>
      <c r="I219" s="5">
        <v>15000000</v>
      </c>
      <c r="J219" s="5">
        <v>3521302222</v>
      </c>
    </row>
    <row r="220" spans="1:45">
      <c r="A220"/>
      <c r="B220"/>
      <c r="C220"/>
      <c r="D220" t="s">
        <v>1463</v>
      </c>
      <c r="E220"/>
      <c r="F220" s="5">
        <v>3407554096</v>
      </c>
      <c r="G220" s="7">
        <v>3794802222</v>
      </c>
      <c r="H220" s="5">
        <v>288500000</v>
      </c>
      <c r="I220" s="5">
        <v>15000000</v>
      </c>
      <c r="J220" s="5">
        <v>3521302222</v>
      </c>
    </row>
    <row r="221" spans="1:45">
      <c r="A221" t="s">
        <v>469</v>
      </c>
      <c r="B221" t="s">
        <v>613</v>
      </c>
      <c r="C221">
        <v>5</v>
      </c>
      <c r="D221" t="s">
        <v>471</v>
      </c>
      <c r="E221" t="s">
        <v>470</v>
      </c>
      <c r="F221" s="5">
        <v>196998429</v>
      </c>
      <c r="G221" s="7">
        <v>227581251</v>
      </c>
      <c r="H221" s="5"/>
      <c r="I221" s="5"/>
      <c r="J221" s="5">
        <v>227581251</v>
      </c>
    </row>
    <row r="222" spans="1:45">
      <c r="A222"/>
      <c r="B222"/>
      <c r="C222"/>
      <c r="D222" t="s">
        <v>1464</v>
      </c>
      <c r="E222"/>
      <c r="F222" s="5">
        <v>196998429</v>
      </c>
      <c r="G222" s="7">
        <v>227581251</v>
      </c>
      <c r="H222" s="5"/>
      <c r="I222" s="5"/>
      <c r="J222" s="5">
        <v>227581251</v>
      </c>
    </row>
    <row r="223" spans="1:45">
      <c r="A223"/>
      <c r="B223"/>
      <c r="C223">
        <v>36</v>
      </c>
      <c r="D223" t="s">
        <v>473</v>
      </c>
      <c r="E223" t="s">
        <v>470</v>
      </c>
      <c r="F223" s="5">
        <v>8126602</v>
      </c>
      <c r="G223" s="7">
        <v>50925432</v>
      </c>
      <c r="H223" s="5"/>
      <c r="I223" s="5"/>
      <c r="J223" s="5">
        <v>50925432</v>
      </c>
    </row>
    <row r="224" spans="1:45">
      <c r="A224"/>
      <c r="B224"/>
      <c r="C224"/>
      <c r="D224" t="s">
        <v>1465</v>
      </c>
      <c r="E224"/>
      <c r="F224" s="5">
        <v>8126602</v>
      </c>
      <c r="G224" s="7">
        <v>50925432</v>
      </c>
      <c r="H224" s="5"/>
      <c r="I224" s="5"/>
      <c r="J224" s="5">
        <v>50925432</v>
      </c>
    </row>
    <row r="225" spans="1:10">
      <c r="A225" t="s">
        <v>474</v>
      </c>
      <c r="B225" t="s">
        <v>613</v>
      </c>
      <c r="C225">
        <v>7</v>
      </c>
      <c r="D225" t="s">
        <v>472</v>
      </c>
      <c r="E225" t="s">
        <v>475</v>
      </c>
      <c r="F225" s="5">
        <v>8270475083</v>
      </c>
      <c r="G225" s="7">
        <v>7954943517</v>
      </c>
      <c r="H225" s="5"/>
      <c r="I225" s="5"/>
      <c r="J225" s="5">
        <v>7954943517</v>
      </c>
    </row>
    <row r="226" spans="1:10">
      <c r="A226"/>
      <c r="B226"/>
      <c r="C226"/>
      <c r="D226" t="s">
        <v>1466</v>
      </c>
      <c r="E226"/>
      <c r="F226" s="5">
        <v>8270475083</v>
      </c>
      <c r="G226" s="7">
        <v>7954943517</v>
      </c>
      <c r="H226" s="5"/>
      <c r="I226" s="5"/>
      <c r="J226" s="5">
        <v>7954943517</v>
      </c>
    </row>
    <row r="227" spans="1:10">
      <c r="A227"/>
      <c r="B227"/>
      <c r="C227">
        <v>8</v>
      </c>
      <c r="D227" t="s">
        <v>790</v>
      </c>
      <c r="E227" t="s">
        <v>475</v>
      </c>
      <c r="F227" s="5">
        <v>538886360</v>
      </c>
      <c r="G227" s="7">
        <v>598388853</v>
      </c>
      <c r="H227" s="5"/>
      <c r="I227" s="5"/>
      <c r="J227" s="5">
        <v>598388853</v>
      </c>
    </row>
    <row r="228" spans="1:10">
      <c r="A228"/>
      <c r="B228"/>
      <c r="C228"/>
      <c r="D228" t="s">
        <v>1467</v>
      </c>
      <c r="E228"/>
      <c r="F228" s="5">
        <v>538886360</v>
      </c>
      <c r="G228" s="7">
        <v>598388853</v>
      </c>
      <c r="H228" s="5"/>
      <c r="I228" s="5"/>
      <c r="J228" s="5">
        <v>598388853</v>
      </c>
    </row>
    <row r="229" spans="1:10">
      <c r="A229" s="9" t="s">
        <v>635</v>
      </c>
      <c r="B229" s="9"/>
      <c r="C229" s="9"/>
      <c r="D229" s="9"/>
      <c r="E229" s="9"/>
      <c r="F229" s="5">
        <v>94041130574</v>
      </c>
      <c r="G229" s="7">
        <v>104237047783</v>
      </c>
      <c r="H229" s="5">
        <v>5997553585</v>
      </c>
      <c r="I229" s="5">
        <v>5680047488</v>
      </c>
      <c r="J229" s="5">
        <v>103619541686</v>
      </c>
    </row>
  </sheetData>
  <mergeCells count="9">
    <mergeCell ref="AK79:AR79"/>
    <mergeCell ref="AK167:AR167"/>
    <mergeCell ref="AK189:AR189"/>
    <mergeCell ref="AK192:AR192"/>
    <mergeCell ref="AB3:AD3"/>
    <mergeCell ref="AK9:AR9"/>
    <mergeCell ref="AF3:AF4"/>
    <mergeCell ref="AE3:AE4"/>
    <mergeCell ref="AG3:AG4"/>
  </mergeCells>
  <pageMargins left="0.70866141732283472" right="0.70866141732283472" top="0.74803149606299213" bottom="0.74803149606299213" header="0.31496062992125984" footer="0.31496062992125984"/>
  <pageSetup scale="68" fitToHeight="999" orientation="portrait" r:id="rId2"/>
  <headerFooter>
    <oddFooter>&amp;L&amp;A&amp;R&amp;P/&amp;N</oddFooter>
  </headerFooter>
  <rowBreaks count="2" manualBreakCount="2">
    <brk id="50" min="36" max="44" man="1"/>
    <brk id="199" min="36" max="44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9">
    <tabColor rgb="FF00B050"/>
    <pageSetUpPr fitToPage="1"/>
  </sheetPr>
  <dimension ref="A1:BW385"/>
  <sheetViews>
    <sheetView topLeftCell="B25" zoomScale="85" zoomScaleNormal="85" workbookViewId="0">
      <selection activeCell="J33" sqref="J33"/>
    </sheetView>
  </sheetViews>
  <sheetFormatPr baseColWidth="10" defaultRowHeight="15"/>
  <cols>
    <col min="2" max="2" width="21.5703125" customWidth="1"/>
    <col min="3" max="3" width="36.42578125" customWidth="1"/>
    <col min="4" max="4" width="28.5703125" style="96" customWidth="1"/>
    <col min="5" max="5" width="28.5703125" customWidth="1"/>
    <col min="6" max="6" width="35.85546875" style="42" bestFit="1" customWidth="1"/>
    <col min="7" max="7" width="9.85546875" style="42" customWidth="1"/>
    <col min="8" max="8" width="8.5703125" style="42" customWidth="1"/>
    <col min="9" max="9" width="12.5703125" style="89" bestFit="1" customWidth="1"/>
    <col min="10" max="10" width="13.85546875" style="42" customWidth="1"/>
    <col min="11" max="11" width="17.85546875" style="1" customWidth="1"/>
    <col min="12" max="12" width="25.28515625" style="1" customWidth="1"/>
    <col min="13" max="13" width="18.5703125" style="1" customWidth="1"/>
    <col min="14" max="15" width="17.85546875" style="1" customWidth="1"/>
    <col min="16" max="16" width="12.5703125" style="1" customWidth="1"/>
    <col min="17" max="17" width="16.7109375" style="1" bestFit="1" customWidth="1"/>
    <col min="18" max="18" width="17.85546875" style="1" customWidth="1"/>
    <col min="19" max="19" width="13" style="1" customWidth="1"/>
    <col min="20" max="20" width="11.42578125" style="1" customWidth="1"/>
    <col min="21" max="21" width="17.85546875" style="1" customWidth="1"/>
    <col min="22" max="22" width="12.5703125" style="1" customWidth="1"/>
    <col min="23" max="23" width="13.140625" style="1" customWidth="1"/>
    <col min="24" max="24" width="17.85546875" style="1" customWidth="1"/>
    <col min="25" max="25" width="16.85546875" bestFit="1" customWidth="1"/>
    <col min="26" max="26" width="18.140625" bestFit="1" customWidth="1"/>
    <col min="27" max="27" width="14.42578125" bestFit="1" customWidth="1"/>
    <col min="34" max="34" width="18.7109375" style="136" customWidth="1"/>
    <col min="35" max="35" width="11.7109375" style="179" customWidth="1"/>
    <col min="36" max="37" width="11.7109375" style="135" customWidth="1"/>
    <col min="38" max="39" width="13.7109375" style="135" customWidth="1"/>
    <col min="40" max="40" width="12.7109375" style="135" customWidth="1"/>
    <col min="41" max="41" width="14.7109375" style="135" customWidth="1"/>
    <col min="42" max="47" width="11.42578125" style="135"/>
    <col min="48" max="49" width="11.42578125" style="195"/>
    <col min="50" max="50" width="18.7109375" style="193" customWidth="1"/>
    <col min="51" max="51" width="11.7109375" style="194" customWidth="1"/>
    <col min="52" max="53" width="11.7109375" style="182" customWidth="1"/>
    <col min="54" max="55" width="13.7109375" style="182" customWidth="1"/>
    <col min="56" max="56" width="12.7109375" style="182" customWidth="1"/>
    <col min="57" max="57" width="14.7109375" style="182" customWidth="1"/>
    <col min="58" max="58" width="11.42578125" style="182"/>
    <col min="59" max="60" width="11.42578125" style="195"/>
  </cols>
  <sheetData>
    <row r="1" spans="2:58" ht="15" customHeight="1">
      <c r="AH1" s="394" t="s">
        <v>645</v>
      </c>
      <c r="AI1" s="394"/>
      <c r="AJ1" s="394"/>
      <c r="AK1" s="394"/>
      <c r="AX1" s="242" t="s">
        <v>1522</v>
      </c>
      <c r="AY1" s="241"/>
      <c r="AZ1" s="241"/>
      <c r="BA1" s="241"/>
    </row>
    <row r="2" spans="2:58">
      <c r="B2" s="405" t="s">
        <v>645</v>
      </c>
      <c r="C2" s="405"/>
      <c r="D2" s="405"/>
      <c r="E2" s="405"/>
      <c r="F2" s="47"/>
      <c r="G2" s="47"/>
      <c r="H2" s="47"/>
      <c r="I2" s="48"/>
      <c r="J2" s="47"/>
      <c r="K2" s="47"/>
      <c r="L2" s="47"/>
      <c r="M2" s="47"/>
      <c r="N2" s="405" t="s">
        <v>795</v>
      </c>
      <c r="O2" s="405"/>
      <c r="P2" s="49"/>
      <c r="Q2" s="49"/>
      <c r="R2" s="49"/>
      <c r="S2" s="405" t="s">
        <v>9</v>
      </c>
      <c r="T2" s="405"/>
      <c r="U2" s="405"/>
      <c r="V2" s="405"/>
      <c r="W2" s="405"/>
      <c r="X2" s="405"/>
      <c r="AH2" s="181"/>
      <c r="AI2" s="144"/>
      <c r="AJ2" s="144"/>
      <c r="AK2" s="144"/>
      <c r="AS2" s="136" t="s">
        <v>1523</v>
      </c>
      <c r="AT2" s="136" t="s">
        <v>1524</v>
      </c>
      <c r="AX2" s="183"/>
      <c r="AY2" s="184"/>
      <c r="AZ2" s="184"/>
      <c r="BA2" s="184"/>
    </row>
    <row r="3" spans="2:58">
      <c r="B3" s="44" t="s">
        <v>646</v>
      </c>
      <c r="C3" s="406" t="s">
        <v>647</v>
      </c>
      <c r="D3" s="406"/>
      <c r="E3" s="406"/>
      <c r="F3" s="44" t="s">
        <v>0</v>
      </c>
      <c r="G3" s="44" t="s">
        <v>2</v>
      </c>
      <c r="H3" s="44" t="s">
        <v>648</v>
      </c>
      <c r="I3" s="50" t="s">
        <v>649</v>
      </c>
      <c r="J3" s="44" t="s">
        <v>796</v>
      </c>
      <c r="K3" s="51" t="s">
        <v>792</v>
      </c>
      <c r="L3" s="51" t="s">
        <v>793</v>
      </c>
      <c r="M3" s="51" t="s">
        <v>794</v>
      </c>
      <c r="N3" s="52" t="s">
        <v>6</v>
      </c>
      <c r="O3" s="53" t="s">
        <v>7</v>
      </c>
      <c r="P3" s="53" t="s">
        <v>637</v>
      </c>
      <c r="Q3" s="53" t="s">
        <v>638</v>
      </c>
      <c r="R3" s="54" t="s">
        <v>639</v>
      </c>
      <c r="S3" s="55" t="s">
        <v>5</v>
      </c>
      <c r="T3" s="56" t="s">
        <v>6</v>
      </c>
      <c r="U3" s="56" t="s">
        <v>7</v>
      </c>
      <c r="V3" s="56" t="s">
        <v>637</v>
      </c>
      <c r="W3" s="56" t="s">
        <v>638</v>
      </c>
      <c r="X3" s="56" t="s">
        <v>639</v>
      </c>
      <c r="AE3" t="s">
        <v>0</v>
      </c>
      <c r="AF3" t="s">
        <v>2</v>
      </c>
      <c r="AH3" s="137" t="s">
        <v>646</v>
      </c>
      <c r="AI3" s="401" t="s">
        <v>647</v>
      </c>
      <c r="AJ3" s="401"/>
      <c r="AK3" s="401"/>
      <c r="AL3" s="401"/>
      <c r="AM3" s="401"/>
      <c r="AN3" s="401"/>
      <c r="AO3" s="401"/>
      <c r="AP3" s="138" t="s">
        <v>7</v>
      </c>
      <c r="AQ3" s="138" t="s">
        <v>637</v>
      </c>
      <c r="AR3" s="138" t="s">
        <v>638</v>
      </c>
      <c r="AS3" s="243"/>
      <c r="AT3" s="243"/>
      <c r="AU3" s="138" t="s">
        <v>639</v>
      </c>
      <c r="AX3" s="185" t="s">
        <v>646</v>
      </c>
      <c r="AY3" s="395" t="s">
        <v>647</v>
      </c>
      <c r="AZ3" s="395"/>
      <c r="BA3" s="395"/>
      <c r="BB3" s="395"/>
      <c r="BC3" s="395"/>
      <c r="BD3" s="395"/>
      <c r="BE3" s="395"/>
      <c r="BF3" s="186" t="s">
        <v>639</v>
      </c>
    </row>
    <row r="4" spans="2:58">
      <c r="B4" s="23"/>
      <c r="C4" s="24" t="s">
        <v>650</v>
      </c>
      <c r="D4" s="25"/>
      <c r="E4" s="25"/>
      <c r="F4" s="57"/>
      <c r="G4" s="57"/>
      <c r="H4" s="57"/>
      <c r="I4" s="58"/>
      <c r="J4" s="57"/>
      <c r="K4" s="59" t="e">
        <f t="shared" ref="K4:Q4" si="0">+K5+K22+K152+K155+K189+K223+K238+K274+K288+K297+K335+K349+K358+K364</f>
        <v>#REF!</v>
      </c>
      <c r="L4" s="59" t="e">
        <f t="shared" si="0"/>
        <v>#REF!</v>
      </c>
      <c r="M4" s="59" t="e">
        <f t="shared" si="0"/>
        <v>#REF!</v>
      </c>
      <c r="N4" s="59" t="e">
        <f t="shared" si="0"/>
        <v>#REF!</v>
      </c>
      <c r="O4" s="59" t="e">
        <f t="shared" si="0"/>
        <v>#REF!</v>
      </c>
      <c r="P4" s="59" t="e">
        <f t="shared" si="0"/>
        <v>#REF!</v>
      </c>
      <c r="Q4" s="59" t="e">
        <f t="shared" si="0"/>
        <v>#REF!</v>
      </c>
      <c r="R4" s="59" t="e">
        <f>O4+Q4-P4</f>
        <v>#REF!</v>
      </c>
      <c r="S4" s="59"/>
      <c r="T4" s="59"/>
      <c r="U4" s="59" t="e">
        <f>+U5+U22+U152+U155+U189+U223+U238+U274+U288+U297+U335+U349+U358+U364</f>
        <v>#REF!</v>
      </c>
      <c r="V4" s="59" t="e">
        <f>+V5+V22+V152+V155+V189+V223+V238+V274+V288+V297+V335+V349+V358+V364</f>
        <v>#REF!</v>
      </c>
      <c r="W4" s="59" t="e">
        <f>+W5+W22+W152+W155+W189+W223+W238+W274+W288+W297+W335+W349+W358+W364</f>
        <v>#REF!</v>
      </c>
      <c r="X4" s="59" t="e">
        <f>+X5+X22+X152+X155+X189+X223+X238+X274+X288+X297+X335+X349+X358+X364</f>
        <v>#REF!</v>
      </c>
      <c r="Z4" s="60" t="e">
        <f>+X4/1000000</f>
        <v>#REF!</v>
      </c>
      <c r="AH4" s="402" t="s">
        <v>650</v>
      </c>
      <c r="AI4" s="402"/>
      <c r="AJ4" s="402"/>
      <c r="AK4" s="402"/>
      <c r="AL4" s="402"/>
      <c r="AM4" s="402"/>
      <c r="AN4" s="402"/>
      <c r="AO4" s="402"/>
      <c r="AP4" s="139">
        <f>AP5+AP22+AP152+AP155+AP189+AP223+AP238+AP274+AP288+AP297+AP335+AP349+AP358+AP364</f>
        <v>0</v>
      </c>
      <c r="AQ4" s="139">
        <f>AQ5+AQ22+AQ152+AQ155+AQ189+AQ223+AQ238+AQ274+AQ288+AQ297+AQ335+AQ349+AQ358+AQ364</f>
        <v>0</v>
      </c>
      <c r="AR4" s="139">
        <f>AR5+AR22+AR152+AR155+AR189+AR223+AR238+AR274+AR288+AR297+AR335+AR349+AR358+AR364</f>
        <v>0</v>
      </c>
      <c r="AS4" s="244"/>
      <c r="AT4" s="244"/>
      <c r="AU4" s="139">
        <f>AU5+AU22+AU152+AU155+AU189+AU223+AU238+AU274+AU288+AU297+AU335+AU349+AU358+AU364</f>
        <v>0</v>
      </c>
      <c r="AX4" s="396" t="s">
        <v>650</v>
      </c>
      <c r="AY4" s="396"/>
      <c r="AZ4" s="396"/>
      <c r="BA4" s="396"/>
      <c r="BB4" s="396"/>
      <c r="BC4" s="396"/>
      <c r="BD4" s="396"/>
      <c r="BE4" s="396"/>
      <c r="BF4" s="187">
        <f>BF5+BF22+BF152+BF155+BF189+BF223+BF238+BF274+BF288+BF297+BF335+BF349+BF358+BF364</f>
        <v>0</v>
      </c>
    </row>
    <row r="5" spans="2:58">
      <c r="B5" s="26"/>
      <c r="C5" s="27" t="s">
        <v>651</v>
      </c>
      <c r="D5" s="27"/>
      <c r="E5" s="27"/>
      <c r="F5" s="61"/>
      <c r="G5" s="61"/>
      <c r="H5" s="61"/>
      <c r="I5" s="62"/>
      <c r="J5" s="61"/>
      <c r="K5" s="63" t="e">
        <f t="shared" ref="K5:Q5" si="1">+K6</f>
        <v>#REF!</v>
      </c>
      <c r="L5" s="63" t="e">
        <f t="shared" si="1"/>
        <v>#REF!</v>
      </c>
      <c r="M5" s="63" t="e">
        <f t="shared" si="1"/>
        <v>#REF!</v>
      </c>
      <c r="N5" s="63" t="e">
        <f t="shared" si="1"/>
        <v>#REF!</v>
      </c>
      <c r="O5" s="63" t="e">
        <f t="shared" si="1"/>
        <v>#REF!</v>
      </c>
      <c r="P5" s="63" t="e">
        <f t="shared" si="1"/>
        <v>#REF!</v>
      </c>
      <c r="Q5" s="63" t="e">
        <f t="shared" si="1"/>
        <v>#REF!</v>
      </c>
      <c r="R5" s="63" t="e">
        <f>O5+Q5-P5</f>
        <v>#REF!</v>
      </c>
      <c r="S5" s="63"/>
      <c r="T5" s="63"/>
      <c r="U5" s="63" t="e">
        <f>+U6</f>
        <v>#REF!</v>
      </c>
      <c r="V5" s="63" t="e">
        <f>+V6</f>
        <v>#REF!</v>
      </c>
      <c r="W5" s="63" t="e">
        <f>+W6</f>
        <v>#REF!</v>
      </c>
      <c r="X5" s="63" t="e">
        <f>+X6</f>
        <v>#REF!</v>
      </c>
      <c r="Z5" s="5" t="e">
        <f>+Z4+Y100-Y189+Y282</f>
        <v>#REF!</v>
      </c>
      <c r="AH5" s="140"/>
      <c r="AI5" s="141" t="s">
        <v>651</v>
      </c>
      <c r="AJ5" s="142"/>
      <c r="AK5" s="142"/>
      <c r="AL5" s="143"/>
      <c r="AM5" s="144"/>
      <c r="AN5" s="144"/>
      <c r="AO5" s="145"/>
      <c r="AP5" s="146">
        <f>AP6</f>
        <v>0</v>
      </c>
      <c r="AQ5" s="146">
        <f>AQ6</f>
        <v>0</v>
      </c>
      <c r="AR5" s="146">
        <f>AR6</f>
        <v>0</v>
      </c>
      <c r="AS5" s="245"/>
      <c r="AT5" s="245"/>
      <c r="AU5" s="146">
        <f>AU6</f>
        <v>0</v>
      </c>
      <c r="AX5" s="140"/>
      <c r="AY5" s="141" t="s">
        <v>651</v>
      </c>
      <c r="AZ5" s="142"/>
      <c r="BA5" s="142"/>
      <c r="BB5" s="143"/>
      <c r="BC5" s="184"/>
      <c r="BD5" s="184"/>
      <c r="BE5" s="188"/>
      <c r="BF5" s="187">
        <f>BF6</f>
        <v>0</v>
      </c>
    </row>
    <row r="6" spans="2:58">
      <c r="B6" s="28" t="s">
        <v>652</v>
      </c>
      <c r="C6" s="29" t="s">
        <v>653</v>
      </c>
      <c r="D6" s="28"/>
      <c r="E6" s="28"/>
      <c r="F6" s="28"/>
      <c r="G6" s="28"/>
      <c r="H6" s="28"/>
      <c r="I6" s="65"/>
      <c r="J6" s="28"/>
      <c r="K6" s="66" t="e">
        <f t="shared" ref="K6:Q6" si="2">SUM(K7:K21)</f>
        <v>#REF!</v>
      </c>
      <c r="L6" s="66" t="e">
        <f t="shared" si="2"/>
        <v>#REF!</v>
      </c>
      <c r="M6" s="66" t="e">
        <f t="shared" si="2"/>
        <v>#REF!</v>
      </c>
      <c r="N6" s="66" t="e">
        <f t="shared" si="2"/>
        <v>#REF!</v>
      </c>
      <c r="O6" s="66" t="e">
        <f t="shared" si="2"/>
        <v>#REF!</v>
      </c>
      <c r="P6" s="66" t="e">
        <f t="shared" si="2"/>
        <v>#REF!</v>
      </c>
      <c r="Q6" s="66" t="e">
        <f t="shared" si="2"/>
        <v>#REF!</v>
      </c>
      <c r="R6" s="66" t="e">
        <f>O6+Q6-P6</f>
        <v>#REF!</v>
      </c>
      <c r="S6" s="66"/>
      <c r="T6" s="66"/>
      <c r="U6" s="66" t="e">
        <f>SUM(U7:U21)</f>
        <v>#REF!</v>
      </c>
      <c r="V6" s="66" t="e">
        <f>SUM(V7:V21)</f>
        <v>#REF!</v>
      </c>
      <c r="W6" s="66" t="e">
        <f>SUM(W7:W21)</f>
        <v>#REF!</v>
      </c>
      <c r="X6" s="66" t="e">
        <f>SUM(X7:X21)</f>
        <v>#REF!</v>
      </c>
      <c r="Z6" s="123">
        <v>259852</v>
      </c>
      <c r="AA6" s="123" t="e">
        <f>+X4/1000000</f>
        <v>#REF!</v>
      </c>
      <c r="AB6" s="5" t="e">
        <f>Z6-AA6</f>
        <v>#REF!</v>
      </c>
      <c r="AH6" s="147" t="s">
        <v>652</v>
      </c>
      <c r="AI6" s="148" t="s">
        <v>653</v>
      </c>
      <c r="AJ6" s="149"/>
      <c r="AK6" s="149"/>
      <c r="AL6" s="149"/>
      <c r="AM6" s="150"/>
      <c r="AN6" s="150"/>
      <c r="AO6" s="151"/>
      <c r="AP6" s="146">
        <f>AP7+AP11+AP17+AP18+AP21</f>
        <v>0</v>
      </c>
      <c r="AQ6" s="146">
        <f>AQ7+AQ11+AQ17+AQ18+AQ21</f>
        <v>0</v>
      </c>
      <c r="AR6" s="146">
        <f>AR7+AR11+AR17+AR18+AR21</f>
        <v>0</v>
      </c>
      <c r="AS6" s="245"/>
      <c r="AT6" s="245"/>
      <c r="AU6" s="146">
        <f>AU7+AU11+AU17+AU18+AU21</f>
        <v>0</v>
      </c>
      <c r="AX6" s="147" t="s">
        <v>652</v>
      </c>
      <c r="AY6" s="148" t="s">
        <v>653</v>
      </c>
      <c r="AZ6" s="149"/>
      <c r="BA6" s="149"/>
      <c r="BB6" s="149"/>
      <c r="BC6" s="189"/>
      <c r="BD6" s="189"/>
      <c r="BE6" s="190"/>
      <c r="BF6" s="187">
        <f>BF7+BF11+BF17+BF18+BF21</f>
        <v>0</v>
      </c>
    </row>
    <row r="7" spans="2:58">
      <c r="B7" s="30"/>
      <c r="C7" s="31" t="s">
        <v>654</v>
      </c>
      <c r="D7" s="31"/>
      <c r="E7" s="31"/>
      <c r="F7" s="33"/>
      <c r="G7" s="33" t="s">
        <v>81</v>
      </c>
      <c r="H7" s="33"/>
      <c r="I7" s="67">
        <v>1</v>
      </c>
      <c r="J7" s="33"/>
      <c r="K7" s="68" t="e">
        <f>+GETPIVOTDATA("PPEF 2010 ",#REF!,"No. Ramo",6,"IPP","S","PP",1,"UR","GSA")+GETPIVOTDATA("PPEF 2010 ",#REF!,"No. Ramo",6,"IPP","S","PP",172,"UR","GSA")+GETPIVOTDATA("PPEF 2010 ",#REF!,"No. Ramo",6,"IPP","S","PP",199,"UR","GSA")</f>
        <v>#REF!</v>
      </c>
      <c r="L7" s="68" t="e">
        <f>+GETPIVOTDATA("Ampliación Neta DIP ",#REF!,"No. Ramo",6,"IPP","S","PP",1,"UR","GSA")+GETPIVOTDATA("Ampliación Neta DIP ",#REF!,"No. Ramo",6,"IPP","S","PP",172,"UR","GSA")+GETPIVOTDATA("Ampliación Neta DIP ",#REF!,"No. Ramo",6,"IPP","S","PP",199,"UR","GSA")</f>
        <v>#REF!</v>
      </c>
      <c r="M7" s="68" t="e">
        <f>+GETPIVOTDATA("Recorte SHCP ",#REF!,"No. Ramo",6,"IPP","S","PP",1,"UR","GSA")+GETPIVOTDATA("Recorte SHCP ",#REF!,"No. Ramo",6,"IPP","S","PP",172,"UR","GSA")+GETPIVOTDATA("Recorte SHCP ",#REF!,"No. Ramo",6,"IPP","S","PP",199,"UR","GSA")</f>
        <v>#REF!</v>
      </c>
      <c r="N7" s="68" t="e">
        <f>+GETPIVOTDATA("PEF 2010 ",#REF!,"No. Ramo",6,"IPP","S","PP",1,"UR","GSA")+GETPIVOTDATA("PEF 2010 ",#REF!,"No. Ramo",6,"IPP","S","PP",172,"UR","GSA")+GETPIVOTDATA("PEF 2010 ",#REF!,"No. Ramo",6,"IPP","S","PP",199,"UR","GSA")</f>
        <v>#REF!</v>
      </c>
      <c r="O7" s="68" t="e">
        <f>+GETPIVOTDATA("PPEF 2011 ",#REF!,"No. Ramo",6,"IPP","S","PP",1,"UR","GSA")+GETPIVOTDATA("PPEF 2011 ",#REF!,"No. Ramo",6,"IPP","S","PP",172,"UR","GSA")+GETPIVOTDATA("PPEF 2011 ",#REF!,"No. Ramo",6,"IPP","S","PP",199,"UR","GSA")</f>
        <v>#REF!</v>
      </c>
      <c r="P7" s="68" t="e">
        <f>+GETPIVOTDATA("Reducción ",#REF!,"No. Ramo",6,"IPP","S","PP",1,"UR","GSA")+GETPIVOTDATA("Reducción ",#REF!,"No. Ramo",6,"IPP","S","PP",172,"UR","GSA")+GETPIVOTDATA("Reducción ",#REF!,"No. Ramo",6,"IPP","S","PP",199,"UR","GSA")</f>
        <v>#REF!</v>
      </c>
      <c r="Q7" s="68" t="e">
        <f>+GETPIVOTDATA("Ampliación ",#REF!,"No. Ramo",6,"IPP","S","PP",1,"UR","GSA")+GETPIVOTDATA("Ampliación ",#REF!,"No. Ramo",6,"IPP","S","PP",172,"UR","GSA")+GETPIVOTDATA("Ampliación ",#REF!,"No. Ramo",6,"IPP","S","PP",199,"UR","GSA")</f>
        <v>#REF!</v>
      </c>
      <c r="R7" s="69" t="e">
        <f>+O7-P7+Q7</f>
        <v>#REF!</v>
      </c>
      <c r="S7" s="69"/>
      <c r="T7" s="69"/>
      <c r="U7" s="69" t="e">
        <f>+$I7*O7</f>
        <v>#REF!</v>
      </c>
      <c r="V7" s="69" t="e">
        <f>+$I7*P7</f>
        <v>#REF!</v>
      </c>
      <c r="W7" s="69" t="e">
        <f>+$I7*Q7</f>
        <v>#REF!</v>
      </c>
      <c r="X7" s="69" t="e">
        <f>+$I7*R7</f>
        <v>#REF!</v>
      </c>
      <c r="Z7" s="1" t="e">
        <f>+Z4-Z6</f>
        <v>#REF!</v>
      </c>
      <c r="AH7" s="152"/>
      <c r="AI7" s="153" t="s">
        <v>654</v>
      </c>
      <c r="AJ7" s="154"/>
      <c r="AK7" s="154"/>
      <c r="AL7" s="155"/>
      <c r="AM7" s="150"/>
      <c r="AN7" s="150"/>
      <c r="AO7" s="151"/>
      <c r="AP7" s="146">
        <f>AP8+AP9+AP10</f>
        <v>0</v>
      </c>
      <c r="AQ7" s="146">
        <f>AQ8+AQ9+AQ10</f>
        <v>0</v>
      </c>
      <c r="AR7" s="146">
        <f>AR8+AR9+AR10</f>
        <v>0</v>
      </c>
      <c r="AS7" s="245"/>
      <c r="AT7" s="245"/>
      <c r="AU7" s="146">
        <f>AU8+AU9+AU10</f>
        <v>0</v>
      </c>
      <c r="AX7" s="152"/>
      <c r="AY7" s="153" t="s">
        <v>654</v>
      </c>
      <c r="AZ7" s="154"/>
      <c r="BA7" s="154"/>
      <c r="BB7" s="155"/>
      <c r="BC7" s="189"/>
      <c r="BD7" s="189"/>
      <c r="BE7" s="190"/>
      <c r="BF7" s="187">
        <f>BF8+BF9+BF10</f>
        <v>0</v>
      </c>
    </row>
    <row r="8" spans="2:58">
      <c r="B8" s="30"/>
      <c r="C8" s="100" t="s">
        <v>83</v>
      </c>
      <c r="D8" s="31"/>
      <c r="E8" s="31"/>
      <c r="F8" s="33"/>
      <c r="G8" s="33"/>
      <c r="H8" s="33"/>
      <c r="I8" s="67"/>
      <c r="J8" s="33"/>
      <c r="K8" s="68"/>
      <c r="L8" s="68"/>
      <c r="M8" s="68"/>
      <c r="N8" s="68"/>
      <c r="O8" s="68"/>
      <c r="P8" s="68"/>
      <c r="Q8" s="68"/>
      <c r="R8" s="69"/>
      <c r="S8" s="69"/>
      <c r="T8" s="69"/>
      <c r="U8" s="69"/>
      <c r="V8" s="69"/>
      <c r="W8" s="69"/>
      <c r="X8" s="69"/>
      <c r="Z8" s="1"/>
      <c r="AH8" s="152"/>
      <c r="AI8" s="156"/>
      <c r="AJ8" s="154" t="s">
        <v>83</v>
      </c>
      <c r="AK8" s="154"/>
      <c r="AL8" s="155"/>
      <c r="AM8" s="150"/>
      <c r="AN8" s="150"/>
      <c r="AO8" s="151"/>
      <c r="AP8" s="146"/>
      <c r="AQ8" s="146"/>
      <c r="AR8" s="146"/>
      <c r="AS8" s="245"/>
      <c r="AT8" s="245"/>
      <c r="AU8" s="146"/>
      <c r="AX8" s="152"/>
      <c r="AY8" s="191"/>
      <c r="AZ8" s="154" t="s">
        <v>83</v>
      </c>
      <c r="BA8" s="154"/>
      <c r="BB8" s="155"/>
      <c r="BC8" s="189"/>
      <c r="BD8" s="189"/>
      <c r="BE8" s="190"/>
      <c r="BF8" s="187">
        <f>+AU8</f>
        <v>0</v>
      </c>
    </row>
    <row r="9" spans="2:58">
      <c r="B9" s="30"/>
      <c r="C9" s="100" t="s">
        <v>93</v>
      </c>
      <c r="D9" s="31"/>
      <c r="E9" s="31"/>
      <c r="F9" s="33"/>
      <c r="G9" s="33"/>
      <c r="H9" s="33"/>
      <c r="I9" s="67"/>
      <c r="J9" s="33"/>
      <c r="K9" s="68"/>
      <c r="L9" s="68"/>
      <c r="M9" s="68"/>
      <c r="N9" s="68"/>
      <c r="O9" s="68"/>
      <c r="P9" s="68"/>
      <c r="Q9" s="68"/>
      <c r="R9" s="69"/>
      <c r="S9" s="69"/>
      <c r="T9" s="69"/>
      <c r="U9" s="69"/>
      <c r="V9" s="69"/>
      <c r="W9" s="69"/>
      <c r="X9" s="69"/>
      <c r="Z9" s="1"/>
      <c r="AH9" s="152"/>
      <c r="AI9" s="156"/>
      <c r="AJ9" s="154" t="s">
        <v>93</v>
      </c>
      <c r="AK9" s="154"/>
      <c r="AL9" s="155"/>
      <c r="AM9" s="150"/>
      <c r="AN9" s="150"/>
      <c r="AO9" s="151"/>
      <c r="AP9" s="146"/>
      <c r="AQ9" s="146"/>
      <c r="AR9" s="146"/>
      <c r="AS9" s="245"/>
      <c r="AT9" s="245"/>
      <c r="AU9" s="146"/>
      <c r="AX9" s="152"/>
      <c r="AY9" s="191"/>
      <c r="AZ9" s="154" t="s">
        <v>93</v>
      </c>
      <c r="BA9" s="154"/>
      <c r="BB9" s="155"/>
      <c r="BC9" s="189"/>
      <c r="BD9" s="189"/>
      <c r="BE9" s="190"/>
      <c r="BF9" s="187">
        <f>+AU9</f>
        <v>0</v>
      </c>
    </row>
    <row r="10" spans="2:58">
      <c r="B10" s="30"/>
      <c r="C10" s="100" t="s">
        <v>80</v>
      </c>
      <c r="D10" s="31"/>
      <c r="E10" s="31"/>
      <c r="F10" s="33"/>
      <c r="G10" s="33"/>
      <c r="H10" s="33"/>
      <c r="I10" s="67"/>
      <c r="J10" s="33"/>
      <c r="K10" s="68"/>
      <c r="L10" s="68"/>
      <c r="M10" s="68"/>
      <c r="N10" s="68"/>
      <c r="O10" s="68"/>
      <c r="P10" s="68"/>
      <c r="Q10" s="68"/>
      <c r="R10" s="69"/>
      <c r="S10" s="69"/>
      <c r="T10" s="69"/>
      <c r="U10" s="69"/>
      <c r="V10" s="69"/>
      <c r="W10" s="69"/>
      <c r="X10" s="69"/>
      <c r="Z10" s="1"/>
      <c r="AH10" s="152"/>
      <c r="AI10" s="156"/>
      <c r="AJ10" s="154" t="s">
        <v>80</v>
      </c>
      <c r="AK10" s="154"/>
      <c r="AL10" s="155"/>
      <c r="AM10" s="150"/>
      <c r="AN10" s="150"/>
      <c r="AO10" s="151"/>
      <c r="AP10" s="146"/>
      <c r="AQ10" s="146"/>
      <c r="AR10" s="146"/>
      <c r="AS10" s="245"/>
      <c r="AT10" s="245"/>
      <c r="AU10" s="146"/>
      <c r="AX10" s="152"/>
      <c r="AY10" s="191"/>
      <c r="AZ10" s="154" t="s">
        <v>80</v>
      </c>
      <c r="BA10" s="154"/>
      <c r="BB10" s="155"/>
      <c r="BC10" s="189"/>
      <c r="BD10" s="189"/>
      <c r="BE10" s="190"/>
      <c r="BF10" s="187">
        <f>+AU10</f>
        <v>0</v>
      </c>
    </row>
    <row r="11" spans="2:58">
      <c r="B11" s="30"/>
      <c r="C11" s="30" t="s">
        <v>655</v>
      </c>
      <c r="D11" s="30"/>
      <c r="E11" s="30"/>
      <c r="F11" s="33"/>
      <c r="G11" s="33" t="s">
        <v>53</v>
      </c>
      <c r="H11" s="33"/>
      <c r="I11" s="67">
        <v>1</v>
      </c>
      <c r="J11" s="33"/>
      <c r="K11" s="68" t="e">
        <f>+GETPIVOTDATA("PPEF 2010 ",#REF!,"No. Ramo",6,"IPP","F","PP",1,"UR","HAN")+GETPIVOTDATA("PPEF 2010 ",#REF!,"No. Ramo",6,"IPP","F","PP",2,"UR","HAN")+GETPIVOTDATA("PPEF 2010 ",#REF!,"No. Ramo",6,"IPP","F","PP",29,"UR","HAN")+GETPIVOTDATA("PPEF 2010 ",#REF!,"No. Ramo",6,"IPP","F","PP",30,"UR","HAN")</f>
        <v>#REF!</v>
      </c>
      <c r="L11" s="68" t="e">
        <f>+GETPIVOTDATA("Ampliación Neta DIP ",#REF!,"No. Ramo",6,"IPP","F","PP",1,"UR","HAN")+GETPIVOTDATA("Ampliación Neta DIP ",#REF!,"No. Ramo",6,"IPP","F","PP",2,"UR","HAN")+GETPIVOTDATA("Ampliación Neta DIP ",#REF!,"No. Ramo",6,"IPP","F","PP",29,"UR","HAN")+GETPIVOTDATA("Ampliación Neta DIP ",#REF!,"No. Ramo",6,"IPP","F","PP",30,"UR","HAN")</f>
        <v>#REF!</v>
      </c>
      <c r="M11" s="68" t="e">
        <f>+GETPIVOTDATA("Recorte SHCP ",#REF!,"No. Ramo",6,"IPP","F","PP",1,"UR","HAN")+GETPIVOTDATA("Recorte SHCP ",#REF!,"No. Ramo",6,"IPP","F","PP",2,"UR","HAN")+GETPIVOTDATA("Recorte SHCP ",#REF!,"No. Ramo",6,"IPP","F","PP",29,"UR","HAN")+GETPIVOTDATA("Recorte SHCP ",#REF!,"No. Ramo",6,"IPP","F","PP",30,"UR","HAN")</f>
        <v>#REF!</v>
      </c>
      <c r="N11" s="68" t="e">
        <f>+GETPIVOTDATA("PEF 2010 ",#REF!,"No. Ramo",6,"IPP","F","PP",1,"UR","HAN")+GETPIVOTDATA("PEF 2010 ",#REF!,"No. Ramo",6,"IPP","F","PP",2,"UR","HAN")+GETPIVOTDATA("PEF 2010 ",#REF!,"No. Ramo",6,"IPP","F","PP",29,"UR","HAN")+GETPIVOTDATA("PEF 2010 ",#REF!,"No. Ramo",6,"IPP","F","PP",30,"UR","HAN")</f>
        <v>#REF!</v>
      </c>
      <c r="O11" s="68" t="e">
        <f>+GETPIVOTDATA("PPEF 2011 ",#REF!,"No. Ramo",6,"IPP","F","PP",1,"UR","HAN")+GETPIVOTDATA("PPEF 2011 ",#REF!,"No. Ramo",6,"IPP","F","PP",2,"UR","HAN")+GETPIVOTDATA("PPEF 2011 ",#REF!,"No. Ramo",6,"IPP","F","PP",29,"UR","HAN")+GETPIVOTDATA("PPEF 2011 ",#REF!,"No. Ramo",6,"IPP","F","PP",30,"UR","HAN")</f>
        <v>#REF!</v>
      </c>
      <c r="P11" s="68" t="e">
        <f>+GETPIVOTDATA("Reducción ",#REF!,"No. Ramo",6,"IPP","F","PP",1,"UR","HAN")+GETPIVOTDATA("Reducción ",#REF!,"No. Ramo",6,"IPP","F","PP",2,"UR","HAN")+GETPIVOTDATA("Reducción ",#REF!,"No. Ramo",6,"IPP","F","PP",29,"UR","HAN")+GETPIVOTDATA("Reducción ",#REF!,"No. Ramo",6,"IPP","F","PP",30,"UR","HAN")</f>
        <v>#REF!</v>
      </c>
      <c r="Q11" s="68" t="e">
        <f>+GETPIVOTDATA("Ampliación ",#REF!,"No. Ramo",6,"IPP","F","PP",1,"UR","HAN")+GETPIVOTDATA("Ampliación ",#REF!,"No. Ramo",6,"IPP","F","PP",2,"UR","HAN")+GETPIVOTDATA("Ampliación ",#REF!,"No. Ramo",6,"IPP","F","PP",29,"UR","HAN")+GETPIVOTDATA("Ampliación ",#REF!,"No. Ramo",6,"IPP","F","PP",30,"UR","HAN")</f>
        <v>#REF!</v>
      </c>
      <c r="R11" s="69" t="e">
        <f>O11+Q11-P11</f>
        <v>#REF!</v>
      </c>
      <c r="S11" s="69"/>
      <c r="T11" s="69"/>
      <c r="U11" s="69" t="e">
        <f>+$I11*O11</f>
        <v>#REF!</v>
      </c>
      <c r="V11" s="69" t="e">
        <f>+$I11*P11</f>
        <v>#REF!</v>
      </c>
      <c r="W11" s="69" t="e">
        <f>+$I11*Q11</f>
        <v>#REF!</v>
      </c>
      <c r="X11" s="69" t="e">
        <f>+$I11*R11</f>
        <v>#REF!</v>
      </c>
      <c r="AH11" s="152"/>
      <c r="AI11" s="157" t="s">
        <v>655</v>
      </c>
      <c r="AJ11" s="158"/>
      <c r="AK11" s="158"/>
      <c r="AL11" s="155"/>
      <c r="AM11" s="150"/>
      <c r="AN11" s="150"/>
      <c r="AO11" s="151"/>
      <c r="AP11" s="146">
        <f>AP12+AP13+AP14+AP15+AP16</f>
        <v>0</v>
      </c>
      <c r="AQ11" s="146">
        <f>AQ12+AQ13+AQ14+AQ15+AQ16</f>
        <v>0</v>
      </c>
      <c r="AR11" s="146">
        <f>AR12+AR13+AR14+AR15+AR16</f>
        <v>0</v>
      </c>
      <c r="AS11" s="245"/>
      <c r="AT11" s="245"/>
      <c r="AU11" s="146">
        <f>AU12+AU13+AU14+AU15+AU16</f>
        <v>0</v>
      </c>
      <c r="AX11" s="152"/>
      <c r="AY11" s="157" t="s">
        <v>655</v>
      </c>
      <c r="AZ11" s="158"/>
      <c r="BA11" s="158"/>
      <c r="BB11" s="155"/>
      <c r="BC11" s="189"/>
      <c r="BD11" s="189"/>
      <c r="BE11" s="190"/>
      <c r="BF11" s="187">
        <f>BF12+BF13+BF14+BF15+BF16</f>
        <v>0</v>
      </c>
    </row>
    <row r="12" spans="2:58">
      <c r="B12" s="30"/>
      <c r="C12" s="100" t="s">
        <v>867</v>
      </c>
      <c r="D12" s="30"/>
      <c r="E12" s="30"/>
      <c r="F12" s="33"/>
      <c r="G12" s="33"/>
      <c r="H12" s="33"/>
      <c r="I12" s="67"/>
      <c r="J12" s="33"/>
      <c r="K12" s="68"/>
      <c r="L12" s="68"/>
      <c r="M12" s="68"/>
      <c r="N12" s="68"/>
      <c r="O12" s="68"/>
      <c r="P12" s="68"/>
      <c r="Q12" s="68"/>
      <c r="R12" s="69"/>
      <c r="S12" s="69"/>
      <c r="T12" s="69"/>
      <c r="U12" s="69"/>
      <c r="V12" s="69"/>
      <c r="W12" s="69"/>
      <c r="X12" s="69"/>
      <c r="AH12" s="152"/>
      <c r="AI12" s="159"/>
      <c r="AJ12" s="397" t="s">
        <v>867</v>
      </c>
      <c r="AK12" s="397"/>
      <c r="AL12" s="397"/>
      <c r="AM12" s="397"/>
      <c r="AN12" s="397"/>
      <c r="AO12" s="398"/>
      <c r="AP12" s="146"/>
      <c r="AQ12" s="146"/>
      <c r="AR12" s="146"/>
      <c r="AS12" s="245"/>
      <c r="AT12" s="245"/>
      <c r="AU12" s="146"/>
      <c r="AX12" s="152"/>
      <c r="AY12" s="159"/>
      <c r="AZ12" s="397" t="s">
        <v>867</v>
      </c>
      <c r="BA12" s="397"/>
      <c r="BB12" s="397"/>
      <c r="BC12" s="397"/>
      <c r="BD12" s="397"/>
      <c r="BE12" s="398"/>
      <c r="BF12" s="187">
        <f t="shared" ref="BF12:BF17" si="3">+AU12</f>
        <v>0</v>
      </c>
    </row>
    <row r="13" spans="2:58">
      <c r="B13" s="30"/>
      <c r="C13" s="100" t="s">
        <v>868</v>
      </c>
      <c r="D13" s="30"/>
      <c r="E13" s="30"/>
      <c r="F13" s="33"/>
      <c r="G13" s="33"/>
      <c r="H13" s="33"/>
      <c r="I13" s="67"/>
      <c r="J13" s="33"/>
      <c r="K13" s="68"/>
      <c r="L13" s="68"/>
      <c r="M13" s="68"/>
      <c r="N13" s="68"/>
      <c r="O13" s="68"/>
      <c r="P13" s="68"/>
      <c r="Q13" s="68"/>
      <c r="R13" s="69"/>
      <c r="S13" s="69"/>
      <c r="T13" s="69"/>
      <c r="U13" s="69"/>
      <c r="V13" s="69"/>
      <c r="W13" s="69"/>
      <c r="X13" s="69"/>
      <c r="Z13" s="1" t="e">
        <f>+X23+X153+X156+X190+X224+X239+X275+X365</f>
        <v>#REF!</v>
      </c>
      <c r="AH13" s="152"/>
      <c r="AI13" s="159"/>
      <c r="AJ13" s="154" t="s">
        <v>868</v>
      </c>
      <c r="AK13" s="158"/>
      <c r="AL13" s="155"/>
      <c r="AM13" s="150"/>
      <c r="AN13" s="150"/>
      <c r="AO13" s="151"/>
      <c r="AP13" s="146"/>
      <c r="AQ13" s="146"/>
      <c r="AR13" s="146"/>
      <c r="AS13" s="245"/>
      <c r="AT13" s="245"/>
      <c r="AU13" s="146"/>
      <c r="AX13" s="152"/>
      <c r="AY13" s="159"/>
      <c r="AZ13" s="154" t="s">
        <v>868</v>
      </c>
      <c r="BA13" s="158"/>
      <c r="BB13" s="155"/>
      <c r="BC13" s="189"/>
      <c r="BD13" s="189"/>
      <c r="BE13" s="190"/>
      <c r="BF13" s="187">
        <f t="shared" si="3"/>
        <v>0</v>
      </c>
    </row>
    <row r="14" spans="2:58">
      <c r="B14" s="30"/>
      <c r="C14" s="100" t="s">
        <v>869</v>
      </c>
      <c r="D14" s="30"/>
      <c r="E14" s="30"/>
      <c r="F14" s="33"/>
      <c r="G14" s="33"/>
      <c r="H14" s="33"/>
      <c r="I14" s="67"/>
      <c r="J14" s="33"/>
      <c r="K14" s="68"/>
      <c r="L14" s="68"/>
      <c r="M14" s="68"/>
      <c r="N14" s="68"/>
      <c r="O14" s="68"/>
      <c r="P14" s="68"/>
      <c r="Q14" s="68"/>
      <c r="R14" s="69"/>
      <c r="S14" s="69"/>
      <c r="T14" s="69"/>
      <c r="U14" s="69"/>
      <c r="V14" s="69"/>
      <c r="W14" s="69"/>
      <c r="X14" s="69"/>
      <c r="Z14" s="1">
        <v>59529079215</v>
      </c>
      <c r="AH14" s="152"/>
      <c r="AI14" s="159"/>
      <c r="AJ14" s="154" t="s">
        <v>869</v>
      </c>
      <c r="AK14" s="158"/>
      <c r="AL14" s="155"/>
      <c r="AM14" s="150"/>
      <c r="AN14" s="150"/>
      <c r="AO14" s="151"/>
      <c r="AP14" s="146"/>
      <c r="AQ14" s="146"/>
      <c r="AR14" s="146"/>
      <c r="AS14" s="245"/>
      <c r="AT14" s="245"/>
      <c r="AU14" s="146"/>
      <c r="AX14" s="152"/>
      <c r="AY14" s="159"/>
      <c r="AZ14" s="154" t="s">
        <v>869</v>
      </c>
      <c r="BA14" s="158"/>
      <c r="BB14" s="155"/>
      <c r="BC14" s="189"/>
      <c r="BD14" s="189"/>
      <c r="BE14" s="190"/>
      <c r="BF14" s="187">
        <f t="shared" si="3"/>
        <v>0</v>
      </c>
    </row>
    <row r="15" spans="2:58">
      <c r="B15" s="30"/>
      <c r="C15" s="100" t="s">
        <v>870</v>
      </c>
      <c r="D15" s="30"/>
      <c r="E15" s="30"/>
      <c r="F15" s="33"/>
      <c r="G15" s="33"/>
      <c r="H15" s="33"/>
      <c r="I15" s="67"/>
      <c r="J15" s="33"/>
      <c r="K15" s="68"/>
      <c r="L15" s="68"/>
      <c r="M15" s="68"/>
      <c r="N15" s="68"/>
      <c r="O15" s="68"/>
      <c r="P15" s="68"/>
      <c r="Q15" s="68"/>
      <c r="R15" s="69"/>
      <c r="S15" s="69"/>
      <c r="T15" s="69"/>
      <c r="U15" s="69"/>
      <c r="V15" s="69"/>
      <c r="W15" s="69"/>
      <c r="X15" s="69"/>
      <c r="Z15" s="1" t="e">
        <f>+Z14-Z13</f>
        <v>#REF!</v>
      </c>
      <c r="AH15" s="152"/>
      <c r="AI15" s="159"/>
      <c r="AJ15" s="154" t="s">
        <v>870</v>
      </c>
      <c r="AK15" s="158"/>
      <c r="AL15" s="155"/>
      <c r="AM15" s="150"/>
      <c r="AN15" s="150"/>
      <c r="AO15" s="151"/>
      <c r="AP15" s="146"/>
      <c r="AQ15" s="146"/>
      <c r="AR15" s="146"/>
      <c r="AS15" s="245"/>
      <c r="AT15" s="245"/>
      <c r="AU15" s="146"/>
      <c r="AX15" s="152"/>
      <c r="AY15" s="159"/>
      <c r="AZ15" s="154" t="s">
        <v>870</v>
      </c>
      <c r="BA15" s="158"/>
      <c r="BB15" s="155"/>
      <c r="BC15" s="189"/>
      <c r="BD15" s="189"/>
      <c r="BE15" s="190"/>
      <c r="BF15" s="187">
        <f t="shared" si="3"/>
        <v>0</v>
      </c>
    </row>
    <row r="16" spans="2:58">
      <c r="B16" s="30"/>
      <c r="C16" s="100" t="s">
        <v>871</v>
      </c>
      <c r="D16" s="30"/>
      <c r="E16" s="30"/>
      <c r="F16" s="33"/>
      <c r="G16" s="33"/>
      <c r="H16" s="33"/>
      <c r="I16" s="67"/>
      <c r="J16" s="33"/>
      <c r="K16" s="68"/>
      <c r="L16" s="68"/>
      <c r="M16" s="68"/>
      <c r="N16" s="68"/>
      <c r="O16" s="68"/>
      <c r="P16" s="68"/>
      <c r="Q16" s="68"/>
      <c r="R16" s="69"/>
      <c r="S16" s="69"/>
      <c r="T16" s="69"/>
      <c r="U16" s="69"/>
      <c r="V16" s="69"/>
      <c r="W16" s="69"/>
      <c r="X16" s="69"/>
      <c r="AH16" s="152"/>
      <c r="AI16" s="159"/>
      <c r="AJ16" s="154" t="s">
        <v>871</v>
      </c>
      <c r="AK16" s="158"/>
      <c r="AL16" s="155"/>
      <c r="AM16" s="150"/>
      <c r="AN16" s="150"/>
      <c r="AO16" s="151"/>
      <c r="AP16" s="146"/>
      <c r="AQ16" s="146"/>
      <c r="AR16" s="146"/>
      <c r="AS16" s="245"/>
      <c r="AT16" s="245"/>
      <c r="AU16" s="146"/>
      <c r="AX16" s="152"/>
      <c r="AY16" s="159"/>
      <c r="AZ16" s="154" t="s">
        <v>871</v>
      </c>
      <c r="BA16" s="158"/>
      <c r="BB16" s="155"/>
      <c r="BC16" s="189"/>
      <c r="BD16" s="189"/>
      <c r="BE16" s="190"/>
      <c r="BF16" s="187">
        <f t="shared" si="3"/>
        <v>0</v>
      </c>
    </row>
    <row r="17" spans="1:60">
      <c r="B17" s="30"/>
      <c r="C17" s="30" t="s">
        <v>656</v>
      </c>
      <c r="D17" s="30"/>
      <c r="E17" s="30"/>
      <c r="F17" s="33"/>
      <c r="G17" s="33" t="s">
        <v>55</v>
      </c>
      <c r="H17" s="33"/>
      <c r="I17" s="67">
        <v>1</v>
      </c>
      <c r="J17" s="33"/>
      <c r="K17" s="68" t="e">
        <f>+GETPIVOTDATA("PPEF 2010 ",#REF!,"No. Ramo",6,"IPP","F","PP",33,"UR","HJO")+GETPIVOTDATA("PPEF 2010 ",#REF!,"No. Ramo",6,"IPP","S","PP",210,"UR","HJO")</f>
        <v>#REF!</v>
      </c>
      <c r="L17" s="68" t="e">
        <f>+GETPIVOTDATA("Ampliación Neta DIP ",#REF!,"No. Ramo",6,"IPP","F","PP",33,"UR","HJO")+GETPIVOTDATA("Ampliación Neta DIP ",#REF!,"No. Ramo",6,"IPP","S","PP",210,"UR","HJO")</f>
        <v>#REF!</v>
      </c>
      <c r="M17" s="68" t="e">
        <f>+GETPIVOTDATA("Recorte SHCP ",#REF!,"No. Ramo",6,"IPP","F","PP",33,"UR","HJO")+GETPIVOTDATA("Recorte SHCP ",#REF!,"No. Ramo",6,"IPP","S","PP",210,"UR","HJO")</f>
        <v>#REF!</v>
      </c>
      <c r="N17" s="68" t="e">
        <f>+GETPIVOTDATA("PEF 2010 ",#REF!,"No. Ramo",6,"IPP","F","PP",33,"UR","HJO")+GETPIVOTDATA("PEF 2010 ",#REF!,"No. Ramo",6,"IPP","S","PP",210,"UR","HJO")</f>
        <v>#REF!</v>
      </c>
      <c r="O17" s="68" t="e">
        <f>+GETPIVOTDATA("PPEF 2011 ",#REF!,"No. Ramo",6,"IPP","F","PP",33,"UR","HJO")+GETPIVOTDATA("PPEF 2011 ",#REF!,"No. Ramo",6,"IPP","S","PP",210,"UR","HJO")</f>
        <v>#REF!</v>
      </c>
      <c r="P17" s="68" t="e">
        <f>+GETPIVOTDATA("Reducción ",#REF!,"No. Ramo",6,"IPP","F","PP",33,"UR","HJO")+GETPIVOTDATA("Reducción ",#REF!,"No. Ramo",6,"IPP","S","PP",210,"UR","HJO")</f>
        <v>#REF!</v>
      </c>
      <c r="Q17" s="68" t="e">
        <f>+GETPIVOTDATA("Ampliación ",#REF!,"No. Ramo",6,"IPP","F","PP",33,"UR","HJO")+GETPIVOTDATA("Ampliación ",#REF!,"No. Ramo",6,"IPP","S","PP",210,"UR","HJO")</f>
        <v>#REF!</v>
      </c>
      <c r="R17" s="69" t="e">
        <f>O17+Q17-P17</f>
        <v>#REF!</v>
      </c>
      <c r="S17" s="69"/>
      <c r="T17" s="69"/>
      <c r="U17" s="69" t="e">
        <f t="shared" ref="U17:X18" si="4">+$I17*O17</f>
        <v>#REF!</v>
      </c>
      <c r="V17" s="69" t="e">
        <f t="shared" si="4"/>
        <v>#REF!</v>
      </c>
      <c r="W17" s="69" t="e">
        <f t="shared" si="4"/>
        <v>#REF!</v>
      </c>
      <c r="X17" s="69" t="e">
        <f t="shared" si="4"/>
        <v>#REF!</v>
      </c>
      <c r="AH17" s="152"/>
      <c r="AI17" s="157" t="s">
        <v>656</v>
      </c>
      <c r="AJ17" s="158"/>
      <c r="AK17" s="158"/>
      <c r="AL17" s="155"/>
      <c r="AM17" s="150"/>
      <c r="AN17" s="150"/>
      <c r="AO17" s="151"/>
      <c r="AP17" s="146"/>
      <c r="AQ17" s="146"/>
      <c r="AR17" s="146"/>
      <c r="AS17" s="245"/>
      <c r="AT17" s="245"/>
      <c r="AU17" s="146"/>
      <c r="AX17" s="152"/>
      <c r="AY17" s="157" t="s">
        <v>656</v>
      </c>
      <c r="AZ17" s="158"/>
      <c r="BA17" s="158"/>
      <c r="BB17" s="155"/>
      <c r="BC17" s="189"/>
      <c r="BD17" s="189"/>
      <c r="BE17" s="190"/>
      <c r="BF17" s="187">
        <f t="shared" si="3"/>
        <v>0</v>
      </c>
    </row>
    <row r="18" spans="1:60">
      <c r="B18" s="30"/>
      <c r="C18" s="30" t="s">
        <v>657</v>
      </c>
      <c r="D18" s="30"/>
      <c r="E18" s="30"/>
      <c r="F18" s="33" t="s">
        <v>797</v>
      </c>
      <c r="G18" s="33" t="s">
        <v>57</v>
      </c>
      <c r="H18" s="33"/>
      <c r="I18" s="67">
        <v>1</v>
      </c>
      <c r="J18" s="33"/>
      <c r="K18" s="68" t="e">
        <f>+GETPIVOTDATA("PPEF 2010 ",#REF!,"No. Ramo",6,"IPP","F","PP",10,"UR","HAT")</f>
        <v>#REF!</v>
      </c>
      <c r="L18" s="68" t="e">
        <f>+GETPIVOTDATA("Ampliación Neta DIP ",#REF!,"No. Ramo",6,"IPP","F","PP",10,"UR","HAT")</f>
        <v>#REF!</v>
      </c>
      <c r="M18" s="68" t="e">
        <f>+GETPIVOTDATA("Recorte SHCP ",#REF!,"No. Ramo",6,"IPP","F","PP",10,"UR","HAT")</f>
        <v>#REF!</v>
      </c>
      <c r="N18" s="68" t="e">
        <f>+GETPIVOTDATA("PEF 2010 ",#REF!,"No. Ramo",6,"IPP","F","PP",10,"UR","HAT")</f>
        <v>#REF!</v>
      </c>
      <c r="O18" s="68" t="e">
        <f>+GETPIVOTDATA("PPEF 2011 ",#REF!,"No. Ramo",6,"IPP","F","PP",10,"UR","HAT")</f>
        <v>#REF!</v>
      </c>
      <c r="P18" s="68" t="e">
        <f>+GETPIVOTDATA("Reducción ",#REF!,"No. Ramo",6,"IPP","F","PP",10,"UR","HAT")</f>
        <v>#REF!</v>
      </c>
      <c r="Q18" s="68" t="e">
        <f>+GETPIVOTDATA("Ampliación ",#REF!,"No. Ramo",6,"IPP","F","PP",10,"UR","HAT")</f>
        <v>#REF!</v>
      </c>
      <c r="R18" s="69" t="e">
        <f>O18+Q18-P18</f>
        <v>#REF!</v>
      </c>
      <c r="S18" s="69"/>
      <c r="T18" s="69"/>
      <c r="U18" s="69" t="e">
        <f t="shared" si="4"/>
        <v>#REF!</v>
      </c>
      <c r="V18" s="69" t="e">
        <f t="shared" si="4"/>
        <v>#REF!</v>
      </c>
      <c r="W18" s="69" t="e">
        <f t="shared" si="4"/>
        <v>#REF!</v>
      </c>
      <c r="X18" s="69" t="e">
        <f t="shared" si="4"/>
        <v>#REF!</v>
      </c>
      <c r="AH18" s="152"/>
      <c r="AI18" s="157" t="s">
        <v>657</v>
      </c>
      <c r="AJ18" s="158"/>
      <c r="AK18" s="158"/>
      <c r="AL18" s="150"/>
      <c r="AM18" s="150"/>
      <c r="AN18" s="150"/>
      <c r="AO18" s="151"/>
      <c r="AP18" s="146">
        <f>AP19+AP20</f>
        <v>0</v>
      </c>
      <c r="AQ18" s="146">
        <f>AQ19+AQ20</f>
        <v>0</v>
      </c>
      <c r="AR18" s="146">
        <f>AR19+AR20</f>
        <v>0</v>
      </c>
      <c r="AS18" s="245"/>
      <c r="AT18" s="245"/>
      <c r="AU18" s="146">
        <f>AU19+AU20</f>
        <v>0</v>
      </c>
      <c r="AX18" s="152"/>
      <c r="AY18" s="157" t="s">
        <v>657</v>
      </c>
      <c r="AZ18" s="158"/>
      <c r="BA18" s="158"/>
      <c r="BB18" s="189"/>
      <c r="BC18" s="189"/>
      <c r="BD18" s="189"/>
      <c r="BE18" s="190"/>
      <c r="BF18" s="187">
        <f>BF19+BF20</f>
        <v>0</v>
      </c>
    </row>
    <row r="19" spans="1:60">
      <c r="B19" s="30"/>
      <c r="C19" s="100" t="s">
        <v>872</v>
      </c>
      <c r="D19" s="30"/>
      <c r="E19" s="30"/>
      <c r="F19" s="33"/>
      <c r="G19" s="33"/>
      <c r="H19" s="33"/>
      <c r="I19" s="67"/>
      <c r="J19" s="33"/>
      <c r="K19" s="68"/>
      <c r="L19" s="68"/>
      <c r="M19" s="68"/>
      <c r="N19" s="68"/>
      <c r="O19" s="68"/>
      <c r="P19" s="68"/>
      <c r="Q19" s="68"/>
      <c r="R19" s="69"/>
      <c r="S19" s="69"/>
      <c r="T19" s="69"/>
      <c r="U19" s="69"/>
      <c r="V19" s="69"/>
      <c r="W19" s="69"/>
      <c r="X19" s="69"/>
      <c r="AH19" s="152"/>
      <c r="AI19" s="159"/>
      <c r="AJ19" s="154" t="s">
        <v>872</v>
      </c>
      <c r="AK19" s="158"/>
      <c r="AL19" s="155"/>
      <c r="AM19" s="150"/>
      <c r="AN19" s="150"/>
      <c r="AO19" s="151"/>
      <c r="AP19" s="146"/>
      <c r="AQ19" s="146"/>
      <c r="AR19" s="146"/>
      <c r="AS19" s="245"/>
      <c r="AT19" s="245"/>
      <c r="AU19" s="146"/>
      <c r="AX19" s="152"/>
      <c r="AY19" s="159"/>
      <c r="AZ19" s="154" t="s">
        <v>872</v>
      </c>
      <c r="BA19" s="158"/>
      <c r="BB19" s="155"/>
      <c r="BC19" s="189"/>
      <c r="BD19" s="189"/>
      <c r="BE19" s="190"/>
      <c r="BF19" s="187">
        <f>+AU19</f>
        <v>0</v>
      </c>
    </row>
    <row r="20" spans="1:60">
      <c r="B20" s="30"/>
      <c r="C20" s="100" t="s">
        <v>873</v>
      </c>
      <c r="D20" s="30"/>
      <c r="E20" s="30"/>
      <c r="F20" s="33"/>
      <c r="G20" s="33"/>
      <c r="H20" s="33"/>
      <c r="I20" s="67"/>
      <c r="J20" s="33"/>
      <c r="K20" s="68"/>
      <c r="L20" s="68"/>
      <c r="M20" s="68"/>
      <c r="N20" s="68"/>
      <c r="O20" s="68"/>
      <c r="P20" s="68"/>
      <c r="Q20" s="68"/>
      <c r="R20" s="69"/>
      <c r="S20" s="69"/>
      <c r="T20" s="69"/>
      <c r="U20" s="69"/>
      <c r="V20" s="69"/>
      <c r="W20" s="69"/>
      <c r="X20" s="69"/>
      <c r="AH20" s="152"/>
      <c r="AI20" s="159"/>
      <c r="AJ20" s="154" t="s">
        <v>873</v>
      </c>
      <c r="AK20" s="158"/>
      <c r="AL20" s="155"/>
      <c r="AM20" s="150"/>
      <c r="AN20" s="150"/>
      <c r="AO20" s="151"/>
      <c r="AP20" s="146"/>
      <c r="AQ20" s="146"/>
      <c r="AR20" s="146"/>
      <c r="AS20" s="245"/>
      <c r="AT20" s="245"/>
      <c r="AU20" s="146"/>
      <c r="AX20" s="152"/>
      <c r="AY20" s="159"/>
      <c r="AZ20" s="154" t="s">
        <v>873</v>
      </c>
      <c r="BA20" s="158"/>
      <c r="BB20" s="155"/>
      <c r="BC20" s="189"/>
      <c r="BD20" s="189"/>
      <c r="BE20" s="190"/>
      <c r="BF20" s="187">
        <f>+AU20</f>
        <v>0</v>
      </c>
    </row>
    <row r="21" spans="1:60">
      <c r="B21" s="30"/>
      <c r="C21" s="30" t="s">
        <v>658</v>
      </c>
      <c r="D21" s="30"/>
      <c r="E21" s="30"/>
      <c r="F21" s="33" t="s">
        <v>798</v>
      </c>
      <c r="G21" s="33" t="s">
        <v>59</v>
      </c>
      <c r="H21" s="33"/>
      <c r="I21" s="67">
        <v>1</v>
      </c>
      <c r="J21" s="33"/>
      <c r="K21" s="68" t="e">
        <f>+GETPIVOTDATA("PPEF 2010 ",#REF!,"No. Ramo",6,"IPP","F","PP",17,"UR","HAS")</f>
        <v>#REF!</v>
      </c>
      <c r="L21" s="68" t="e">
        <f>+GETPIVOTDATA("Ampliación Neta DIP ",#REF!,"No. Ramo",6,"IPP","F","PP",17,"UR","HAS")</f>
        <v>#REF!</v>
      </c>
      <c r="M21" s="68" t="e">
        <f>+GETPIVOTDATA("Recorte SHCP ",#REF!,"No. Ramo",6,"IPP","F","PP",17,"UR","HAS")</f>
        <v>#REF!</v>
      </c>
      <c r="N21" s="68" t="e">
        <f>+GETPIVOTDATA("PEF 2010 ",#REF!,"No. Ramo",6,"IPP","F","PP",17,"UR","HAS")</f>
        <v>#REF!</v>
      </c>
      <c r="O21" s="68" t="e">
        <f>+GETPIVOTDATA("PPEF 2011 ",#REF!,"No. Ramo",6,"IPP","F","PP",17,"UR","HAS")</f>
        <v>#REF!</v>
      </c>
      <c r="P21" s="68" t="e">
        <f>+GETPIVOTDATA("Reducción ",#REF!,"No. Ramo",6,"IPP","F","PP",17,"UR","HAS")</f>
        <v>#REF!</v>
      </c>
      <c r="Q21" s="68" t="e">
        <f>+GETPIVOTDATA("Ampliación ",#REF!,"No. Ramo",6,"IPP","F","PP",17,"UR","HAS")</f>
        <v>#REF!</v>
      </c>
      <c r="R21" s="69" t="e">
        <f t="shared" ref="R21:R26" si="5">O21+Q21-P21</f>
        <v>#REF!</v>
      </c>
      <c r="S21" s="69"/>
      <c r="T21" s="69"/>
      <c r="U21" s="69" t="e">
        <f>+$I21*O21</f>
        <v>#REF!</v>
      </c>
      <c r="V21" s="69" t="e">
        <f>+$I21*P21</f>
        <v>#REF!</v>
      </c>
      <c r="W21" s="69" t="e">
        <f>+$I21*Q21</f>
        <v>#REF!</v>
      </c>
      <c r="X21" s="69" t="e">
        <f>+$I21*R21</f>
        <v>#REF!</v>
      </c>
      <c r="AH21" s="152"/>
      <c r="AI21" s="157" t="s">
        <v>658</v>
      </c>
      <c r="AJ21" s="158"/>
      <c r="AK21" s="158"/>
      <c r="AL21" s="150"/>
      <c r="AM21" s="150"/>
      <c r="AN21" s="150"/>
      <c r="AO21" s="151"/>
      <c r="AP21" s="146"/>
      <c r="AQ21" s="146"/>
      <c r="AR21" s="146"/>
      <c r="AS21" s="245"/>
      <c r="AT21" s="245"/>
      <c r="AU21" s="146"/>
      <c r="AX21" s="152"/>
      <c r="AY21" s="157" t="s">
        <v>658</v>
      </c>
      <c r="AZ21" s="158"/>
      <c r="BA21" s="158"/>
      <c r="BB21" s="189"/>
      <c r="BC21" s="189"/>
      <c r="BD21" s="189"/>
      <c r="BE21" s="190"/>
      <c r="BF21" s="187">
        <f>+AU21</f>
        <v>0</v>
      </c>
    </row>
    <row r="22" spans="1:60">
      <c r="B22" s="26"/>
      <c r="C22" s="27" t="s">
        <v>659</v>
      </c>
      <c r="D22" s="27"/>
      <c r="E22" s="27"/>
      <c r="F22" s="61"/>
      <c r="G22" s="61"/>
      <c r="H22" s="61"/>
      <c r="I22" s="62"/>
      <c r="J22" s="61"/>
      <c r="K22" s="71" t="e">
        <f t="shared" ref="K22:Q22" si="6">+K23+K138+K147+K150</f>
        <v>#REF!</v>
      </c>
      <c r="L22" s="71" t="e">
        <f t="shared" si="6"/>
        <v>#REF!</v>
      </c>
      <c r="M22" s="71" t="e">
        <f t="shared" si="6"/>
        <v>#REF!</v>
      </c>
      <c r="N22" s="71" t="e">
        <f t="shared" si="6"/>
        <v>#REF!</v>
      </c>
      <c r="O22" s="63" t="e">
        <f t="shared" si="6"/>
        <v>#REF!</v>
      </c>
      <c r="P22" s="71" t="e">
        <f t="shared" si="6"/>
        <v>#REF!</v>
      </c>
      <c r="Q22" s="71" t="e">
        <f t="shared" si="6"/>
        <v>#REF!</v>
      </c>
      <c r="R22" s="63" t="e">
        <f t="shared" si="5"/>
        <v>#REF!</v>
      </c>
      <c r="S22" s="63"/>
      <c r="T22" s="63"/>
      <c r="U22" s="63" t="e">
        <f>+U23+U138+U147+U150</f>
        <v>#REF!</v>
      </c>
      <c r="V22" s="63" t="e">
        <f>+V23+V138+V147+V150</f>
        <v>#REF!</v>
      </c>
      <c r="W22" s="63" t="e">
        <f>+W23+W138+W147+W150</f>
        <v>#REF!</v>
      </c>
      <c r="X22" s="63" t="e">
        <f>+X23+X138+X147+X150</f>
        <v>#REF!</v>
      </c>
      <c r="Y22" s="72"/>
      <c r="AH22" s="147"/>
      <c r="AI22" s="148" t="s">
        <v>659</v>
      </c>
      <c r="AJ22" s="160"/>
      <c r="AK22" s="160"/>
      <c r="AL22" s="149"/>
      <c r="AM22" s="150"/>
      <c r="AN22" s="150"/>
      <c r="AO22" s="151"/>
      <c r="AP22" s="146">
        <f>AP23+AP138+AP147+AP150</f>
        <v>0</v>
      </c>
      <c r="AQ22" s="146">
        <f>AQ23+AQ138+AQ147+AQ150</f>
        <v>0</v>
      </c>
      <c r="AR22" s="146">
        <f>AR23+AR138+AR147+AR150</f>
        <v>0</v>
      </c>
      <c r="AS22" s="245"/>
      <c r="AT22" s="245"/>
      <c r="AU22" s="146">
        <f>AU23+AU138+AU147+AU150</f>
        <v>0</v>
      </c>
      <c r="AX22" s="147"/>
      <c r="AY22" s="148" t="s">
        <v>659</v>
      </c>
      <c r="AZ22" s="160"/>
      <c r="BA22" s="160"/>
      <c r="BB22" s="149"/>
      <c r="BC22" s="189"/>
      <c r="BD22" s="189"/>
      <c r="BE22" s="190"/>
      <c r="BF22" s="187">
        <f>BF23+BF138+BF147+BF150</f>
        <v>0</v>
      </c>
    </row>
    <row r="23" spans="1:60" s="122" customFormat="1">
      <c r="A23"/>
      <c r="B23" s="28" t="s">
        <v>168</v>
      </c>
      <c r="C23" s="29" t="s">
        <v>660</v>
      </c>
      <c r="D23" s="29"/>
      <c r="E23" s="29"/>
      <c r="F23" s="28"/>
      <c r="G23" s="28"/>
      <c r="H23" s="28"/>
      <c r="I23" s="65"/>
      <c r="J23" s="28"/>
      <c r="K23" s="66" t="e">
        <f t="shared" ref="K23:Q23" si="7">+K24+K99</f>
        <v>#REF!</v>
      </c>
      <c r="L23" s="66" t="e">
        <f t="shared" si="7"/>
        <v>#REF!</v>
      </c>
      <c r="M23" s="66" t="e">
        <f t="shared" si="7"/>
        <v>#REF!</v>
      </c>
      <c r="N23" s="66" t="e">
        <f t="shared" si="7"/>
        <v>#REF!</v>
      </c>
      <c r="O23" s="66" t="e">
        <f t="shared" si="7"/>
        <v>#REF!</v>
      </c>
      <c r="P23" s="66" t="e">
        <f t="shared" si="7"/>
        <v>#REF!</v>
      </c>
      <c r="Q23" s="66" t="e">
        <f t="shared" si="7"/>
        <v>#REF!</v>
      </c>
      <c r="R23" s="66" t="e">
        <f t="shared" si="5"/>
        <v>#REF!</v>
      </c>
      <c r="S23" s="66"/>
      <c r="T23" s="66"/>
      <c r="U23" s="66" t="e">
        <f>+U24+U99</f>
        <v>#REF!</v>
      </c>
      <c r="V23" s="66" t="e">
        <f>+V24+V99</f>
        <v>#REF!</v>
      </c>
      <c r="W23" s="66" t="e">
        <f>+W24+W99</f>
        <v>#REF!</v>
      </c>
      <c r="X23" s="66" t="e">
        <f>+X24+X99</f>
        <v>#REF!</v>
      </c>
      <c r="Y23" s="73"/>
      <c r="Z23"/>
      <c r="AA23"/>
      <c r="AB23"/>
      <c r="AC23"/>
      <c r="AD23"/>
      <c r="AE23"/>
      <c r="AF23"/>
      <c r="AG23"/>
      <c r="AH23" s="147" t="s">
        <v>168</v>
      </c>
      <c r="AI23" s="148" t="s">
        <v>660</v>
      </c>
      <c r="AJ23" s="160"/>
      <c r="AK23" s="160"/>
      <c r="AL23" s="149"/>
      <c r="AM23" s="150"/>
      <c r="AN23" s="150"/>
      <c r="AO23" s="151"/>
      <c r="AP23" s="146">
        <f>AP24+AP98</f>
        <v>0</v>
      </c>
      <c r="AQ23" s="146">
        <f>AQ24+AQ98</f>
        <v>0</v>
      </c>
      <c r="AR23" s="146">
        <f>AR24+AR98</f>
        <v>0</v>
      </c>
      <c r="AS23" s="245"/>
      <c r="AT23" s="245"/>
      <c r="AU23" s="146">
        <f>AU24+AU98</f>
        <v>0</v>
      </c>
      <c r="AV23" s="196"/>
      <c r="AW23" s="196"/>
      <c r="AX23" s="147" t="s">
        <v>168</v>
      </c>
      <c r="AY23" s="148" t="s">
        <v>660</v>
      </c>
      <c r="AZ23" s="160"/>
      <c r="BA23" s="160"/>
      <c r="BB23" s="149"/>
      <c r="BC23" s="189"/>
      <c r="BD23" s="189"/>
      <c r="BE23" s="190"/>
      <c r="BF23" s="187">
        <f>BF24+BF98</f>
        <v>0</v>
      </c>
      <c r="BG23" s="196"/>
      <c r="BH23" s="196"/>
    </row>
    <row r="24" spans="1:60" s="122" customFormat="1">
      <c r="A24" s="122">
        <v>1</v>
      </c>
      <c r="B24" s="29"/>
      <c r="C24" s="29" t="s">
        <v>661</v>
      </c>
      <c r="D24" s="29"/>
      <c r="E24" s="29"/>
      <c r="F24" s="28"/>
      <c r="G24" s="28"/>
      <c r="H24" s="28"/>
      <c r="I24" s="65"/>
      <c r="J24" s="28"/>
      <c r="K24" s="66" t="e">
        <f t="shared" ref="K24:Q24" si="8">+K25+K77+K91+K96</f>
        <v>#REF!</v>
      </c>
      <c r="L24" s="66" t="e">
        <f t="shared" si="8"/>
        <v>#REF!</v>
      </c>
      <c r="M24" s="66" t="e">
        <f t="shared" si="8"/>
        <v>#REF!</v>
      </c>
      <c r="N24" s="66" t="e">
        <f t="shared" si="8"/>
        <v>#REF!</v>
      </c>
      <c r="O24" s="66" t="e">
        <f t="shared" si="8"/>
        <v>#REF!</v>
      </c>
      <c r="P24" s="66" t="e">
        <f t="shared" si="8"/>
        <v>#REF!</v>
      </c>
      <c r="Q24" s="66" t="e">
        <f t="shared" si="8"/>
        <v>#REF!</v>
      </c>
      <c r="R24" s="66" t="e">
        <f t="shared" si="5"/>
        <v>#REF!</v>
      </c>
      <c r="S24" s="66"/>
      <c r="T24" s="66"/>
      <c r="U24" s="66" t="e">
        <f>+U25+U77+U91+U96</f>
        <v>#REF!</v>
      </c>
      <c r="V24" s="66" t="e">
        <f>+V25+V77+V91+V96</f>
        <v>#REF!</v>
      </c>
      <c r="W24" s="66" t="e">
        <f>+W25+W77+W91+W96</f>
        <v>#REF!</v>
      </c>
      <c r="X24" s="66" t="e">
        <f>+X25+X77+X91+X96</f>
        <v>#REF!</v>
      </c>
      <c r="Y24" s="121"/>
      <c r="AH24" s="152"/>
      <c r="AI24" s="157" t="s">
        <v>661</v>
      </c>
      <c r="AJ24" s="158"/>
      <c r="AK24" s="158"/>
      <c r="AL24" s="155"/>
      <c r="AM24" s="150"/>
      <c r="AN24" s="150"/>
      <c r="AO24" s="151"/>
      <c r="AP24" s="146">
        <f>AP25+AP77+AP90+AP95</f>
        <v>0</v>
      </c>
      <c r="AQ24" s="146">
        <f>AQ25+AQ77+AQ90+AQ95</f>
        <v>0</v>
      </c>
      <c r="AR24" s="146">
        <f>AR25+AR77+AR90+AR95</f>
        <v>0</v>
      </c>
      <c r="AS24" s="245"/>
      <c r="AT24" s="245"/>
      <c r="AU24" s="146">
        <f>AU25+AU77+AU90+AU95</f>
        <v>0</v>
      </c>
      <c r="AV24" s="196"/>
      <c r="AW24" s="196"/>
      <c r="AX24" s="152"/>
      <c r="AY24" s="157" t="s">
        <v>661</v>
      </c>
      <c r="AZ24" s="158"/>
      <c r="BA24" s="158"/>
      <c r="BB24" s="155"/>
      <c r="BC24" s="189"/>
      <c r="BD24" s="189"/>
      <c r="BE24" s="190"/>
      <c r="BF24" s="187">
        <f>BF25+BF77+BF90+BF95</f>
        <v>0</v>
      </c>
      <c r="BG24" s="196"/>
      <c r="BH24" s="196"/>
    </row>
    <row r="25" spans="1:60">
      <c r="A25" s="122">
        <v>1</v>
      </c>
      <c r="B25" s="29"/>
      <c r="C25" s="29"/>
      <c r="D25" s="29" t="s">
        <v>662</v>
      </c>
      <c r="E25" s="29"/>
      <c r="F25" s="28"/>
      <c r="G25" s="28"/>
      <c r="H25" s="28"/>
      <c r="I25" s="65"/>
      <c r="J25" s="28"/>
      <c r="K25" s="66" t="e">
        <f t="shared" ref="K25:Q25" si="9">+K26+K76</f>
        <v>#REF!</v>
      </c>
      <c r="L25" s="66" t="e">
        <f t="shared" si="9"/>
        <v>#REF!</v>
      </c>
      <c r="M25" s="66" t="e">
        <f t="shared" si="9"/>
        <v>#REF!</v>
      </c>
      <c r="N25" s="66" t="e">
        <f t="shared" si="9"/>
        <v>#REF!</v>
      </c>
      <c r="O25" s="66" t="e">
        <f t="shared" si="9"/>
        <v>#REF!</v>
      </c>
      <c r="P25" s="66" t="e">
        <f t="shared" si="9"/>
        <v>#REF!</v>
      </c>
      <c r="Q25" s="66" t="e">
        <f t="shared" si="9"/>
        <v>#REF!</v>
      </c>
      <c r="R25" s="66" t="e">
        <f t="shared" si="5"/>
        <v>#REF!</v>
      </c>
      <c r="S25" s="66"/>
      <c r="T25" s="66"/>
      <c r="U25" s="66" t="e">
        <f>+U26+U76</f>
        <v>#REF!</v>
      </c>
      <c r="V25" s="66" t="e">
        <f>+V26+V76</f>
        <v>#REF!</v>
      </c>
      <c r="W25" s="66" t="e">
        <f>+W26+W76</f>
        <v>#REF!</v>
      </c>
      <c r="X25" s="66" t="e">
        <f>+X26+X76</f>
        <v>#REF!</v>
      </c>
      <c r="Y25" s="121"/>
      <c r="Z25" s="122"/>
      <c r="AA25" s="122"/>
      <c r="AB25" s="122"/>
      <c r="AC25" s="122"/>
      <c r="AD25" s="122"/>
      <c r="AE25" s="122"/>
      <c r="AF25" s="122"/>
      <c r="AG25" s="122"/>
      <c r="AH25" s="152"/>
      <c r="AI25" s="157"/>
      <c r="AJ25" s="158" t="s">
        <v>662</v>
      </c>
      <c r="AK25" s="158"/>
      <c r="AL25" s="155"/>
      <c r="AM25" s="150"/>
      <c r="AN25" s="150"/>
      <c r="AO25" s="151"/>
      <c r="AP25" s="146">
        <f>AP26+AP76</f>
        <v>0</v>
      </c>
      <c r="AQ25" s="146">
        <f>AQ26+AQ76</f>
        <v>0</v>
      </c>
      <c r="AR25" s="146">
        <f>AR26+AR76</f>
        <v>0</v>
      </c>
      <c r="AS25" s="245"/>
      <c r="AT25" s="245"/>
      <c r="AU25" s="146">
        <f>AU26+AU76</f>
        <v>0</v>
      </c>
      <c r="AX25" s="152"/>
      <c r="AY25" s="157"/>
      <c r="AZ25" s="158" t="s">
        <v>662</v>
      </c>
      <c r="BA25" s="158"/>
      <c r="BB25" s="155"/>
      <c r="BC25" s="189"/>
      <c r="BD25" s="189"/>
      <c r="BE25" s="190"/>
      <c r="BF25" s="187">
        <f>BF26+BF76</f>
        <v>0</v>
      </c>
    </row>
    <row r="26" spans="1:60">
      <c r="A26" s="122">
        <v>1</v>
      </c>
      <c r="B26" s="30"/>
      <c r="C26" s="30"/>
      <c r="D26" s="100" t="s">
        <v>874</v>
      </c>
      <c r="E26" s="30"/>
      <c r="F26" s="33" t="s">
        <v>799</v>
      </c>
      <c r="G26" s="33">
        <v>311</v>
      </c>
      <c r="H26" s="33"/>
      <c r="I26" s="67">
        <v>1</v>
      </c>
      <c r="J26" s="74">
        <v>0.54469106178764248</v>
      </c>
      <c r="K26" s="75" t="e">
        <f>+$J26*GETPIVOTDATA("PPEF 2010 ",#REF!,"No. Ramo",8,"IPP","S","PP",230,"UR",311)</f>
        <v>#REF!</v>
      </c>
      <c r="L26" s="75" t="e">
        <f>+$J26*GETPIVOTDATA("Ampliación Neta DIP ",#REF!,"No. Ramo",8,"IPP","S","PP",230,"UR",311)</f>
        <v>#REF!</v>
      </c>
      <c r="M26" s="75" t="e">
        <f>+$J26*GETPIVOTDATA("Recorte SHCP ",#REF!,"No. Ramo",8,"IPP","S","PP",230,"UR",311)</f>
        <v>#REF!</v>
      </c>
      <c r="N26" s="75" t="e">
        <f>+$J26*GETPIVOTDATA("PEF 2010 ",#REF!,"No. Ramo",8,"IPP","S","PP",230,"UR",311)</f>
        <v>#REF!</v>
      </c>
      <c r="O26" s="75" t="e">
        <f>+$J26*GETPIVOTDATA("PPEF 2011 ",#REF!,"No. Ramo",8,"IPP","S","PP",230,"UR",311)</f>
        <v>#REF!</v>
      </c>
      <c r="P26" s="75" t="e">
        <f>+$J26*GETPIVOTDATA("Reducción ",#REF!,"No. Ramo",8,"IPP","S","PP",230,"UR",311)</f>
        <v>#REF!</v>
      </c>
      <c r="Q26" s="75" t="e">
        <f>+$J26*GETPIVOTDATA("Ampliación ",#REF!,"No. Ramo",8,"IPP","S","PP",230,"UR",311)</f>
        <v>#REF!</v>
      </c>
      <c r="R26" s="69" t="e">
        <f t="shared" si="5"/>
        <v>#REF!</v>
      </c>
      <c r="S26" s="69"/>
      <c r="T26" s="69"/>
      <c r="U26" s="69" t="e">
        <f>+$I26*O26</f>
        <v>#REF!</v>
      </c>
      <c r="V26" s="69" t="e">
        <f>+$I26*P26</f>
        <v>#REF!</v>
      </c>
      <c r="W26" s="69" t="e">
        <f>+$I26*Q26</f>
        <v>#REF!</v>
      </c>
      <c r="X26" s="69" t="e">
        <f>+$I26*R26</f>
        <v>#REF!</v>
      </c>
      <c r="Y26" s="73"/>
      <c r="AH26" s="152"/>
      <c r="AI26" s="157"/>
      <c r="AJ26" s="150"/>
      <c r="AK26" s="154" t="s">
        <v>874</v>
      </c>
      <c r="AL26" s="158"/>
      <c r="AM26" s="150"/>
      <c r="AN26" s="150"/>
      <c r="AO26" s="151"/>
      <c r="AP26" s="146">
        <f>AP27+AP65+AP73</f>
        <v>0</v>
      </c>
      <c r="AQ26" s="146">
        <f>AQ27+AQ65+AQ73</f>
        <v>0</v>
      </c>
      <c r="AR26" s="146">
        <f>AR27+AR65+AR73</f>
        <v>0</v>
      </c>
      <c r="AS26" s="245"/>
      <c r="AT26" s="245"/>
      <c r="AU26" s="146">
        <f>AU27+AU65+AU73</f>
        <v>0</v>
      </c>
      <c r="AX26" s="152"/>
      <c r="AY26" s="157"/>
      <c r="AZ26" s="189"/>
      <c r="BA26" s="154" t="s">
        <v>874</v>
      </c>
      <c r="BB26" s="158"/>
      <c r="BC26" s="189"/>
      <c r="BD26" s="189"/>
      <c r="BE26" s="190"/>
      <c r="BF26" s="187">
        <f>BF27+BF65+BF73</f>
        <v>0</v>
      </c>
    </row>
    <row r="27" spans="1:60">
      <c r="A27" s="122">
        <v>1</v>
      </c>
      <c r="B27" s="30"/>
      <c r="C27" s="30"/>
      <c r="D27" s="100"/>
      <c r="E27" s="30" t="s">
        <v>875</v>
      </c>
      <c r="F27" s="33"/>
      <c r="G27" s="33"/>
      <c r="H27" s="33"/>
      <c r="I27" s="67"/>
      <c r="J27" s="74"/>
      <c r="K27" s="75"/>
      <c r="L27" s="75"/>
      <c r="M27" s="75"/>
      <c r="N27" s="75"/>
      <c r="O27" s="75"/>
      <c r="P27" s="75"/>
      <c r="Q27" s="75"/>
      <c r="R27" s="69"/>
      <c r="S27" s="69"/>
      <c r="T27" s="69"/>
      <c r="U27" s="69"/>
      <c r="V27" s="69"/>
      <c r="W27" s="69"/>
      <c r="X27" s="69"/>
      <c r="Y27" s="73"/>
      <c r="AH27" s="152"/>
      <c r="AI27" s="157"/>
      <c r="AJ27" s="161"/>
      <c r="AK27" s="150"/>
      <c r="AL27" s="158" t="s">
        <v>875</v>
      </c>
      <c r="AM27" s="150"/>
      <c r="AN27" s="150"/>
      <c r="AO27" s="151"/>
      <c r="AP27" s="146">
        <f>AP28+AP35+AP41+AP51+AP57+AP60</f>
        <v>0</v>
      </c>
      <c r="AQ27" s="146">
        <f>AQ28+AQ35+AQ41+AQ51+AQ57+AQ60</f>
        <v>0</v>
      </c>
      <c r="AR27" s="146">
        <f>AR28+AR35+AR41+AR51+AR57+AR60</f>
        <v>0</v>
      </c>
      <c r="AS27" s="245"/>
      <c r="AT27" s="245"/>
      <c r="AU27" s="146">
        <f>AU28+AU35+AU41+AU51+AU57+AU60</f>
        <v>0</v>
      </c>
      <c r="AX27" s="152"/>
      <c r="AY27" s="157"/>
      <c r="AZ27" s="161"/>
      <c r="BA27" s="189"/>
      <c r="BB27" s="158" t="s">
        <v>875</v>
      </c>
      <c r="BC27" s="189"/>
      <c r="BD27" s="189"/>
      <c r="BE27" s="190"/>
      <c r="BF27" s="187">
        <f>BF28+BF35+BF41+BF51+BF57+BF60</f>
        <v>0</v>
      </c>
    </row>
    <row r="28" spans="1:60">
      <c r="A28" s="122">
        <v>1</v>
      </c>
      <c r="B28" s="30"/>
      <c r="C28" s="30"/>
      <c r="D28" s="100"/>
      <c r="E28" s="100" t="s">
        <v>876</v>
      </c>
      <c r="F28" s="33"/>
      <c r="G28" s="33"/>
      <c r="H28" s="33"/>
      <c r="I28" s="67"/>
      <c r="J28" s="74"/>
      <c r="K28" s="75"/>
      <c r="L28" s="75"/>
      <c r="M28" s="75"/>
      <c r="N28" s="75"/>
      <c r="O28" s="75"/>
      <c r="P28" s="75"/>
      <c r="Q28" s="75"/>
      <c r="R28" s="69"/>
      <c r="S28" s="69"/>
      <c r="T28" s="69"/>
      <c r="U28" s="69"/>
      <c r="V28" s="69"/>
      <c r="W28" s="69"/>
      <c r="X28" s="69"/>
      <c r="Y28" s="73"/>
      <c r="AH28" s="152"/>
      <c r="AI28" s="157"/>
      <c r="AJ28" s="161"/>
      <c r="AK28" s="150"/>
      <c r="AL28" s="150"/>
      <c r="AM28" s="154" t="s">
        <v>876</v>
      </c>
      <c r="AN28" s="150"/>
      <c r="AO28" s="151"/>
      <c r="AP28" s="146">
        <f>SUM(AP29:AP34)</f>
        <v>0</v>
      </c>
      <c r="AQ28" s="146">
        <f>SUM(AQ29:AQ34)</f>
        <v>0</v>
      </c>
      <c r="AR28" s="146">
        <f>SUM(AR29:AR34)</f>
        <v>0</v>
      </c>
      <c r="AS28" s="245"/>
      <c r="AT28" s="245"/>
      <c r="AU28" s="146">
        <f>SUM(AU29:AU34)</f>
        <v>0</v>
      </c>
      <c r="AX28" s="152"/>
      <c r="AY28" s="157"/>
      <c r="AZ28" s="161"/>
      <c r="BA28" s="189"/>
      <c r="BB28" s="189"/>
      <c r="BC28" s="154" t="s">
        <v>876</v>
      </c>
      <c r="BD28" s="189"/>
      <c r="BE28" s="190"/>
      <c r="BF28" s="187">
        <f>SUM(BF29:BF34)</f>
        <v>0</v>
      </c>
    </row>
    <row r="29" spans="1:60">
      <c r="A29" s="122">
        <v>1</v>
      </c>
      <c r="B29" s="30"/>
      <c r="C29" s="30"/>
      <c r="D29" s="100"/>
      <c r="E29" s="102" t="s">
        <v>877</v>
      </c>
      <c r="F29" s="33"/>
      <c r="G29" s="33"/>
      <c r="H29" s="33"/>
      <c r="I29" s="67"/>
      <c r="J29" s="74"/>
      <c r="K29" s="75"/>
      <c r="L29" s="75"/>
      <c r="M29" s="75"/>
      <c r="N29" s="75"/>
      <c r="O29" s="75"/>
      <c r="P29" s="75"/>
      <c r="Q29" s="75"/>
      <c r="R29" s="69"/>
      <c r="S29" s="69"/>
      <c r="T29" s="69"/>
      <c r="U29" s="69"/>
      <c r="V29" s="69"/>
      <c r="W29" s="69"/>
      <c r="X29" s="69"/>
      <c r="Y29" s="73"/>
      <c r="AH29" s="152"/>
      <c r="AI29" s="157"/>
      <c r="AJ29" s="161"/>
      <c r="AK29" s="150"/>
      <c r="AL29" s="150"/>
      <c r="AM29" s="150"/>
      <c r="AN29" s="154" t="s">
        <v>877</v>
      </c>
      <c r="AO29" s="151"/>
      <c r="AP29" s="146"/>
      <c r="AQ29" s="146"/>
      <c r="AR29" s="146"/>
      <c r="AS29" s="245"/>
      <c r="AT29" s="245"/>
      <c r="AU29" s="146"/>
      <c r="AX29" s="152"/>
      <c r="AY29" s="157"/>
      <c r="AZ29" s="161"/>
      <c r="BA29" s="189"/>
      <c r="BB29" s="189"/>
      <c r="BC29" s="189"/>
      <c r="BD29" s="154" t="s">
        <v>877</v>
      </c>
      <c r="BE29" s="190"/>
      <c r="BF29" s="187">
        <f t="shared" ref="BF29:BF34" si="10">+AU29</f>
        <v>0</v>
      </c>
    </row>
    <row r="30" spans="1:60">
      <c r="A30" s="122">
        <v>1</v>
      </c>
      <c r="B30" s="30"/>
      <c r="C30" s="30"/>
      <c r="D30" s="100"/>
      <c r="E30" s="102" t="s">
        <v>878</v>
      </c>
      <c r="F30" s="33"/>
      <c r="G30" s="33"/>
      <c r="H30" s="33"/>
      <c r="I30" s="67"/>
      <c r="J30" s="74"/>
      <c r="K30" s="75"/>
      <c r="L30" s="75"/>
      <c r="M30" s="75"/>
      <c r="N30" s="75"/>
      <c r="O30" s="75"/>
      <c r="P30" s="75"/>
      <c r="Q30" s="75"/>
      <c r="R30" s="69"/>
      <c r="S30" s="69"/>
      <c r="T30" s="69"/>
      <c r="U30" s="69"/>
      <c r="V30" s="69"/>
      <c r="W30" s="69"/>
      <c r="X30" s="69"/>
      <c r="Y30" s="73"/>
      <c r="AH30" s="152"/>
      <c r="AI30" s="157"/>
      <c r="AJ30" s="161"/>
      <c r="AK30" s="150"/>
      <c r="AL30" s="150"/>
      <c r="AM30" s="150"/>
      <c r="AN30" s="154" t="s">
        <v>878</v>
      </c>
      <c r="AO30" s="151"/>
      <c r="AP30" s="146"/>
      <c r="AQ30" s="146"/>
      <c r="AR30" s="146"/>
      <c r="AS30" s="245"/>
      <c r="AT30" s="245"/>
      <c r="AU30" s="146"/>
      <c r="AX30" s="152"/>
      <c r="AY30" s="157"/>
      <c r="AZ30" s="161"/>
      <c r="BA30" s="189"/>
      <c r="BB30" s="189"/>
      <c r="BC30" s="189"/>
      <c r="BD30" s="154" t="s">
        <v>878</v>
      </c>
      <c r="BE30" s="190"/>
      <c r="BF30" s="187">
        <f t="shared" si="10"/>
        <v>0</v>
      </c>
    </row>
    <row r="31" spans="1:60">
      <c r="A31" s="122">
        <v>1</v>
      </c>
      <c r="B31" s="30"/>
      <c r="C31" s="30"/>
      <c r="D31" s="100"/>
      <c r="E31" s="102" t="s">
        <v>879</v>
      </c>
      <c r="F31" s="33"/>
      <c r="G31" s="33"/>
      <c r="H31" s="33"/>
      <c r="I31" s="67"/>
      <c r="J31" s="74"/>
      <c r="K31" s="75"/>
      <c r="L31" s="75"/>
      <c r="M31" s="75"/>
      <c r="N31" s="75"/>
      <c r="O31" s="75"/>
      <c r="P31" s="75"/>
      <c r="Q31" s="75"/>
      <c r="R31" s="69"/>
      <c r="S31" s="69"/>
      <c r="T31" s="69"/>
      <c r="U31" s="69"/>
      <c r="V31" s="69"/>
      <c r="W31" s="69"/>
      <c r="X31" s="69"/>
      <c r="Y31" s="73"/>
      <c r="AH31" s="152"/>
      <c r="AI31" s="157"/>
      <c r="AJ31" s="161"/>
      <c r="AK31" s="150"/>
      <c r="AL31" s="150"/>
      <c r="AM31" s="150"/>
      <c r="AN31" s="154" t="s">
        <v>879</v>
      </c>
      <c r="AO31" s="151"/>
      <c r="AP31" s="146"/>
      <c r="AQ31" s="146"/>
      <c r="AR31" s="146"/>
      <c r="AS31" s="245"/>
      <c r="AT31" s="245"/>
      <c r="AU31" s="146"/>
      <c r="AX31" s="152"/>
      <c r="AY31" s="157"/>
      <c r="AZ31" s="161"/>
      <c r="BA31" s="189"/>
      <c r="BB31" s="189"/>
      <c r="BC31" s="189"/>
      <c r="BD31" s="154" t="s">
        <v>879</v>
      </c>
      <c r="BE31" s="190"/>
      <c r="BF31" s="187">
        <f t="shared" si="10"/>
        <v>0</v>
      </c>
    </row>
    <row r="32" spans="1:60">
      <c r="A32" s="122">
        <v>1</v>
      </c>
      <c r="B32" s="30"/>
      <c r="C32" s="30"/>
      <c r="D32" s="100"/>
      <c r="E32" s="102" t="s">
        <v>880</v>
      </c>
      <c r="F32" s="33"/>
      <c r="G32" s="33"/>
      <c r="H32" s="33"/>
      <c r="I32" s="67"/>
      <c r="J32" s="74"/>
      <c r="K32" s="75"/>
      <c r="L32" s="75"/>
      <c r="M32" s="75"/>
      <c r="N32" s="75"/>
      <c r="O32" s="75"/>
      <c r="P32" s="75"/>
      <c r="Q32" s="75"/>
      <c r="R32" s="69"/>
      <c r="S32" s="69"/>
      <c r="T32" s="69"/>
      <c r="U32" s="69"/>
      <c r="V32" s="69"/>
      <c r="W32" s="69"/>
      <c r="X32" s="69"/>
      <c r="Y32" s="73"/>
      <c r="AH32" s="152"/>
      <c r="AI32" s="157"/>
      <c r="AJ32" s="161"/>
      <c r="AK32" s="150"/>
      <c r="AL32" s="150"/>
      <c r="AM32" s="150"/>
      <c r="AN32" s="154" t="s">
        <v>880</v>
      </c>
      <c r="AO32" s="151"/>
      <c r="AP32" s="146"/>
      <c r="AQ32" s="146"/>
      <c r="AR32" s="146"/>
      <c r="AS32" s="245"/>
      <c r="AT32" s="245"/>
      <c r="AU32" s="146"/>
      <c r="AX32" s="152"/>
      <c r="AY32" s="157"/>
      <c r="AZ32" s="161"/>
      <c r="BA32" s="189"/>
      <c r="BB32" s="189"/>
      <c r="BC32" s="189"/>
      <c r="BD32" s="154" t="s">
        <v>880</v>
      </c>
      <c r="BE32" s="190"/>
      <c r="BF32" s="187">
        <f t="shared" si="10"/>
        <v>0</v>
      </c>
    </row>
    <row r="33" spans="1:58">
      <c r="A33" s="122">
        <v>1</v>
      </c>
      <c r="B33" s="30"/>
      <c r="C33" s="30"/>
      <c r="D33" s="100"/>
      <c r="E33" s="102" t="s">
        <v>881</v>
      </c>
      <c r="F33" s="33"/>
      <c r="G33" s="33"/>
      <c r="H33" s="33"/>
      <c r="I33" s="67"/>
      <c r="J33" s="74"/>
      <c r="K33" s="75"/>
      <c r="L33" s="75"/>
      <c r="M33" s="75"/>
      <c r="N33" s="75"/>
      <c r="O33" s="75"/>
      <c r="P33" s="75"/>
      <c r="Q33" s="75"/>
      <c r="R33" s="69"/>
      <c r="S33" s="69"/>
      <c r="T33" s="69"/>
      <c r="U33" s="69"/>
      <c r="V33" s="69"/>
      <c r="W33" s="69"/>
      <c r="X33" s="69"/>
      <c r="Y33" s="73"/>
      <c r="AH33" s="152"/>
      <c r="AI33" s="157"/>
      <c r="AJ33" s="161"/>
      <c r="AK33" s="150"/>
      <c r="AL33" s="150"/>
      <c r="AM33" s="150"/>
      <c r="AN33" s="154" t="s">
        <v>881</v>
      </c>
      <c r="AO33" s="151"/>
      <c r="AP33" s="146"/>
      <c r="AQ33" s="146"/>
      <c r="AR33" s="146"/>
      <c r="AS33" s="245"/>
      <c r="AT33" s="245"/>
      <c r="AU33" s="146"/>
      <c r="AX33" s="152"/>
      <c r="AY33" s="157"/>
      <c r="AZ33" s="161"/>
      <c r="BA33" s="189"/>
      <c r="BB33" s="189"/>
      <c r="BC33" s="189"/>
      <c r="BD33" s="154" t="s">
        <v>881</v>
      </c>
      <c r="BE33" s="190"/>
      <c r="BF33" s="187">
        <f t="shared" si="10"/>
        <v>0</v>
      </c>
    </row>
    <row r="34" spans="1:58">
      <c r="A34" s="122">
        <v>1</v>
      </c>
      <c r="B34" s="30"/>
      <c r="C34" s="30"/>
      <c r="D34" s="100"/>
      <c r="E34" s="102" t="s">
        <v>882</v>
      </c>
      <c r="F34" s="33"/>
      <c r="G34" s="33"/>
      <c r="H34" s="33"/>
      <c r="I34" s="67"/>
      <c r="J34" s="74"/>
      <c r="K34" s="75"/>
      <c r="L34" s="75"/>
      <c r="M34" s="75"/>
      <c r="N34" s="75"/>
      <c r="O34" s="75"/>
      <c r="P34" s="75"/>
      <c r="Q34" s="75"/>
      <c r="R34" s="69"/>
      <c r="S34" s="69"/>
      <c r="T34" s="69"/>
      <c r="U34" s="69"/>
      <c r="V34" s="69"/>
      <c r="W34" s="69"/>
      <c r="X34" s="69"/>
      <c r="Y34" s="73"/>
      <c r="AH34" s="152"/>
      <c r="AI34" s="157"/>
      <c r="AJ34" s="161"/>
      <c r="AK34" s="150"/>
      <c r="AL34" s="150"/>
      <c r="AM34" s="150"/>
      <c r="AN34" s="154" t="s">
        <v>882</v>
      </c>
      <c r="AO34" s="151"/>
      <c r="AP34" s="146"/>
      <c r="AQ34" s="146"/>
      <c r="AR34" s="146"/>
      <c r="AS34" s="245"/>
      <c r="AT34" s="245"/>
      <c r="AU34" s="146"/>
      <c r="AX34" s="152"/>
      <c r="AY34" s="157"/>
      <c r="AZ34" s="161"/>
      <c r="BA34" s="189"/>
      <c r="BB34" s="189"/>
      <c r="BC34" s="189"/>
      <c r="BD34" s="154" t="s">
        <v>882</v>
      </c>
      <c r="BE34" s="190"/>
      <c r="BF34" s="187">
        <f t="shared" si="10"/>
        <v>0</v>
      </c>
    </row>
    <row r="35" spans="1:58">
      <c r="A35" s="122">
        <v>1</v>
      </c>
      <c r="B35" s="30"/>
      <c r="C35" s="30"/>
      <c r="D35" s="100"/>
      <c r="E35" s="100" t="s">
        <v>883</v>
      </c>
      <c r="F35" s="33"/>
      <c r="G35" s="33"/>
      <c r="H35" s="33"/>
      <c r="I35" s="67"/>
      <c r="J35" s="74"/>
      <c r="K35" s="75"/>
      <c r="L35" s="75"/>
      <c r="M35" s="75"/>
      <c r="N35" s="75"/>
      <c r="O35" s="75"/>
      <c r="P35" s="75"/>
      <c r="Q35" s="75"/>
      <c r="R35" s="69"/>
      <c r="S35" s="69"/>
      <c r="T35" s="69"/>
      <c r="U35" s="69"/>
      <c r="V35" s="69"/>
      <c r="W35" s="69"/>
      <c r="X35" s="69"/>
      <c r="Y35" s="73"/>
      <c r="AH35" s="152"/>
      <c r="AI35" s="157"/>
      <c r="AJ35" s="161"/>
      <c r="AK35" s="150"/>
      <c r="AL35" s="150"/>
      <c r="AM35" s="154" t="s">
        <v>883</v>
      </c>
      <c r="AN35" s="150"/>
      <c r="AO35" s="151"/>
      <c r="AP35" s="146">
        <f>SUM(AP36:AP40)</f>
        <v>0</v>
      </c>
      <c r="AQ35" s="146">
        <f>SUM(AQ36:AQ40)</f>
        <v>0</v>
      </c>
      <c r="AR35" s="146">
        <f>SUM(AR36:AR40)</f>
        <v>0</v>
      </c>
      <c r="AS35" s="245"/>
      <c r="AT35" s="245"/>
      <c r="AU35" s="146">
        <f>SUM(AU36:AU40)</f>
        <v>0</v>
      </c>
      <c r="AX35" s="152"/>
      <c r="AY35" s="157"/>
      <c r="AZ35" s="161"/>
      <c r="BA35" s="189"/>
      <c r="BB35" s="189"/>
      <c r="BC35" s="154" t="s">
        <v>883</v>
      </c>
      <c r="BD35" s="189"/>
      <c r="BE35" s="190"/>
      <c r="BF35" s="187">
        <f>SUM(BF36:BF40)</f>
        <v>0</v>
      </c>
    </row>
    <row r="36" spans="1:58">
      <c r="A36" s="122">
        <v>1</v>
      </c>
      <c r="B36" s="30"/>
      <c r="C36" s="30"/>
      <c r="D36" s="100"/>
      <c r="E36" s="102" t="s">
        <v>884</v>
      </c>
      <c r="F36" s="33"/>
      <c r="G36" s="33"/>
      <c r="H36" s="33"/>
      <c r="I36" s="67"/>
      <c r="J36" s="74"/>
      <c r="K36" s="75"/>
      <c r="L36" s="75"/>
      <c r="M36" s="75"/>
      <c r="N36" s="75"/>
      <c r="O36" s="75"/>
      <c r="P36" s="75"/>
      <c r="Q36" s="75"/>
      <c r="R36" s="69"/>
      <c r="S36" s="69"/>
      <c r="T36" s="69"/>
      <c r="U36" s="69"/>
      <c r="V36" s="69"/>
      <c r="W36" s="69"/>
      <c r="X36" s="69"/>
      <c r="Y36" s="73"/>
      <c r="AH36" s="152"/>
      <c r="AI36" s="157"/>
      <c r="AJ36" s="161"/>
      <c r="AK36" s="150"/>
      <c r="AL36" s="150"/>
      <c r="AM36" s="150"/>
      <c r="AN36" s="154" t="s">
        <v>884</v>
      </c>
      <c r="AO36" s="151"/>
      <c r="AP36" s="146"/>
      <c r="AQ36" s="146"/>
      <c r="AR36" s="146"/>
      <c r="AS36" s="245"/>
      <c r="AT36" s="245"/>
      <c r="AU36" s="146"/>
      <c r="AX36" s="152"/>
      <c r="AY36" s="157"/>
      <c r="AZ36" s="161"/>
      <c r="BA36" s="189"/>
      <c r="BB36" s="189"/>
      <c r="BC36" s="189"/>
      <c r="BD36" s="154" t="s">
        <v>884</v>
      </c>
      <c r="BE36" s="190"/>
      <c r="BF36" s="187">
        <f>+AU36</f>
        <v>0</v>
      </c>
    </row>
    <row r="37" spans="1:58">
      <c r="A37" s="122">
        <v>1</v>
      </c>
      <c r="B37" s="30"/>
      <c r="C37" s="30"/>
      <c r="D37" s="100"/>
      <c r="E37" s="102" t="s">
        <v>885</v>
      </c>
      <c r="F37" s="33"/>
      <c r="G37" s="33"/>
      <c r="H37" s="33"/>
      <c r="I37" s="67"/>
      <c r="J37" s="74"/>
      <c r="K37" s="75"/>
      <c r="L37" s="75"/>
      <c r="M37" s="75"/>
      <c r="N37" s="75"/>
      <c r="O37" s="75"/>
      <c r="P37" s="75"/>
      <c r="Q37" s="75"/>
      <c r="R37" s="69"/>
      <c r="S37" s="69"/>
      <c r="T37" s="69"/>
      <c r="U37" s="69"/>
      <c r="V37" s="69"/>
      <c r="W37" s="69"/>
      <c r="X37" s="69"/>
      <c r="Y37" s="73"/>
      <c r="AH37" s="152"/>
      <c r="AI37" s="157"/>
      <c r="AJ37" s="161"/>
      <c r="AK37" s="150"/>
      <c r="AL37" s="150"/>
      <c r="AM37" s="150"/>
      <c r="AN37" s="154" t="s">
        <v>885</v>
      </c>
      <c r="AO37" s="151"/>
      <c r="AP37" s="146"/>
      <c r="AQ37" s="146"/>
      <c r="AR37" s="146"/>
      <c r="AS37" s="245"/>
      <c r="AT37" s="245"/>
      <c r="AU37" s="146"/>
      <c r="AX37" s="152"/>
      <c r="AY37" s="157"/>
      <c r="AZ37" s="161"/>
      <c r="BA37" s="189"/>
      <c r="BB37" s="189"/>
      <c r="BC37" s="189"/>
      <c r="BD37" s="154" t="s">
        <v>885</v>
      </c>
      <c r="BE37" s="190"/>
      <c r="BF37" s="187">
        <f>+AU37</f>
        <v>0</v>
      </c>
    </row>
    <row r="38" spans="1:58">
      <c r="A38" s="122">
        <v>1</v>
      </c>
      <c r="B38" s="30"/>
      <c r="C38" s="30"/>
      <c r="D38" s="100"/>
      <c r="E38" s="102" t="s">
        <v>886</v>
      </c>
      <c r="F38" s="33"/>
      <c r="G38" s="33"/>
      <c r="H38" s="33"/>
      <c r="I38" s="67"/>
      <c r="J38" s="74"/>
      <c r="K38" s="75"/>
      <c r="L38" s="75"/>
      <c r="M38" s="75"/>
      <c r="N38" s="75"/>
      <c r="O38" s="75"/>
      <c r="P38" s="75"/>
      <c r="Q38" s="75"/>
      <c r="R38" s="69"/>
      <c r="S38" s="69"/>
      <c r="T38" s="69"/>
      <c r="U38" s="69"/>
      <c r="V38" s="69"/>
      <c r="W38" s="69"/>
      <c r="X38" s="69"/>
      <c r="Y38" s="73"/>
      <c r="AH38" s="152"/>
      <c r="AI38" s="157"/>
      <c r="AJ38" s="161"/>
      <c r="AK38" s="150"/>
      <c r="AL38" s="150"/>
      <c r="AM38" s="150"/>
      <c r="AN38" s="154" t="s">
        <v>886</v>
      </c>
      <c r="AO38" s="151"/>
      <c r="AP38" s="146"/>
      <c r="AQ38" s="146"/>
      <c r="AR38" s="146"/>
      <c r="AS38" s="245"/>
      <c r="AT38" s="245"/>
      <c r="AU38" s="146"/>
      <c r="AX38" s="152"/>
      <c r="AY38" s="157"/>
      <c r="AZ38" s="161"/>
      <c r="BA38" s="189"/>
      <c r="BB38" s="189"/>
      <c r="BC38" s="189"/>
      <c r="BD38" s="154" t="s">
        <v>886</v>
      </c>
      <c r="BE38" s="190"/>
      <c r="BF38" s="187">
        <f>+AU38</f>
        <v>0</v>
      </c>
    </row>
    <row r="39" spans="1:58">
      <c r="A39" s="122">
        <v>1</v>
      </c>
      <c r="B39" s="30"/>
      <c r="C39" s="30"/>
      <c r="D39" s="100"/>
      <c r="E39" s="102" t="s">
        <v>887</v>
      </c>
      <c r="F39" s="33"/>
      <c r="G39" s="33"/>
      <c r="H39" s="33"/>
      <c r="I39" s="67"/>
      <c r="J39" s="74"/>
      <c r="K39" s="75"/>
      <c r="L39" s="75"/>
      <c r="M39" s="75"/>
      <c r="N39" s="75"/>
      <c r="O39" s="75"/>
      <c r="P39" s="75"/>
      <c r="Q39" s="75"/>
      <c r="R39" s="69"/>
      <c r="S39" s="69"/>
      <c r="T39" s="69"/>
      <c r="U39" s="69"/>
      <c r="V39" s="69"/>
      <c r="W39" s="69"/>
      <c r="X39" s="69"/>
      <c r="Y39" s="73"/>
      <c r="AH39" s="152"/>
      <c r="AI39" s="157"/>
      <c r="AJ39" s="161"/>
      <c r="AK39" s="150"/>
      <c r="AL39" s="150"/>
      <c r="AM39" s="150"/>
      <c r="AN39" s="154" t="s">
        <v>887</v>
      </c>
      <c r="AO39" s="151"/>
      <c r="AP39" s="146"/>
      <c r="AQ39" s="146"/>
      <c r="AR39" s="146"/>
      <c r="AS39" s="245"/>
      <c r="AT39" s="245"/>
      <c r="AU39" s="146"/>
      <c r="AX39" s="152"/>
      <c r="AY39" s="157"/>
      <c r="AZ39" s="161"/>
      <c r="BA39" s="189"/>
      <c r="BB39" s="189"/>
      <c r="BC39" s="189"/>
      <c r="BD39" s="154" t="s">
        <v>887</v>
      </c>
      <c r="BE39" s="190"/>
      <c r="BF39" s="187">
        <f>+AU39</f>
        <v>0</v>
      </c>
    </row>
    <row r="40" spans="1:58">
      <c r="A40" s="122">
        <v>1</v>
      </c>
      <c r="B40" s="30"/>
      <c r="C40" s="30"/>
      <c r="D40" s="100"/>
      <c r="E40" s="102" t="s">
        <v>888</v>
      </c>
      <c r="F40" s="33"/>
      <c r="G40" s="33"/>
      <c r="H40" s="33"/>
      <c r="I40" s="67"/>
      <c r="J40" s="74"/>
      <c r="K40" s="75"/>
      <c r="L40" s="75"/>
      <c r="M40" s="75"/>
      <c r="N40" s="75"/>
      <c r="O40" s="75"/>
      <c r="P40" s="75"/>
      <c r="Q40" s="75"/>
      <c r="R40" s="69"/>
      <c r="S40" s="69"/>
      <c r="T40" s="69"/>
      <c r="U40" s="69"/>
      <c r="V40" s="69"/>
      <c r="W40" s="69"/>
      <c r="X40" s="69"/>
      <c r="Y40" s="73"/>
      <c r="AH40" s="152"/>
      <c r="AI40" s="157"/>
      <c r="AJ40" s="161"/>
      <c r="AK40" s="150"/>
      <c r="AL40" s="150"/>
      <c r="AM40" s="150"/>
      <c r="AN40" s="154" t="s">
        <v>888</v>
      </c>
      <c r="AO40" s="151"/>
      <c r="AP40" s="146"/>
      <c r="AQ40" s="146"/>
      <c r="AR40" s="146"/>
      <c r="AS40" s="245"/>
      <c r="AT40" s="245"/>
      <c r="AU40" s="146"/>
      <c r="AX40" s="152"/>
      <c r="AY40" s="157"/>
      <c r="AZ40" s="161"/>
      <c r="BA40" s="189"/>
      <c r="BB40" s="189"/>
      <c r="BC40" s="189"/>
      <c r="BD40" s="154" t="s">
        <v>888</v>
      </c>
      <c r="BE40" s="190"/>
      <c r="BF40" s="187">
        <f>+AU40</f>
        <v>0</v>
      </c>
    </row>
    <row r="41" spans="1:58">
      <c r="A41" s="122">
        <v>1</v>
      </c>
      <c r="B41" s="30"/>
      <c r="C41" s="30"/>
      <c r="D41" s="100"/>
      <c r="E41" s="100" t="s">
        <v>889</v>
      </c>
      <c r="F41" s="33"/>
      <c r="G41" s="33"/>
      <c r="H41" s="33"/>
      <c r="I41" s="67"/>
      <c r="J41" s="74"/>
      <c r="K41" s="75"/>
      <c r="L41" s="75"/>
      <c r="M41" s="75"/>
      <c r="N41" s="75"/>
      <c r="O41" s="75"/>
      <c r="P41" s="75"/>
      <c r="Q41" s="75"/>
      <c r="R41" s="69"/>
      <c r="S41" s="69"/>
      <c r="T41" s="69"/>
      <c r="U41" s="69"/>
      <c r="V41" s="69"/>
      <c r="W41" s="69"/>
      <c r="X41" s="69"/>
      <c r="Y41" s="73"/>
      <c r="AH41" s="152"/>
      <c r="AI41" s="157"/>
      <c r="AJ41" s="161"/>
      <c r="AK41" s="150"/>
      <c r="AL41" s="150"/>
      <c r="AM41" s="154" t="s">
        <v>889</v>
      </c>
      <c r="AN41" s="150"/>
      <c r="AO41" s="151"/>
      <c r="AP41" s="146">
        <f>SUM(AP42:AP50)</f>
        <v>0</v>
      </c>
      <c r="AQ41" s="146">
        <f>SUM(AQ42:AQ50)</f>
        <v>0</v>
      </c>
      <c r="AR41" s="146">
        <f>SUM(AR42:AR50)</f>
        <v>0</v>
      </c>
      <c r="AS41" s="245"/>
      <c r="AT41" s="245"/>
      <c r="AU41" s="146">
        <f>SUM(AU42:AU50)</f>
        <v>0</v>
      </c>
      <c r="AX41" s="152"/>
      <c r="AY41" s="157"/>
      <c r="AZ41" s="161"/>
      <c r="BA41" s="189"/>
      <c r="BB41" s="189"/>
      <c r="BC41" s="154" t="s">
        <v>889</v>
      </c>
      <c r="BD41" s="189"/>
      <c r="BE41" s="190"/>
      <c r="BF41" s="187">
        <f>SUM(BF42:BF50)</f>
        <v>0</v>
      </c>
    </row>
    <row r="42" spans="1:58">
      <c r="A42" s="122">
        <v>1</v>
      </c>
      <c r="B42" s="30"/>
      <c r="C42" s="30"/>
      <c r="D42" s="100"/>
      <c r="E42" s="102" t="s">
        <v>890</v>
      </c>
      <c r="F42" s="33"/>
      <c r="G42" s="33"/>
      <c r="H42" s="33"/>
      <c r="I42" s="67"/>
      <c r="J42" s="74"/>
      <c r="K42" s="75"/>
      <c r="L42" s="75"/>
      <c r="M42" s="75"/>
      <c r="N42" s="75"/>
      <c r="O42" s="75"/>
      <c r="P42" s="75"/>
      <c r="Q42" s="75"/>
      <c r="R42" s="69"/>
      <c r="S42" s="69"/>
      <c r="T42" s="69"/>
      <c r="U42" s="69"/>
      <c r="V42" s="69"/>
      <c r="W42" s="69"/>
      <c r="X42" s="69"/>
      <c r="Y42" s="73"/>
      <c r="AH42" s="152"/>
      <c r="AI42" s="157"/>
      <c r="AJ42" s="161"/>
      <c r="AK42" s="150"/>
      <c r="AL42" s="150"/>
      <c r="AM42" s="150"/>
      <c r="AN42" s="154" t="s">
        <v>890</v>
      </c>
      <c r="AO42" s="151"/>
      <c r="AP42" s="146"/>
      <c r="AQ42" s="146"/>
      <c r="AR42" s="146"/>
      <c r="AS42" s="245"/>
      <c r="AT42" s="245"/>
      <c r="AU42" s="146"/>
      <c r="AX42" s="152"/>
      <c r="AY42" s="157"/>
      <c r="AZ42" s="161"/>
      <c r="BA42" s="189"/>
      <c r="BB42" s="189"/>
      <c r="BC42" s="189"/>
      <c r="BD42" s="154" t="s">
        <v>890</v>
      </c>
      <c r="BE42" s="190"/>
      <c r="BF42" s="187">
        <f t="shared" ref="BF42:BF50" si="11">+AU42</f>
        <v>0</v>
      </c>
    </row>
    <row r="43" spans="1:58">
      <c r="A43" s="122">
        <v>1</v>
      </c>
      <c r="B43" s="30"/>
      <c r="C43" s="30"/>
      <c r="D43" s="100"/>
      <c r="E43" s="102" t="s">
        <v>891</v>
      </c>
      <c r="F43" s="33"/>
      <c r="G43" s="33"/>
      <c r="H43" s="33"/>
      <c r="I43" s="67"/>
      <c r="J43" s="74"/>
      <c r="K43" s="75"/>
      <c r="L43" s="75"/>
      <c r="M43" s="75"/>
      <c r="N43" s="75"/>
      <c r="O43" s="75"/>
      <c r="P43" s="75"/>
      <c r="Q43" s="75"/>
      <c r="R43" s="69"/>
      <c r="S43" s="69"/>
      <c r="T43" s="69"/>
      <c r="U43" s="69"/>
      <c r="V43" s="69"/>
      <c r="W43" s="69"/>
      <c r="X43" s="69"/>
      <c r="Y43" s="73"/>
      <c r="AH43" s="152"/>
      <c r="AI43" s="157"/>
      <c r="AJ43" s="161"/>
      <c r="AK43" s="150"/>
      <c r="AL43" s="150"/>
      <c r="AM43" s="150"/>
      <c r="AN43" s="154" t="s">
        <v>891</v>
      </c>
      <c r="AO43" s="151"/>
      <c r="AP43" s="146"/>
      <c r="AQ43" s="146"/>
      <c r="AR43" s="146"/>
      <c r="AS43" s="245"/>
      <c r="AT43" s="245"/>
      <c r="AU43" s="146"/>
      <c r="AX43" s="152"/>
      <c r="AY43" s="157"/>
      <c r="AZ43" s="161"/>
      <c r="BA43" s="189"/>
      <c r="BB43" s="189"/>
      <c r="BC43" s="189"/>
      <c r="BD43" s="154" t="s">
        <v>891</v>
      </c>
      <c r="BE43" s="190"/>
      <c r="BF43" s="187">
        <f t="shared" si="11"/>
        <v>0</v>
      </c>
    </row>
    <row r="44" spans="1:58">
      <c r="A44" s="122">
        <v>1</v>
      </c>
      <c r="B44" s="30"/>
      <c r="C44" s="30"/>
      <c r="D44" s="100"/>
      <c r="E44" s="102" t="s">
        <v>892</v>
      </c>
      <c r="F44" s="33"/>
      <c r="G44" s="33"/>
      <c r="H44" s="33"/>
      <c r="I44" s="67"/>
      <c r="J44" s="74"/>
      <c r="K44" s="75"/>
      <c r="L44" s="75"/>
      <c r="M44" s="75"/>
      <c r="N44" s="75"/>
      <c r="O44" s="75"/>
      <c r="P44" s="75"/>
      <c r="Q44" s="75"/>
      <c r="R44" s="69"/>
      <c r="S44" s="69"/>
      <c r="T44" s="69"/>
      <c r="U44" s="69"/>
      <c r="V44" s="69"/>
      <c r="W44" s="69"/>
      <c r="X44" s="69"/>
      <c r="Y44" s="73"/>
      <c r="AH44" s="152"/>
      <c r="AI44" s="157"/>
      <c r="AJ44" s="161"/>
      <c r="AK44" s="150"/>
      <c r="AL44" s="150"/>
      <c r="AM44" s="150"/>
      <c r="AN44" s="154" t="s">
        <v>892</v>
      </c>
      <c r="AO44" s="151"/>
      <c r="AP44" s="146"/>
      <c r="AQ44" s="146"/>
      <c r="AR44" s="146"/>
      <c r="AS44" s="245"/>
      <c r="AT44" s="245"/>
      <c r="AU44" s="146"/>
      <c r="AX44" s="152"/>
      <c r="AY44" s="157"/>
      <c r="AZ44" s="161"/>
      <c r="BA44" s="189"/>
      <c r="BB44" s="189"/>
      <c r="BC44" s="189"/>
      <c r="BD44" s="154" t="s">
        <v>892</v>
      </c>
      <c r="BE44" s="190"/>
      <c r="BF44" s="187">
        <f t="shared" si="11"/>
        <v>0</v>
      </c>
    </row>
    <row r="45" spans="1:58">
      <c r="A45" s="122">
        <v>1</v>
      </c>
      <c r="B45" s="30"/>
      <c r="C45" s="30"/>
      <c r="D45" s="100"/>
      <c r="E45" s="102" t="s">
        <v>893</v>
      </c>
      <c r="F45" s="33"/>
      <c r="G45" s="33"/>
      <c r="H45" s="33"/>
      <c r="I45" s="67"/>
      <c r="J45" s="74"/>
      <c r="K45" s="75"/>
      <c r="L45" s="75"/>
      <c r="M45" s="75"/>
      <c r="N45" s="75"/>
      <c r="O45" s="75"/>
      <c r="P45" s="75"/>
      <c r="Q45" s="75"/>
      <c r="R45" s="69"/>
      <c r="S45" s="69"/>
      <c r="T45" s="69"/>
      <c r="U45" s="69"/>
      <c r="V45" s="69"/>
      <c r="W45" s="69"/>
      <c r="X45" s="69"/>
      <c r="Y45" s="73"/>
      <c r="AH45" s="152"/>
      <c r="AI45" s="157"/>
      <c r="AJ45" s="161"/>
      <c r="AK45" s="150"/>
      <c r="AL45" s="150"/>
      <c r="AM45" s="150"/>
      <c r="AN45" s="154" t="s">
        <v>893</v>
      </c>
      <c r="AO45" s="151"/>
      <c r="AP45" s="146"/>
      <c r="AQ45" s="146"/>
      <c r="AR45" s="146"/>
      <c r="AS45" s="245"/>
      <c r="AT45" s="245"/>
      <c r="AU45" s="146"/>
      <c r="AX45" s="152"/>
      <c r="AY45" s="157"/>
      <c r="AZ45" s="161"/>
      <c r="BA45" s="189"/>
      <c r="BB45" s="189"/>
      <c r="BC45" s="189"/>
      <c r="BD45" s="154" t="s">
        <v>893</v>
      </c>
      <c r="BE45" s="190"/>
      <c r="BF45" s="187">
        <f t="shared" si="11"/>
        <v>0</v>
      </c>
    </row>
    <row r="46" spans="1:58">
      <c r="A46" s="122">
        <v>1</v>
      </c>
      <c r="B46" s="30"/>
      <c r="C46" s="30"/>
      <c r="D46" s="100"/>
      <c r="E46" s="102" t="s">
        <v>894</v>
      </c>
      <c r="F46" s="33"/>
      <c r="G46" s="33"/>
      <c r="H46" s="33"/>
      <c r="I46" s="67"/>
      <c r="J46" s="74"/>
      <c r="K46" s="75"/>
      <c r="L46" s="75"/>
      <c r="M46" s="75"/>
      <c r="N46" s="75"/>
      <c r="O46" s="75"/>
      <c r="P46" s="75"/>
      <c r="Q46" s="75"/>
      <c r="R46" s="69"/>
      <c r="S46" s="69"/>
      <c r="T46" s="69"/>
      <c r="U46" s="69"/>
      <c r="V46" s="69"/>
      <c r="W46" s="69"/>
      <c r="X46" s="69"/>
      <c r="Y46" s="73"/>
      <c r="AH46" s="152"/>
      <c r="AI46" s="157"/>
      <c r="AJ46" s="161"/>
      <c r="AK46" s="150"/>
      <c r="AL46" s="150"/>
      <c r="AM46" s="150"/>
      <c r="AN46" s="154" t="s">
        <v>894</v>
      </c>
      <c r="AO46" s="151"/>
      <c r="AP46" s="146"/>
      <c r="AQ46" s="146"/>
      <c r="AR46" s="146"/>
      <c r="AS46" s="245"/>
      <c r="AT46" s="245"/>
      <c r="AU46" s="146"/>
      <c r="AX46" s="152"/>
      <c r="AY46" s="157"/>
      <c r="AZ46" s="161"/>
      <c r="BA46" s="189"/>
      <c r="BB46" s="189"/>
      <c r="BC46" s="189"/>
      <c r="BD46" s="154" t="s">
        <v>894</v>
      </c>
      <c r="BE46" s="190"/>
      <c r="BF46" s="187">
        <f t="shared" si="11"/>
        <v>0</v>
      </c>
    </row>
    <row r="47" spans="1:58">
      <c r="A47" s="122">
        <v>1</v>
      </c>
      <c r="B47" s="30"/>
      <c r="C47" s="30"/>
      <c r="D47" s="100"/>
      <c r="E47" s="102" t="s">
        <v>888</v>
      </c>
      <c r="F47" s="33"/>
      <c r="G47" s="33"/>
      <c r="H47" s="33"/>
      <c r="I47" s="67"/>
      <c r="J47" s="74"/>
      <c r="K47" s="75"/>
      <c r="L47" s="75"/>
      <c r="M47" s="75"/>
      <c r="N47" s="75"/>
      <c r="O47" s="75"/>
      <c r="P47" s="75"/>
      <c r="Q47" s="75"/>
      <c r="R47" s="69"/>
      <c r="S47" s="69"/>
      <c r="T47" s="69"/>
      <c r="U47" s="69"/>
      <c r="V47" s="69"/>
      <c r="W47" s="69"/>
      <c r="X47" s="69"/>
      <c r="Y47" s="73"/>
      <c r="AH47" s="152"/>
      <c r="AI47" s="157"/>
      <c r="AJ47" s="161"/>
      <c r="AK47" s="150"/>
      <c r="AL47" s="150"/>
      <c r="AM47" s="150"/>
      <c r="AN47" s="154" t="s">
        <v>888</v>
      </c>
      <c r="AO47" s="151"/>
      <c r="AP47" s="146"/>
      <c r="AQ47" s="146"/>
      <c r="AR47" s="146"/>
      <c r="AS47" s="245"/>
      <c r="AT47" s="245"/>
      <c r="AU47" s="146"/>
      <c r="AX47" s="152"/>
      <c r="AY47" s="157"/>
      <c r="AZ47" s="161"/>
      <c r="BA47" s="189"/>
      <c r="BB47" s="189"/>
      <c r="BC47" s="189"/>
      <c r="BD47" s="154" t="s">
        <v>888</v>
      </c>
      <c r="BE47" s="190"/>
      <c r="BF47" s="187">
        <f t="shared" si="11"/>
        <v>0</v>
      </c>
    </row>
    <row r="48" spans="1:58">
      <c r="A48" s="122">
        <v>1</v>
      </c>
      <c r="B48" s="30"/>
      <c r="C48" s="30"/>
      <c r="D48" s="100"/>
      <c r="E48" s="102" t="s">
        <v>895</v>
      </c>
      <c r="F48" s="33"/>
      <c r="G48" s="33"/>
      <c r="H48" s="33"/>
      <c r="I48" s="67"/>
      <c r="J48" s="74"/>
      <c r="K48" s="75"/>
      <c r="L48" s="75"/>
      <c r="M48" s="75"/>
      <c r="N48" s="75"/>
      <c r="O48" s="75"/>
      <c r="P48" s="75"/>
      <c r="Q48" s="75"/>
      <c r="R48" s="69"/>
      <c r="S48" s="69"/>
      <c r="T48" s="69"/>
      <c r="U48" s="69"/>
      <c r="V48" s="69"/>
      <c r="W48" s="69"/>
      <c r="X48" s="69"/>
      <c r="Y48" s="73"/>
      <c r="AH48" s="152"/>
      <c r="AI48" s="157"/>
      <c r="AJ48" s="161"/>
      <c r="AK48" s="150"/>
      <c r="AL48" s="150"/>
      <c r="AM48" s="150"/>
      <c r="AN48" s="154" t="s">
        <v>895</v>
      </c>
      <c r="AO48" s="151"/>
      <c r="AP48" s="146"/>
      <c r="AQ48" s="146"/>
      <c r="AR48" s="146"/>
      <c r="AS48" s="245"/>
      <c r="AT48" s="245"/>
      <c r="AU48" s="146"/>
      <c r="AX48" s="152"/>
      <c r="AY48" s="157"/>
      <c r="AZ48" s="161"/>
      <c r="BA48" s="189"/>
      <c r="BB48" s="189"/>
      <c r="BC48" s="189"/>
      <c r="BD48" s="154" t="s">
        <v>895</v>
      </c>
      <c r="BE48" s="190"/>
      <c r="BF48" s="187">
        <f t="shared" si="11"/>
        <v>0</v>
      </c>
    </row>
    <row r="49" spans="1:58">
      <c r="A49" s="122">
        <v>1</v>
      </c>
      <c r="B49" s="30"/>
      <c r="C49" s="30"/>
      <c r="D49" s="100"/>
      <c r="E49" s="102" t="s">
        <v>896</v>
      </c>
      <c r="F49" s="33"/>
      <c r="G49" s="33"/>
      <c r="H49" s="33"/>
      <c r="I49" s="67"/>
      <c r="J49" s="74"/>
      <c r="K49" s="75"/>
      <c r="L49" s="75"/>
      <c r="M49" s="75"/>
      <c r="N49" s="75"/>
      <c r="O49" s="75"/>
      <c r="P49" s="75"/>
      <c r="Q49" s="75"/>
      <c r="R49" s="69"/>
      <c r="S49" s="69"/>
      <c r="T49" s="69"/>
      <c r="U49" s="69"/>
      <c r="V49" s="69"/>
      <c r="W49" s="69"/>
      <c r="X49" s="69"/>
      <c r="Y49" s="73"/>
      <c r="AH49" s="152"/>
      <c r="AI49" s="157"/>
      <c r="AJ49" s="161"/>
      <c r="AK49" s="150"/>
      <c r="AL49" s="150"/>
      <c r="AM49" s="150"/>
      <c r="AN49" s="154" t="s">
        <v>896</v>
      </c>
      <c r="AO49" s="151"/>
      <c r="AP49" s="146"/>
      <c r="AQ49" s="146"/>
      <c r="AR49" s="146"/>
      <c r="AS49" s="245"/>
      <c r="AT49" s="245"/>
      <c r="AU49" s="146"/>
      <c r="AX49" s="152"/>
      <c r="AY49" s="157"/>
      <c r="AZ49" s="161"/>
      <c r="BA49" s="189"/>
      <c r="BB49" s="189"/>
      <c r="BC49" s="189"/>
      <c r="BD49" s="154" t="s">
        <v>896</v>
      </c>
      <c r="BE49" s="190"/>
      <c r="BF49" s="187">
        <f t="shared" si="11"/>
        <v>0</v>
      </c>
    </row>
    <row r="50" spans="1:58">
      <c r="A50" s="122">
        <v>1</v>
      </c>
      <c r="B50" s="30"/>
      <c r="C50" s="30"/>
      <c r="D50" s="100"/>
      <c r="E50" s="102" t="s">
        <v>897</v>
      </c>
      <c r="F50" s="33"/>
      <c r="G50" s="33"/>
      <c r="H50" s="33"/>
      <c r="I50" s="67"/>
      <c r="J50" s="74"/>
      <c r="K50" s="75"/>
      <c r="L50" s="75"/>
      <c r="M50" s="75"/>
      <c r="N50" s="75"/>
      <c r="O50" s="75"/>
      <c r="P50" s="75"/>
      <c r="Q50" s="75"/>
      <c r="R50" s="69"/>
      <c r="S50" s="69"/>
      <c r="T50" s="69"/>
      <c r="U50" s="69"/>
      <c r="V50" s="69"/>
      <c r="W50" s="69"/>
      <c r="X50" s="69"/>
      <c r="Y50" s="73"/>
      <c r="AH50" s="152"/>
      <c r="AI50" s="157"/>
      <c r="AJ50" s="161"/>
      <c r="AK50" s="150"/>
      <c r="AL50" s="150"/>
      <c r="AM50" s="150"/>
      <c r="AN50" s="154" t="s">
        <v>897</v>
      </c>
      <c r="AO50" s="151"/>
      <c r="AP50" s="146"/>
      <c r="AQ50" s="146"/>
      <c r="AR50" s="146"/>
      <c r="AS50" s="245"/>
      <c r="AT50" s="245"/>
      <c r="AU50" s="146"/>
      <c r="AX50" s="152"/>
      <c r="AY50" s="157"/>
      <c r="AZ50" s="161"/>
      <c r="BA50" s="189"/>
      <c r="BB50" s="189"/>
      <c r="BC50" s="189"/>
      <c r="BD50" s="154" t="s">
        <v>897</v>
      </c>
      <c r="BE50" s="190"/>
      <c r="BF50" s="187">
        <f t="shared" si="11"/>
        <v>0</v>
      </c>
    </row>
    <row r="51" spans="1:58">
      <c r="A51" s="122">
        <v>1</v>
      </c>
      <c r="B51" s="30"/>
      <c r="C51" s="30"/>
      <c r="D51" s="100"/>
      <c r="E51" s="100" t="s">
        <v>898</v>
      </c>
      <c r="F51" s="33"/>
      <c r="G51" s="33"/>
      <c r="H51" s="33"/>
      <c r="I51" s="67"/>
      <c r="J51" s="74"/>
      <c r="K51" s="75"/>
      <c r="L51" s="75"/>
      <c r="M51" s="75"/>
      <c r="N51" s="75"/>
      <c r="O51" s="75"/>
      <c r="P51" s="75"/>
      <c r="Q51" s="75"/>
      <c r="R51" s="69"/>
      <c r="S51" s="69"/>
      <c r="T51" s="69"/>
      <c r="U51" s="69"/>
      <c r="V51" s="69"/>
      <c r="W51" s="69"/>
      <c r="X51" s="69"/>
      <c r="Y51" s="73"/>
      <c r="AH51" s="152"/>
      <c r="AI51" s="157"/>
      <c r="AJ51" s="161"/>
      <c r="AK51" s="150"/>
      <c r="AL51" s="150"/>
      <c r="AM51" s="154" t="s">
        <v>898</v>
      </c>
      <c r="AN51" s="150"/>
      <c r="AO51" s="151"/>
      <c r="AP51" s="146">
        <f>SUM(AP52:AP56)</f>
        <v>0</v>
      </c>
      <c r="AQ51" s="146">
        <f>SUM(AQ52:AQ56)</f>
        <v>0</v>
      </c>
      <c r="AR51" s="146">
        <f>SUM(AR52:AR56)</f>
        <v>0</v>
      </c>
      <c r="AS51" s="245"/>
      <c r="AT51" s="245"/>
      <c r="AU51" s="146">
        <f>SUM(AU52:AU56)</f>
        <v>0</v>
      </c>
      <c r="AX51" s="152"/>
      <c r="AY51" s="157"/>
      <c r="AZ51" s="161"/>
      <c r="BA51" s="189"/>
      <c r="BB51" s="189"/>
      <c r="BC51" s="154" t="s">
        <v>898</v>
      </c>
      <c r="BD51" s="189"/>
      <c r="BE51" s="190"/>
      <c r="BF51" s="187">
        <f>SUM(BF52:BF56)</f>
        <v>0</v>
      </c>
    </row>
    <row r="52" spans="1:58">
      <c r="A52" s="122">
        <v>1</v>
      </c>
      <c r="B52" s="30"/>
      <c r="C52" s="30"/>
      <c r="D52" s="100"/>
      <c r="E52" s="102" t="s">
        <v>899</v>
      </c>
      <c r="F52" s="33"/>
      <c r="G52" s="33"/>
      <c r="H52" s="33"/>
      <c r="I52" s="67"/>
      <c r="J52" s="74"/>
      <c r="K52" s="75"/>
      <c r="L52" s="75"/>
      <c r="M52" s="75"/>
      <c r="N52" s="75"/>
      <c r="O52" s="75"/>
      <c r="P52" s="75"/>
      <c r="Q52" s="75"/>
      <c r="R52" s="69"/>
      <c r="S52" s="69"/>
      <c r="T52" s="69"/>
      <c r="U52" s="69"/>
      <c r="V52" s="69"/>
      <c r="W52" s="69"/>
      <c r="X52" s="69"/>
      <c r="Y52" s="73"/>
      <c r="AH52" s="152"/>
      <c r="AI52" s="157"/>
      <c r="AJ52" s="161"/>
      <c r="AK52" s="150"/>
      <c r="AL52" s="150"/>
      <c r="AM52" s="150"/>
      <c r="AN52" s="154" t="s">
        <v>899</v>
      </c>
      <c r="AO52" s="151"/>
      <c r="AP52" s="146"/>
      <c r="AQ52" s="146"/>
      <c r="AR52" s="146"/>
      <c r="AS52" s="245"/>
      <c r="AT52" s="245"/>
      <c r="AU52" s="146"/>
      <c r="AX52" s="152"/>
      <c r="AY52" s="157"/>
      <c r="AZ52" s="161"/>
      <c r="BA52" s="189"/>
      <c r="BB52" s="189"/>
      <c r="BC52" s="189"/>
      <c r="BD52" s="154" t="s">
        <v>899</v>
      </c>
      <c r="BE52" s="190"/>
      <c r="BF52" s="187">
        <f>+AU52</f>
        <v>0</v>
      </c>
    </row>
    <row r="53" spans="1:58">
      <c r="A53" s="122">
        <v>1</v>
      </c>
      <c r="B53" s="30"/>
      <c r="C53" s="30"/>
      <c r="D53" s="100"/>
      <c r="E53" s="102" t="s">
        <v>900</v>
      </c>
      <c r="F53" s="33"/>
      <c r="G53" s="33"/>
      <c r="H53" s="33"/>
      <c r="I53" s="67"/>
      <c r="J53" s="74"/>
      <c r="K53" s="75"/>
      <c r="L53" s="75"/>
      <c r="M53" s="75"/>
      <c r="N53" s="75"/>
      <c r="O53" s="75"/>
      <c r="P53" s="75"/>
      <c r="Q53" s="75"/>
      <c r="R53" s="69"/>
      <c r="S53" s="69"/>
      <c r="T53" s="69"/>
      <c r="U53" s="69"/>
      <c r="V53" s="69"/>
      <c r="W53" s="69"/>
      <c r="X53" s="69"/>
      <c r="Y53" s="73"/>
      <c r="AH53" s="152"/>
      <c r="AI53" s="157"/>
      <c r="AJ53" s="161"/>
      <c r="AK53" s="150"/>
      <c r="AL53" s="150"/>
      <c r="AM53" s="150"/>
      <c r="AN53" s="154" t="s">
        <v>900</v>
      </c>
      <c r="AO53" s="151"/>
      <c r="AP53" s="146"/>
      <c r="AQ53" s="146"/>
      <c r="AR53" s="146"/>
      <c r="AS53" s="245"/>
      <c r="AT53" s="245"/>
      <c r="AU53" s="146"/>
      <c r="AX53" s="152"/>
      <c r="AY53" s="157"/>
      <c r="AZ53" s="161"/>
      <c r="BA53" s="189"/>
      <c r="BB53" s="189"/>
      <c r="BC53" s="189"/>
      <c r="BD53" s="154" t="s">
        <v>900</v>
      </c>
      <c r="BE53" s="190"/>
      <c r="BF53" s="187">
        <f>+AU53</f>
        <v>0</v>
      </c>
    </row>
    <row r="54" spans="1:58">
      <c r="A54" s="122">
        <v>1</v>
      </c>
      <c r="B54" s="30"/>
      <c r="C54" s="30"/>
      <c r="D54" s="100"/>
      <c r="E54" s="102" t="s">
        <v>888</v>
      </c>
      <c r="F54" s="33"/>
      <c r="G54" s="33"/>
      <c r="H54" s="33"/>
      <c r="I54" s="67"/>
      <c r="J54" s="74"/>
      <c r="K54" s="75"/>
      <c r="L54" s="75"/>
      <c r="M54" s="75"/>
      <c r="N54" s="75"/>
      <c r="O54" s="75"/>
      <c r="P54" s="75"/>
      <c r="Q54" s="75"/>
      <c r="R54" s="69"/>
      <c r="S54" s="69"/>
      <c r="T54" s="69"/>
      <c r="U54" s="69"/>
      <c r="V54" s="69"/>
      <c r="W54" s="69"/>
      <c r="X54" s="69"/>
      <c r="Y54" s="73"/>
      <c r="AH54" s="152"/>
      <c r="AI54" s="157"/>
      <c r="AJ54" s="161"/>
      <c r="AK54" s="150"/>
      <c r="AL54" s="150"/>
      <c r="AM54" s="150"/>
      <c r="AN54" s="154" t="s">
        <v>888</v>
      </c>
      <c r="AO54" s="151"/>
      <c r="AP54" s="146"/>
      <c r="AQ54" s="146"/>
      <c r="AR54" s="146"/>
      <c r="AS54" s="245"/>
      <c r="AT54" s="245"/>
      <c r="AU54" s="146"/>
      <c r="AX54" s="152"/>
      <c r="AY54" s="157"/>
      <c r="AZ54" s="161"/>
      <c r="BA54" s="189"/>
      <c r="BB54" s="189"/>
      <c r="BC54" s="189"/>
      <c r="BD54" s="154" t="s">
        <v>888</v>
      </c>
      <c r="BE54" s="190"/>
      <c r="BF54" s="187">
        <f>+AU54</f>
        <v>0</v>
      </c>
    </row>
    <row r="55" spans="1:58">
      <c r="A55" s="122">
        <v>1</v>
      </c>
      <c r="B55" s="30"/>
      <c r="C55" s="30"/>
      <c r="D55" s="100"/>
      <c r="E55" s="102" t="s">
        <v>901</v>
      </c>
      <c r="F55" s="33"/>
      <c r="G55" s="33"/>
      <c r="H55" s="33"/>
      <c r="I55" s="67"/>
      <c r="J55" s="74"/>
      <c r="K55" s="75"/>
      <c r="L55" s="75"/>
      <c r="M55" s="75"/>
      <c r="N55" s="75"/>
      <c r="O55" s="75"/>
      <c r="P55" s="75"/>
      <c r="Q55" s="75"/>
      <c r="R55" s="69"/>
      <c r="S55" s="69"/>
      <c r="T55" s="69"/>
      <c r="U55" s="69"/>
      <c r="V55" s="69"/>
      <c r="W55" s="69"/>
      <c r="X55" s="69"/>
      <c r="Y55" s="73"/>
      <c r="AH55" s="152"/>
      <c r="AI55" s="157"/>
      <c r="AJ55" s="161"/>
      <c r="AK55" s="150"/>
      <c r="AL55" s="150"/>
      <c r="AM55" s="150"/>
      <c r="AN55" s="154" t="s">
        <v>901</v>
      </c>
      <c r="AO55" s="151"/>
      <c r="AP55" s="146"/>
      <c r="AQ55" s="146"/>
      <c r="AR55" s="146"/>
      <c r="AS55" s="245"/>
      <c r="AT55" s="245"/>
      <c r="AU55" s="146"/>
      <c r="AX55" s="152"/>
      <c r="AY55" s="157"/>
      <c r="AZ55" s="161"/>
      <c r="BA55" s="189"/>
      <c r="BB55" s="189"/>
      <c r="BC55" s="189"/>
      <c r="BD55" s="154" t="s">
        <v>901</v>
      </c>
      <c r="BE55" s="190"/>
      <c r="BF55" s="187">
        <f>+AU55</f>
        <v>0</v>
      </c>
    </row>
    <row r="56" spans="1:58">
      <c r="A56" s="122">
        <v>1</v>
      </c>
      <c r="B56" s="30"/>
      <c r="C56" s="30"/>
      <c r="D56" s="100"/>
      <c r="E56" s="102" t="s">
        <v>902</v>
      </c>
      <c r="F56" s="33"/>
      <c r="G56" s="33"/>
      <c r="H56" s="33"/>
      <c r="I56" s="67"/>
      <c r="J56" s="74"/>
      <c r="K56" s="75"/>
      <c r="L56" s="75"/>
      <c r="M56" s="75"/>
      <c r="N56" s="75"/>
      <c r="O56" s="75"/>
      <c r="P56" s="75"/>
      <c r="Q56" s="75"/>
      <c r="R56" s="69"/>
      <c r="S56" s="69"/>
      <c r="T56" s="69"/>
      <c r="U56" s="69"/>
      <c r="V56" s="69"/>
      <c r="W56" s="69"/>
      <c r="X56" s="69"/>
      <c r="Y56" s="73"/>
      <c r="AH56" s="152"/>
      <c r="AI56" s="157"/>
      <c r="AJ56" s="161"/>
      <c r="AK56" s="150"/>
      <c r="AL56" s="150"/>
      <c r="AM56" s="150"/>
      <c r="AN56" s="154" t="s">
        <v>902</v>
      </c>
      <c r="AO56" s="151"/>
      <c r="AP56" s="146"/>
      <c r="AQ56" s="146"/>
      <c r="AR56" s="146"/>
      <c r="AS56" s="245"/>
      <c r="AT56" s="245"/>
      <c r="AU56" s="146"/>
      <c r="AX56" s="152"/>
      <c r="AY56" s="157"/>
      <c r="AZ56" s="161"/>
      <c r="BA56" s="189"/>
      <c r="BB56" s="189"/>
      <c r="BC56" s="189"/>
      <c r="BD56" s="154" t="s">
        <v>902</v>
      </c>
      <c r="BE56" s="190"/>
      <c r="BF56" s="187">
        <f>+AU56</f>
        <v>0</v>
      </c>
    </row>
    <row r="57" spans="1:58">
      <c r="A57" s="122">
        <v>1</v>
      </c>
      <c r="B57" s="30"/>
      <c r="C57" s="30"/>
      <c r="D57" s="100"/>
      <c r="E57" s="100" t="s">
        <v>888</v>
      </c>
      <c r="F57" s="33"/>
      <c r="G57" s="33"/>
      <c r="H57" s="33"/>
      <c r="I57" s="67"/>
      <c r="J57" s="74"/>
      <c r="K57" s="75"/>
      <c r="L57" s="75"/>
      <c r="M57" s="75"/>
      <c r="N57" s="75"/>
      <c r="O57" s="75"/>
      <c r="P57" s="75"/>
      <c r="Q57" s="75"/>
      <c r="R57" s="69"/>
      <c r="S57" s="69"/>
      <c r="T57" s="69"/>
      <c r="U57" s="69"/>
      <c r="V57" s="69"/>
      <c r="W57" s="69"/>
      <c r="X57" s="69"/>
      <c r="Y57" s="73"/>
      <c r="AH57" s="152"/>
      <c r="AI57" s="157"/>
      <c r="AJ57" s="161"/>
      <c r="AK57" s="150"/>
      <c r="AL57" s="150"/>
      <c r="AM57" s="154" t="s">
        <v>888</v>
      </c>
      <c r="AN57" s="150"/>
      <c r="AO57" s="151"/>
      <c r="AP57" s="146">
        <f>AP58+AP59</f>
        <v>0</v>
      </c>
      <c r="AQ57" s="146">
        <f>AQ58+AQ59</f>
        <v>0</v>
      </c>
      <c r="AR57" s="146">
        <f>AR58+AR59</f>
        <v>0</v>
      </c>
      <c r="AS57" s="245"/>
      <c r="AT57" s="245"/>
      <c r="AU57" s="146">
        <f>AU58+AU59</f>
        <v>0</v>
      </c>
      <c r="AX57" s="152"/>
      <c r="AY57" s="157"/>
      <c r="AZ57" s="161"/>
      <c r="BA57" s="189"/>
      <c r="BB57" s="189"/>
      <c r="BC57" s="154" t="s">
        <v>888</v>
      </c>
      <c r="BD57" s="189"/>
      <c r="BE57" s="190"/>
      <c r="BF57" s="187">
        <f>BF58+BF59</f>
        <v>0</v>
      </c>
    </row>
    <row r="58" spans="1:58">
      <c r="A58" s="122">
        <v>1</v>
      </c>
      <c r="B58" s="30"/>
      <c r="C58" s="30"/>
      <c r="D58" s="100"/>
      <c r="E58" s="102" t="s">
        <v>903</v>
      </c>
      <c r="F58" s="33"/>
      <c r="G58" s="33"/>
      <c r="H58" s="33"/>
      <c r="I58" s="67"/>
      <c r="J58" s="74"/>
      <c r="K58" s="75"/>
      <c r="L58" s="75"/>
      <c r="M58" s="75"/>
      <c r="N58" s="75"/>
      <c r="O58" s="75"/>
      <c r="P58" s="75"/>
      <c r="Q58" s="75"/>
      <c r="R58" s="69"/>
      <c r="S58" s="69"/>
      <c r="T58" s="69"/>
      <c r="U58" s="69"/>
      <c r="V58" s="69"/>
      <c r="W58" s="69"/>
      <c r="X58" s="69"/>
      <c r="Y58" s="73"/>
      <c r="AH58" s="152"/>
      <c r="AI58" s="157"/>
      <c r="AJ58" s="161"/>
      <c r="AK58" s="150"/>
      <c r="AL58" s="150"/>
      <c r="AM58" s="150"/>
      <c r="AN58" s="154" t="s">
        <v>903</v>
      </c>
      <c r="AO58" s="151"/>
      <c r="AP58" s="146"/>
      <c r="AQ58" s="146"/>
      <c r="AR58" s="146"/>
      <c r="AS58" s="245"/>
      <c r="AT58" s="245"/>
      <c r="AU58" s="146"/>
      <c r="AX58" s="152"/>
      <c r="AY58" s="157"/>
      <c r="AZ58" s="161"/>
      <c r="BA58" s="189"/>
      <c r="BB58" s="189"/>
      <c r="BC58" s="189"/>
      <c r="BD58" s="154" t="s">
        <v>903</v>
      </c>
      <c r="BE58" s="190"/>
      <c r="BF58" s="187">
        <f>+AU58</f>
        <v>0</v>
      </c>
    </row>
    <row r="59" spans="1:58">
      <c r="A59" s="122">
        <v>1</v>
      </c>
      <c r="B59" s="30"/>
      <c r="C59" s="30"/>
      <c r="D59" s="100"/>
      <c r="E59" s="102" t="s">
        <v>904</v>
      </c>
      <c r="F59" s="33"/>
      <c r="G59" s="33"/>
      <c r="H59" s="33"/>
      <c r="I59" s="67"/>
      <c r="J59" s="74"/>
      <c r="K59" s="75"/>
      <c r="L59" s="75"/>
      <c r="M59" s="75"/>
      <c r="N59" s="75"/>
      <c r="O59" s="75"/>
      <c r="P59" s="75"/>
      <c r="Q59" s="75"/>
      <c r="R59" s="69"/>
      <c r="S59" s="69"/>
      <c r="T59" s="69"/>
      <c r="U59" s="69"/>
      <c r="V59" s="69"/>
      <c r="W59" s="69"/>
      <c r="X59" s="69"/>
      <c r="Y59" s="73"/>
      <c r="AH59" s="152"/>
      <c r="AI59" s="157"/>
      <c r="AJ59" s="161"/>
      <c r="AK59" s="150"/>
      <c r="AL59" s="150"/>
      <c r="AM59" s="150"/>
      <c r="AN59" s="154" t="s">
        <v>904</v>
      </c>
      <c r="AO59" s="151"/>
      <c r="AP59" s="146"/>
      <c r="AQ59" s="146"/>
      <c r="AR59" s="146"/>
      <c r="AS59" s="245"/>
      <c r="AT59" s="245"/>
      <c r="AU59" s="146"/>
      <c r="AX59" s="152"/>
      <c r="AY59" s="157"/>
      <c r="AZ59" s="161"/>
      <c r="BA59" s="189"/>
      <c r="BB59" s="189"/>
      <c r="BC59" s="189"/>
      <c r="BD59" s="154" t="s">
        <v>904</v>
      </c>
      <c r="BE59" s="190"/>
      <c r="BF59" s="187">
        <f>+AU59</f>
        <v>0</v>
      </c>
    </row>
    <row r="60" spans="1:58">
      <c r="A60" s="122">
        <v>1</v>
      </c>
      <c r="B60" s="30"/>
      <c r="C60" s="30"/>
      <c r="D60" s="100"/>
      <c r="E60" s="100" t="s">
        <v>905</v>
      </c>
      <c r="F60" s="33"/>
      <c r="G60" s="33"/>
      <c r="H60" s="33"/>
      <c r="I60" s="67"/>
      <c r="J60" s="74"/>
      <c r="K60" s="75"/>
      <c r="L60" s="75"/>
      <c r="M60" s="75"/>
      <c r="N60" s="75"/>
      <c r="O60" s="75"/>
      <c r="P60" s="75"/>
      <c r="Q60" s="75"/>
      <c r="R60" s="69"/>
      <c r="S60" s="69"/>
      <c r="T60" s="69"/>
      <c r="U60" s="69"/>
      <c r="V60" s="69"/>
      <c r="W60" s="69"/>
      <c r="X60" s="69"/>
      <c r="Y60" s="73"/>
      <c r="AH60" s="152"/>
      <c r="AI60" s="157"/>
      <c r="AJ60" s="161"/>
      <c r="AK60" s="150"/>
      <c r="AL60" s="150"/>
      <c r="AM60" s="154" t="s">
        <v>905</v>
      </c>
      <c r="AN60" s="150"/>
      <c r="AO60" s="151"/>
      <c r="AP60" s="146">
        <f>AP61+AP64</f>
        <v>0</v>
      </c>
      <c r="AQ60" s="146">
        <f>AQ61+AQ64</f>
        <v>0</v>
      </c>
      <c r="AR60" s="146">
        <f>AR61+AR64</f>
        <v>0</v>
      </c>
      <c r="AS60" s="245"/>
      <c r="AT60" s="245"/>
      <c r="AU60" s="146">
        <f>AU61+AU64</f>
        <v>0</v>
      </c>
      <c r="AX60" s="152"/>
      <c r="AY60" s="157"/>
      <c r="AZ60" s="161"/>
      <c r="BA60" s="189"/>
      <c r="BB60" s="189"/>
      <c r="BC60" s="154" t="s">
        <v>905</v>
      </c>
      <c r="BD60" s="189"/>
      <c r="BE60" s="190"/>
      <c r="BF60" s="187">
        <f>BF61+BF64</f>
        <v>0</v>
      </c>
    </row>
    <row r="61" spans="1:58">
      <c r="A61" s="122">
        <v>1</v>
      </c>
      <c r="B61" s="30"/>
      <c r="C61" s="30"/>
      <c r="D61" s="100"/>
      <c r="E61" s="102" t="s">
        <v>906</v>
      </c>
      <c r="F61" s="33"/>
      <c r="G61" s="33"/>
      <c r="H61" s="33"/>
      <c r="I61" s="67"/>
      <c r="J61" s="74"/>
      <c r="K61" s="75"/>
      <c r="L61" s="75"/>
      <c r="M61" s="75"/>
      <c r="N61" s="75"/>
      <c r="O61" s="75"/>
      <c r="P61" s="75"/>
      <c r="Q61" s="75"/>
      <c r="R61" s="69"/>
      <c r="S61" s="69"/>
      <c r="T61" s="69"/>
      <c r="U61" s="69"/>
      <c r="V61" s="69"/>
      <c r="W61" s="69"/>
      <c r="X61" s="69"/>
      <c r="Y61" s="73"/>
      <c r="AH61" s="152"/>
      <c r="AI61" s="157"/>
      <c r="AJ61" s="161"/>
      <c r="AK61" s="150"/>
      <c r="AL61" s="150"/>
      <c r="AM61" s="150"/>
      <c r="AN61" s="154" t="s">
        <v>906</v>
      </c>
      <c r="AO61" s="151"/>
      <c r="AP61" s="146">
        <f>AP62+AP63</f>
        <v>0</v>
      </c>
      <c r="AQ61" s="146">
        <f>AQ62+AQ63</f>
        <v>0</v>
      </c>
      <c r="AR61" s="146">
        <f>AR62+AR63</f>
        <v>0</v>
      </c>
      <c r="AS61" s="245"/>
      <c r="AT61" s="245"/>
      <c r="AU61" s="146">
        <f>AU62+AU63</f>
        <v>0</v>
      </c>
      <c r="AX61" s="152"/>
      <c r="AY61" s="157"/>
      <c r="AZ61" s="161"/>
      <c r="BA61" s="189"/>
      <c r="BB61" s="189"/>
      <c r="BC61" s="189"/>
      <c r="BD61" s="154" t="s">
        <v>906</v>
      </c>
      <c r="BE61" s="190"/>
      <c r="BF61" s="187">
        <f>BF62+BF63</f>
        <v>0</v>
      </c>
    </row>
    <row r="62" spans="1:58">
      <c r="A62" s="122">
        <v>1</v>
      </c>
      <c r="B62" s="30"/>
      <c r="C62" s="30"/>
      <c r="D62" s="100"/>
      <c r="E62" s="103" t="s">
        <v>907</v>
      </c>
      <c r="F62" s="33"/>
      <c r="G62" s="33"/>
      <c r="H62" s="33"/>
      <c r="I62" s="67"/>
      <c r="J62" s="74"/>
      <c r="K62" s="75"/>
      <c r="L62" s="75"/>
      <c r="M62" s="75"/>
      <c r="N62" s="75"/>
      <c r="O62" s="75"/>
      <c r="P62" s="75"/>
      <c r="Q62" s="75"/>
      <c r="R62" s="69"/>
      <c r="S62" s="69"/>
      <c r="T62" s="69"/>
      <c r="U62" s="69"/>
      <c r="V62" s="69"/>
      <c r="W62" s="69"/>
      <c r="X62" s="69"/>
      <c r="Y62" s="73"/>
      <c r="AH62" s="152"/>
      <c r="AI62" s="157"/>
      <c r="AJ62" s="161"/>
      <c r="AK62" s="150"/>
      <c r="AL62" s="150"/>
      <c r="AM62" s="150"/>
      <c r="AN62" s="162" t="s">
        <v>907</v>
      </c>
      <c r="AO62" s="151"/>
      <c r="AP62" s="146"/>
      <c r="AQ62" s="146"/>
      <c r="AR62" s="146"/>
      <c r="AS62" s="245"/>
      <c r="AT62" s="245"/>
      <c r="AU62" s="146"/>
      <c r="AX62" s="152"/>
      <c r="AY62" s="157"/>
      <c r="AZ62" s="161"/>
      <c r="BA62" s="189"/>
      <c r="BB62" s="189"/>
      <c r="BC62" s="189"/>
      <c r="BD62" s="162" t="s">
        <v>1368</v>
      </c>
      <c r="BE62" s="190"/>
      <c r="BF62" s="187">
        <f t="shared" ref="BF62:BF75" si="12">+AU62</f>
        <v>0</v>
      </c>
    </row>
    <row r="63" spans="1:58">
      <c r="A63" s="122">
        <v>1</v>
      </c>
      <c r="B63" s="30"/>
      <c r="C63" s="30"/>
      <c r="D63" s="100"/>
      <c r="E63" s="103" t="s">
        <v>908</v>
      </c>
      <c r="F63" s="33"/>
      <c r="G63" s="33"/>
      <c r="H63" s="33"/>
      <c r="I63" s="67"/>
      <c r="J63" s="74"/>
      <c r="K63" s="75"/>
      <c r="L63" s="75"/>
      <c r="M63" s="75"/>
      <c r="N63" s="75"/>
      <c r="O63" s="75"/>
      <c r="P63" s="75"/>
      <c r="Q63" s="75"/>
      <c r="R63" s="69"/>
      <c r="S63" s="69"/>
      <c r="T63" s="69"/>
      <c r="U63" s="69"/>
      <c r="V63" s="69"/>
      <c r="W63" s="69"/>
      <c r="X63" s="69"/>
      <c r="Y63" s="73"/>
      <c r="AH63" s="152"/>
      <c r="AI63" s="157"/>
      <c r="AJ63" s="161"/>
      <c r="AK63" s="150"/>
      <c r="AL63" s="150"/>
      <c r="AM63" s="150"/>
      <c r="AN63" s="162" t="s">
        <v>908</v>
      </c>
      <c r="AO63" s="151"/>
      <c r="AP63" s="146"/>
      <c r="AQ63" s="146"/>
      <c r="AR63" s="146"/>
      <c r="AS63" s="245"/>
      <c r="AT63" s="245"/>
      <c r="AU63" s="146"/>
      <c r="AX63" s="152"/>
      <c r="AY63" s="157"/>
      <c r="AZ63" s="161"/>
      <c r="BA63" s="189"/>
      <c r="BB63" s="189"/>
      <c r="BC63" s="189"/>
      <c r="BD63" s="162" t="s">
        <v>1369</v>
      </c>
      <c r="BE63" s="190"/>
      <c r="BF63" s="187">
        <f t="shared" si="12"/>
        <v>0</v>
      </c>
    </row>
    <row r="64" spans="1:58">
      <c r="A64" s="122">
        <v>1</v>
      </c>
      <c r="B64" s="30"/>
      <c r="C64" s="30"/>
      <c r="D64" s="100"/>
      <c r="E64" s="102" t="s">
        <v>909</v>
      </c>
      <c r="F64" s="33"/>
      <c r="G64" s="33"/>
      <c r="H64" s="33"/>
      <c r="I64" s="67"/>
      <c r="J64" s="74"/>
      <c r="K64" s="75"/>
      <c r="L64" s="75"/>
      <c r="M64" s="75"/>
      <c r="N64" s="75"/>
      <c r="O64" s="75"/>
      <c r="P64" s="75"/>
      <c r="Q64" s="75"/>
      <c r="R64" s="69"/>
      <c r="S64" s="69"/>
      <c r="T64" s="69"/>
      <c r="U64" s="69"/>
      <c r="V64" s="69"/>
      <c r="W64" s="69"/>
      <c r="X64" s="69"/>
      <c r="Y64" s="73"/>
      <c r="AH64" s="152"/>
      <c r="AI64" s="157"/>
      <c r="AJ64" s="161"/>
      <c r="AK64" s="150"/>
      <c r="AL64" s="150"/>
      <c r="AM64" s="150"/>
      <c r="AN64" s="154" t="s">
        <v>909</v>
      </c>
      <c r="AO64" s="151"/>
      <c r="AP64" s="146"/>
      <c r="AQ64" s="146"/>
      <c r="AR64" s="146"/>
      <c r="AS64" s="245"/>
      <c r="AT64" s="245"/>
      <c r="AU64" s="146"/>
      <c r="AX64" s="152"/>
      <c r="AY64" s="157"/>
      <c r="AZ64" s="161"/>
      <c r="BA64" s="189"/>
      <c r="BB64" s="189"/>
      <c r="BC64" s="189"/>
      <c r="BD64" s="162" t="s">
        <v>909</v>
      </c>
      <c r="BE64" s="190"/>
      <c r="BF64" s="187">
        <f t="shared" si="12"/>
        <v>0</v>
      </c>
    </row>
    <row r="65" spans="1:58">
      <c r="A65" s="122">
        <v>1</v>
      </c>
      <c r="B65" s="30"/>
      <c r="C65" s="30"/>
      <c r="D65" s="100"/>
      <c r="E65" s="30" t="s">
        <v>910</v>
      </c>
      <c r="F65" s="33"/>
      <c r="G65" s="33"/>
      <c r="H65" s="33"/>
      <c r="I65" s="67"/>
      <c r="J65" s="74"/>
      <c r="K65" s="75"/>
      <c r="L65" s="75"/>
      <c r="M65" s="75"/>
      <c r="N65" s="75"/>
      <c r="O65" s="75"/>
      <c r="P65" s="75"/>
      <c r="Q65" s="75"/>
      <c r="R65" s="69"/>
      <c r="S65" s="69"/>
      <c r="T65" s="69"/>
      <c r="U65" s="69"/>
      <c r="V65" s="69"/>
      <c r="W65" s="69"/>
      <c r="X65" s="69"/>
      <c r="Y65" s="73"/>
      <c r="AH65" s="152"/>
      <c r="AI65" s="157"/>
      <c r="AJ65" s="161"/>
      <c r="AK65" s="150"/>
      <c r="AL65" s="150"/>
      <c r="AM65" s="158" t="s">
        <v>910</v>
      </c>
      <c r="AN65" s="150"/>
      <c r="AO65" s="151"/>
      <c r="AP65" s="146">
        <f>SUM(AP66:AP72)</f>
        <v>0</v>
      </c>
      <c r="AQ65" s="146">
        <f>SUM(AQ66:AQ72)</f>
        <v>0</v>
      </c>
      <c r="AR65" s="146">
        <f>SUM(AR66:AR72)</f>
        <v>0</v>
      </c>
      <c r="AS65" s="245"/>
      <c r="AT65" s="245"/>
      <c r="AU65" s="146">
        <f>SUM(AU66:AU72)</f>
        <v>0</v>
      </c>
      <c r="AX65" s="152"/>
      <c r="AY65" s="157"/>
      <c r="AZ65" s="161"/>
      <c r="BA65" s="189"/>
      <c r="BB65" s="189"/>
      <c r="BC65" s="158" t="s">
        <v>910</v>
      </c>
      <c r="BD65" s="189"/>
      <c r="BE65" s="190"/>
      <c r="BF65" s="187">
        <f>SUM(BF66:BF72)</f>
        <v>0</v>
      </c>
    </row>
    <row r="66" spans="1:58">
      <c r="A66" s="122">
        <v>1</v>
      </c>
      <c r="B66" s="30"/>
      <c r="C66" s="30"/>
      <c r="D66" s="100"/>
      <c r="E66" s="100" t="s">
        <v>911</v>
      </c>
      <c r="F66" s="33"/>
      <c r="G66" s="33"/>
      <c r="H66" s="33"/>
      <c r="I66" s="67"/>
      <c r="J66" s="74"/>
      <c r="K66" s="75"/>
      <c r="L66" s="75"/>
      <c r="M66" s="75"/>
      <c r="N66" s="75"/>
      <c r="O66" s="75"/>
      <c r="P66" s="75"/>
      <c r="Q66" s="75"/>
      <c r="R66" s="69"/>
      <c r="S66" s="69"/>
      <c r="T66" s="69"/>
      <c r="U66" s="69"/>
      <c r="V66" s="69"/>
      <c r="W66" s="69"/>
      <c r="X66" s="69"/>
      <c r="Y66" s="73"/>
      <c r="AH66" s="152"/>
      <c r="AI66" s="157"/>
      <c r="AJ66" s="161"/>
      <c r="AK66" s="150"/>
      <c r="AL66" s="150"/>
      <c r="AM66" s="150"/>
      <c r="AN66" s="154" t="s">
        <v>911</v>
      </c>
      <c r="AO66" s="151"/>
      <c r="AP66" s="146"/>
      <c r="AQ66" s="146"/>
      <c r="AR66" s="146"/>
      <c r="AS66" s="245"/>
      <c r="AT66" s="245"/>
      <c r="AU66" s="146"/>
      <c r="AX66" s="152"/>
      <c r="AY66" s="157"/>
      <c r="AZ66" s="161"/>
      <c r="BA66" s="189"/>
      <c r="BB66" s="189"/>
      <c r="BC66" s="189"/>
      <c r="BD66" s="154" t="s">
        <v>911</v>
      </c>
      <c r="BE66" s="190"/>
      <c r="BF66" s="187">
        <f t="shared" si="12"/>
        <v>0</v>
      </c>
    </row>
    <row r="67" spans="1:58">
      <c r="A67" s="122">
        <v>1</v>
      </c>
      <c r="B67" s="30"/>
      <c r="C67" s="30"/>
      <c r="D67" s="100"/>
      <c r="E67" s="100" t="s">
        <v>912</v>
      </c>
      <c r="F67" s="33"/>
      <c r="G67" s="33"/>
      <c r="H67" s="33"/>
      <c r="I67" s="67"/>
      <c r="J67" s="74"/>
      <c r="K67" s="75"/>
      <c r="L67" s="75"/>
      <c r="M67" s="75"/>
      <c r="N67" s="75"/>
      <c r="O67" s="75"/>
      <c r="P67" s="75"/>
      <c r="Q67" s="75"/>
      <c r="R67" s="69"/>
      <c r="S67" s="69"/>
      <c r="T67" s="69"/>
      <c r="U67" s="69"/>
      <c r="V67" s="69"/>
      <c r="W67" s="69"/>
      <c r="X67" s="69"/>
      <c r="Y67" s="73"/>
      <c r="AH67" s="152"/>
      <c r="AI67" s="157"/>
      <c r="AJ67" s="161"/>
      <c r="AK67" s="150"/>
      <c r="AL67" s="150"/>
      <c r="AM67" s="150"/>
      <c r="AN67" s="154" t="s">
        <v>912</v>
      </c>
      <c r="AO67" s="151"/>
      <c r="AP67" s="146"/>
      <c r="AQ67" s="146"/>
      <c r="AR67" s="146"/>
      <c r="AS67" s="245"/>
      <c r="AT67" s="245"/>
      <c r="AU67" s="146"/>
      <c r="AX67" s="152"/>
      <c r="AY67" s="157"/>
      <c r="AZ67" s="161"/>
      <c r="BA67" s="189"/>
      <c r="BB67" s="189"/>
      <c r="BC67" s="189"/>
      <c r="BD67" s="154" t="s">
        <v>912</v>
      </c>
      <c r="BE67" s="190"/>
      <c r="BF67" s="187">
        <f t="shared" si="12"/>
        <v>0</v>
      </c>
    </row>
    <row r="68" spans="1:58">
      <c r="A68" s="122">
        <v>1</v>
      </c>
      <c r="B68" s="30"/>
      <c r="C68" s="30"/>
      <c r="D68" s="100"/>
      <c r="E68" s="100" t="s">
        <v>913</v>
      </c>
      <c r="F68" s="33"/>
      <c r="G68" s="33"/>
      <c r="H68" s="33"/>
      <c r="I68" s="67"/>
      <c r="J68" s="74"/>
      <c r="K68" s="75"/>
      <c r="L68" s="75"/>
      <c r="M68" s="75"/>
      <c r="N68" s="75"/>
      <c r="O68" s="75"/>
      <c r="P68" s="75"/>
      <c r="Q68" s="75"/>
      <c r="R68" s="69"/>
      <c r="S68" s="69"/>
      <c r="T68" s="69"/>
      <c r="U68" s="69"/>
      <c r="V68" s="69"/>
      <c r="W68" s="69"/>
      <c r="X68" s="69"/>
      <c r="Y68" s="73"/>
      <c r="AH68" s="152"/>
      <c r="AI68" s="157"/>
      <c r="AJ68" s="161"/>
      <c r="AK68" s="150"/>
      <c r="AL68" s="150"/>
      <c r="AM68" s="150"/>
      <c r="AN68" s="154" t="s">
        <v>913</v>
      </c>
      <c r="AO68" s="151"/>
      <c r="AP68" s="146"/>
      <c r="AQ68" s="146"/>
      <c r="AR68" s="146"/>
      <c r="AS68" s="245"/>
      <c r="AT68" s="245"/>
      <c r="AU68" s="146"/>
      <c r="AX68" s="152"/>
      <c r="AY68" s="157"/>
      <c r="AZ68" s="161"/>
      <c r="BA68" s="189"/>
      <c r="BB68" s="189"/>
      <c r="BC68" s="189"/>
      <c r="BD68" s="154" t="s">
        <v>913</v>
      </c>
      <c r="BE68" s="190"/>
      <c r="BF68" s="187">
        <f t="shared" si="12"/>
        <v>0</v>
      </c>
    </row>
    <row r="69" spans="1:58">
      <c r="A69" s="122">
        <v>1</v>
      </c>
      <c r="B69" s="30"/>
      <c r="C69" s="30"/>
      <c r="D69" s="100"/>
      <c r="E69" s="100" t="s">
        <v>914</v>
      </c>
      <c r="F69" s="33"/>
      <c r="G69" s="33"/>
      <c r="H69" s="33"/>
      <c r="I69" s="67"/>
      <c r="J69" s="74"/>
      <c r="K69" s="75"/>
      <c r="L69" s="75"/>
      <c r="M69" s="75"/>
      <c r="N69" s="75"/>
      <c r="O69" s="75"/>
      <c r="P69" s="75"/>
      <c r="Q69" s="75"/>
      <c r="R69" s="69"/>
      <c r="S69" s="69"/>
      <c r="T69" s="69"/>
      <c r="U69" s="69"/>
      <c r="V69" s="69"/>
      <c r="W69" s="69"/>
      <c r="X69" s="69"/>
      <c r="Y69" s="73"/>
      <c r="AH69" s="152"/>
      <c r="AI69" s="157"/>
      <c r="AJ69" s="161"/>
      <c r="AK69" s="150"/>
      <c r="AL69" s="150"/>
      <c r="AM69" s="150"/>
      <c r="AN69" s="154" t="s">
        <v>914</v>
      </c>
      <c r="AO69" s="151"/>
      <c r="AP69" s="146"/>
      <c r="AQ69" s="146"/>
      <c r="AR69" s="146"/>
      <c r="AS69" s="245"/>
      <c r="AT69" s="245"/>
      <c r="AU69" s="146"/>
      <c r="AX69" s="152"/>
      <c r="AY69" s="157"/>
      <c r="AZ69" s="161"/>
      <c r="BA69" s="189"/>
      <c r="BB69" s="189"/>
      <c r="BC69" s="189"/>
      <c r="BD69" s="154" t="s">
        <v>914</v>
      </c>
      <c r="BE69" s="190"/>
      <c r="BF69" s="187">
        <f t="shared" si="12"/>
        <v>0</v>
      </c>
    </row>
    <row r="70" spans="1:58">
      <c r="A70" s="122">
        <v>1</v>
      </c>
      <c r="B70" s="30"/>
      <c r="C70" s="30"/>
      <c r="D70" s="100"/>
      <c r="E70" s="100" t="s">
        <v>915</v>
      </c>
      <c r="F70" s="33"/>
      <c r="G70" s="33"/>
      <c r="H70" s="33"/>
      <c r="I70" s="67"/>
      <c r="J70" s="74"/>
      <c r="K70" s="75"/>
      <c r="L70" s="75"/>
      <c r="M70" s="75"/>
      <c r="N70" s="75"/>
      <c r="O70" s="75"/>
      <c r="P70" s="75"/>
      <c r="Q70" s="75"/>
      <c r="R70" s="69"/>
      <c r="S70" s="69"/>
      <c r="T70" s="69"/>
      <c r="U70" s="69"/>
      <c r="V70" s="69"/>
      <c r="W70" s="69"/>
      <c r="X70" s="69"/>
      <c r="Y70" s="73"/>
      <c r="AH70" s="152"/>
      <c r="AI70" s="157"/>
      <c r="AJ70" s="161"/>
      <c r="AK70" s="150"/>
      <c r="AL70" s="150"/>
      <c r="AM70" s="150"/>
      <c r="AN70" s="154" t="s">
        <v>915</v>
      </c>
      <c r="AO70" s="151"/>
      <c r="AP70" s="146"/>
      <c r="AQ70" s="146"/>
      <c r="AR70" s="146"/>
      <c r="AS70" s="245"/>
      <c r="AT70" s="245"/>
      <c r="AU70" s="146"/>
      <c r="AX70" s="152"/>
      <c r="AY70" s="157"/>
      <c r="AZ70" s="161"/>
      <c r="BA70" s="189"/>
      <c r="BB70" s="189"/>
      <c r="BC70" s="189"/>
      <c r="BD70" s="154" t="s">
        <v>915</v>
      </c>
      <c r="BE70" s="190"/>
      <c r="BF70" s="187">
        <f t="shared" si="12"/>
        <v>0</v>
      </c>
    </row>
    <row r="71" spans="1:58">
      <c r="A71" s="122">
        <v>1</v>
      </c>
      <c r="B71" s="30"/>
      <c r="C71" s="30"/>
      <c r="D71" s="100"/>
      <c r="E71" s="100" t="s">
        <v>916</v>
      </c>
      <c r="F71" s="33"/>
      <c r="G71" s="33"/>
      <c r="H71" s="33"/>
      <c r="I71" s="67"/>
      <c r="J71" s="74"/>
      <c r="K71" s="75"/>
      <c r="L71" s="75"/>
      <c r="M71" s="75"/>
      <c r="N71" s="75"/>
      <c r="O71" s="75"/>
      <c r="P71" s="75"/>
      <c r="Q71" s="75"/>
      <c r="R71" s="69"/>
      <c r="S71" s="69"/>
      <c r="T71" s="69"/>
      <c r="U71" s="69"/>
      <c r="V71" s="69"/>
      <c r="W71" s="69"/>
      <c r="X71" s="69"/>
      <c r="Y71" s="73"/>
      <c r="AH71" s="152"/>
      <c r="AI71" s="157"/>
      <c r="AJ71" s="161"/>
      <c r="AK71" s="150"/>
      <c r="AL71" s="150"/>
      <c r="AM71" s="150"/>
      <c r="AN71" s="154" t="s">
        <v>916</v>
      </c>
      <c r="AO71" s="151"/>
      <c r="AP71" s="146"/>
      <c r="AQ71" s="146"/>
      <c r="AR71" s="146"/>
      <c r="AS71" s="245"/>
      <c r="AT71" s="245"/>
      <c r="AU71" s="146"/>
      <c r="AX71" s="152"/>
      <c r="AY71" s="157"/>
      <c r="AZ71" s="161"/>
      <c r="BA71" s="189"/>
      <c r="BB71" s="189"/>
      <c r="BC71" s="189"/>
      <c r="BD71" s="154" t="s">
        <v>916</v>
      </c>
      <c r="BE71" s="190"/>
      <c r="BF71" s="187">
        <f t="shared" si="12"/>
        <v>0</v>
      </c>
    </row>
    <row r="72" spans="1:58">
      <c r="A72" s="122">
        <v>1</v>
      </c>
      <c r="B72" s="30"/>
      <c r="C72" s="30"/>
      <c r="D72" s="100"/>
      <c r="E72" s="100" t="s">
        <v>917</v>
      </c>
      <c r="F72" s="33"/>
      <c r="G72" s="33"/>
      <c r="H72" s="33"/>
      <c r="I72" s="67"/>
      <c r="J72" s="74"/>
      <c r="K72" s="75"/>
      <c r="L72" s="75"/>
      <c r="M72" s="75"/>
      <c r="N72" s="75"/>
      <c r="O72" s="75"/>
      <c r="P72" s="75"/>
      <c r="Q72" s="75"/>
      <c r="R72" s="69"/>
      <c r="S72" s="69"/>
      <c r="T72" s="69"/>
      <c r="U72" s="69"/>
      <c r="V72" s="69"/>
      <c r="W72" s="69"/>
      <c r="X72" s="69"/>
      <c r="Y72" s="73"/>
      <c r="AH72" s="152"/>
      <c r="AI72" s="157"/>
      <c r="AJ72" s="161"/>
      <c r="AK72" s="150"/>
      <c r="AL72" s="150"/>
      <c r="AM72" s="150"/>
      <c r="AN72" s="154" t="s">
        <v>917</v>
      </c>
      <c r="AO72" s="151"/>
      <c r="AP72" s="146"/>
      <c r="AQ72" s="146"/>
      <c r="AR72" s="146"/>
      <c r="AS72" s="245"/>
      <c r="AT72" s="245"/>
      <c r="AU72" s="146"/>
      <c r="AX72" s="152"/>
      <c r="AY72" s="157"/>
      <c r="AZ72" s="161"/>
      <c r="BA72" s="189"/>
      <c r="BB72" s="189"/>
      <c r="BC72" s="189"/>
      <c r="BD72" s="154" t="s">
        <v>917</v>
      </c>
      <c r="BE72" s="190"/>
      <c r="BF72" s="187">
        <f t="shared" si="12"/>
        <v>0</v>
      </c>
    </row>
    <row r="73" spans="1:58">
      <c r="A73" s="122">
        <v>1</v>
      </c>
      <c r="B73" s="30"/>
      <c r="C73" s="30"/>
      <c r="D73" s="101"/>
      <c r="E73" s="31" t="s">
        <v>950</v>
      </c>
      <c r="F73" s="33"/>
      <c r="G73" s="33"/>
      <c r="H73" s="33"/>
      <c r="I73" s="67"/>
      <c r="J73" s="74"/>
      <c r="K73" s="75"/>
      <c r="L73" s="75"/>
      <c r="M73" s="75"/>
      <c r="N73" s="75"/>
      <c r="O73" s="75"/>
      <c r="P73" s="75"/>
      <c r="Q73" s="75"/>
      <c r="R73" s="69"/>
      <c r="S73" s="69"/>
      <c r="T73" s="69"/>
      <c r="U73" s="69"/>
      <c r="V73" s="69"/>
      <c r="W73" s="69"/>
      <c r="X73" s="69"/>
      <c r="Y73" s="73"/>
      <c r="AH73" s="152"/>
      <c r="AI73" s="157"/>
      <c r="AJ73" s="162"/>
      <c r="AK73" s="150"/>
      <c r="AL73" s="150"/>
      <c r="AM73" s="154" t="s">
        <v>950</v>
      </c>
      <c r="AN73" s="150"/>
      <c r="AO73" s="151"/>
      <c r="AP73" s="146">
        <f t="shared" ref="AP73:AU73" si="13">AP74+AP75</f>
        <v>0</v>
      </c>
      <c r="AQ73" s="146">
        <f t="shared" si="13"/>
        <v>0</v>
      </c>
      <c r="AR73" s="146">
        <f t="shared" si="13"/>
        <v>0</v>
      </c>
      <c r="AS73" s="245"/>
      <c r="AT73" s="245"/>
      <c r="AU73" s="146">
        <f t="shared" si="13"/>
        <v>0</v>
      </c>
      <c r="AX73" s="152"/>
      <c r="AY73" s="157"/>
      <c r="AZ73" s="162"/>
      <c r="BA73" s="189"/>
      <c r="BB73" s="189"/>
      <c r="BC73" s="154" t="s">
        <v>950</v>
      </c>
      <c r="BD73" s="189"/>
      <c r="BE73" s="190"/>
      <c r="BF73" s="187">
        <f>BF74+BF75</f>
        <v>0</v>
      </c>
    </row>
    <row r="74" spans="1:58">
      <c r="A74" s="122">
        <v>1</v>
      </c>
      <c r="B74" s="30"/>
      <c r="C74" s="30"/>
      <c r="D74" s="101"/>
      <c r="E74" s="100" t="s">
        <v>903</v>
      </c>
      <c r="F74" s="33"/>
      <c r="G74" s="33"/>
      <c r="H74" s="33"/>
      <c r="I74" s="67"/>
      <c r="J74" s="74"/>
      <c r="K74" s="75"/>
      <c r="L74" s="75"/>
      <c r="M74" s="75"/>
      <c r="N74" s="75"/>
      <c r="O74" s="75"/>
      <c r="P74" s="75"/>
      <c r="Q74" s="75"/>
      <c r="R74" s="69"/>
      <c r="S74" s="69"/>
      <c r="T74" s="69"/>
      <c r="U74" s="69"/>
      <c r="V74" s="69"/>
      <c r="W74" s="69"/>
      <c r="X74" s="69"/>
      <c r="Y74" s="73"/>
      <c r="AH74" s="152"/>
      <c r="AI74" s="157"/>
      <c r="AJ74" s="162"/>
      <c r="AK74" s="150"/>
      <c r="AL74" s="150"/>
      <c r="AM74" s="150"/>
      <c r="AN74" s="154" t="s">
        <v>903</v>
      </c>
      <c r="AO74" s="151"/>
      <c r="AP74" s="146"/>
      <c r="AQ74" s="146"/>
      <c r="AR74" s="146"/>
      <c r="AS74" s="245"/>
      <c r="AT74" s="245"/>
      <c r="AU74" s="146"/>
      <c r="AX74" s="152"/>
      <c r="AY74" s="157"/>
      <c r="AZ74" s="162"/>
      <c r="BA74" s="189"/>
      <c r="BB74" s="189"/>
      <c r="BC74" s="189"/>
      <c r="BD74" s="154" t="s">
        <v>903</v>
      </c>
      <c r="BE74" s="190"/>
      <c r="BF74" s="187">
        <f t="shared" si="12"/>
        <v>0</v>
      </c>
    </row>
    <row r="75" spans="1:58">
      <c r="A75" s="122">
        <v>1</v>
      </c>
      <c r="B75" s="30"/>
      <c r="C75" s="30"/>
      <c r="D75" s="101"/>
      <c r="E75" s="100" t="s">
        <v>913</v>
      </c>
      <c r="F75" s="33"/>
      <c r="G75" s="33"/>
      <c r="H75" s="33"/>
      <c r="I75" s="67"/>
      <c r="J75" s="74"/>
      <c r="K75" s="75"/>
      <c r="L75" s="75"/>
      <c r="M75" s="75"/>
      <c r="N75" s="75"/>
      <c r="O75" s="75"/>
      <c r="P75" s="75"/>
      <c r="Q75" s="75"/>
      <c r="R75" s="69"/>
      <c r="S75" s="69"/>
      <c r="T75" s="69"/>
      <c r="U75" s="69"/>
      <c r="V75" s="69"/>
      <c r="W75" s="69"/>
      <c r="X75" s="69"/>
      <c r="Y75" s="73"/>
      <c r="AH75" s="152"/>
      <c r="AI75" s="157"/>
      <c r="AJ75" s="162"/>
      <c r="AK75" s="150"/>
      <c r="AL75" s="150"/>
      <c r="AM75" s="150"/>
      <c r="AN75" s="154" t="s">
        <v>913</v>
      </c>
      <c r="AO75" s="151"/>
      <c r="AP75" s="146"/>
      <c r="AQ75" s="146"/>
      <c r="AR75" s="146"/>
      <c r="AS75" s="245"/>
      <c r="AT75" s="245"/>
      <c r="AU75" s="146"/>
      <c r="AX75" s="152"/>
      <c r="AY75" s="157"/>
      <c r="AZ75" s="162"/>
      <c r="BA75" s="189"/>
      <c r="BB75" s="189"/>
      <c r="BC75" s="189"/>
      <c r="BD75" s="154" t="s">
        <v>913</v>
      </c>
      <c r="BE75" s="190"/>
      <c r="BF75" s="187">
        <f t="shared" si="12"/>
        <v>0</v>
      </c>
    </row>
    <row r="76" spans="1:58">
      <c r="A76" s="122">
        <v>1</v>
      </c>
      <c r="B76" s="31"/>
      <c r="C76" s="30"/>
      <c r="D76" s="100" t="s">
        <v>663</v>
      </c>
      <c r="E76" s="32"/>
      <c r="F76" s="33" t="s">
        <v>799</v>
      </c>
      <c r="G76" s="33">
        <v>311</v>
      </c>
      <c r="H76" s="76"/>
      <c r="I76" s="67">
        <v>1</v>
      </c>
      <c r="J76" s="77">
        <v>1.7396520695860829E-2</v>
      </c>
      <c r="K76" s="75" t="e">
        <f>+$J76*GETPIVOTDATA("PPEF 2010 ",#REF!,"No. Ramo",8,"IPP","S","PP",230,"UR",311)</f>
        <v>#REF!</v>
      </c>
      <c r="L76" s="75" t="e">
        <f>+$J76*GETPIVOTDATA("Ampliación Neta DIP ",#REF!,"No. Ramo",8,"IPP","S","PP",230,"UR",311)</f>
        <v>#REF!</v>
      </c>
      <c r="M76" s="75" t="e">
        <f>+$J76*GETPIVOTDATA("Recorte SHCP ",#REF!,"No. Ramo",8,"IPP","S","PP",230,"UR",311)</f>
        <v>#REF!</v>
      </c>
      <c r="N76" s="75" t="e">
        <f>+$J76*GETPIVOTDATA("PEF 2010 ",#REF!,"No. Ramo",8,"IPP","S","PP",230,"UR",311)</f>
        <v>#REF!</v>
      </c>
      <c r="O76" s="75" t="e">
        <f>+$J76*GETPIVOTDATA("PPEF 2011 ",#REF!,"No. Ramo",8,"IPP","S","PP",230,"UR",311)</f>
        <v>#REF!</v>
      </c>
      <c r="P76" s="75" t="e">
        <f>+$J76*GETPIVOTDATA("Reducción ",#REF!,"No. Ramo",8,"IPP","S","PP",230,"UR",311)</f>
        <v>#REF!</v>
      </c>
      <c r="Q76" s="75" t="e">
        <f>+$J76*GETPIVOTDATA("Ampliación ",#REF!,"No. Ramo",8,"IPP","S","PP",230,"UR",311)</f>
        <v>#REF!</v>
      </c>
      <c r="R76" s="69" t="e">
        <f>O76+Q76-P76</f>
        <v>#REF!</v>
      </c>
      <c r="S76" s="69"/>
      <c r="T76" s="69"/>
      <c r="U76" s="69" t="e">
        <f>+$I76*O76</f>
        <v>#REF!</v>
      </c>
      <c r="V76" s="69" t="e">
        <f>+$I76*P76</f>
        <v>#REF!</v>
      </c>
      <c r="W76" s="69" t="e">
        <f>+$I76*Q76</f>
        <v>#REF!</v>
      </c>
      <c r="X76" s="69" t="e">
        <f>+$I76*R76</f>
        <v>#REF!</v>
      </c>
      <c r="Y76" s="73"/>
      <c r="AH76" s="152"/>
      <c r="AI76" s="157"/>
      <c r="AJ76" s="150"/>
      <c r="AK76" s="154" t="s">
        <v>663</v>
      </c>
      <c r="AL76" s="163"/>
      <c r="AM76" s="150"/>
      <c r="AN76" s="150"/>
      <c r="AO76" s="151"/>
      <c r="AP76" s="146"/>
      <c r="AQ76" s="146"/>
      <c r="AR76" s="146"/>
      <c r="AS76" s="245"/>
      <c r="AT76" s="245"/>
      <c r="AU76" s="146"/>
      <c r="AX76" s="152"/>
      <c r="AY76" s="157"/>
      <c r="AZ76" s="189"/>
      <c r="BA76" s="154" t="s">
        <v>663</v>
      </c>
      <c r="BB76" s="163"/>
      <c r="BC76" s="189"/>
      <c r="BD76" s="189"/>
      <c r="BE76" s="190"/>
      <c r="BF76" s="187"/>
    </row>
    <row r="77" spans="1:58">
      <c r="A77" s="122">
        <v>1</v>
      </c>
      <c r="B77" s="31"/>
      <c r="C77" s="30"/>
      <c r="D77" s="30" t="s">
        <v>664</v>
      </c>
      <c r="E77" s="30"/>
      <c r="F77" s="33"/>
      <c r="G77" s="33"/>
      <c r="H77" s="33"/>
      <c r="I77" s="67"/>
      <c r="J77" s="33"/>
      <c r="K77" s="70" t="e">
        <f t="shared" ref="K77:Q77" si="14">+K78</f>
        <v>#REF!</v>
      </c>
      <c r="L77" s="70" t="e">
        <f t="shared" si="14"/>
        <v>#REF!</v>
      </c>
      <c r="M77" s="70" t="e">
        <f t="shared" si="14"/>
        <v>#REF!</v>
      </c>
      <c r="N77" s="70" t="e">
        <f t="shared" si="14"/>
        <v>#REF!</v>
      </c>
      <c r="O77" s="70" t="e">
        <f t="shared" si="14"/>
        <v>#REF!</v>
      </c>
      <c r="P77" s="70" t="e">
        <f t="shared" si="14"/>
        <v>#REF!</v>
      </c>
      <c r="Q77" s="70" t="e">
        <f t="shared" si="14"/>
        <v>#REF!</v>
      </c>
      <c r="R77" s="69" t="e">
        <f>O77+Q77-P77</f>
        <v>#REF!</v>
      </c>
      <c r="S77" s="69"/>
      <c r="T77" s="69"/>
      <c r="U77" s="70" t="e">
        <f>+U78</f>
        <v>#REF!</v>
      </c>
      <c r="V77" s="70" t="e">
        <f>+V78</f>
        <v>#REF!</v>
      </c>
      <c r="W77" s="70" t="e">
        <f>+W78</f>
        <v>#REF!</v>
      </c>
      <c r="X77" s="70" t="e">
        <f>+X78</f>
        <v>#REF!</v>
      </c>
      <c r="Y77" s="73"/>
      <c r="AH77" s="152"/>
      <c r="AI77" s="157"/>
      <c r="AJ77" s="158" t="s">
        <v>664</v>
      </c>
      <c r="AK77" s="155"/>
      <c r="AL77" s="150"/>
      <c r="AM77" s="150"/>
      <c r="AN77" s="150"/>
      <c r="AO77" s="151"/>
      <c r="AP77" s="146">
        <f t="shared" ref="AP77:AU77" si="15">AP78</f>
        <v>0</v>
      </c>
      <c r="AQ77" s="146">
        <f t="shared" si="15"/>
        <v>0</v>
      </c>
      <c r="AR77" s="146">
        <f t="shared" si="15"/>
        <v>0</v>
      </c>
      <c r="AS77" s="245"/>
      <c r="AT77" s="245"/>
      <c r="AU77" s="146">
        <f t="shared" si="15"/>
        <v>0</v>
      </c>
      <c r="AX77" s="152"/>
      <c r="AY77" s="157"/>
      <c r="AZ77" s="158" t="s">
        <v>664</v>
      </c>
      <c r="BA77" s="155"/>
      <c r="BB77" s="189"/>
      <c r="BC77" s="189"/>
      <c r="BD77" s="189"/>
      <c r="BE77" s="190"/>
      <c r="BF77" s="187">
        <f>BF78</f>
        <v>0</v>
      </c>
    </row>
    <row r="78" spans="1:58">
      <c r="A78" s="122">
        <v>1</v>
      </c>
      <c r="B78" s="31"/>
      <c r="C78" s="30"/>
      <c r="D78" s="100" t="s">
        <v>918</v>
      </c>
      <c r="E78" s="30"/>
      <c r="F78" s="33" t="s">
        <v>799</v>
      </c>
      <c r="G78" s="33">
        <v>116</v>
      </c>
      <c r="H78" s="33"/>
      <c r="I78" s="67">
        <v>1</v>
      </c>
      <c r="J78" s="33"/>
      <c r="K78" s="75" t="e">
        <f>+GETPIVOTDATA("PPEF 2010 ",#REF!,"No. Ramo",8,"IPP","S","PP",230,"UR",116)</f>
        <v>#REF!</v>
      </c>
      <c r="L78" s="75" t="e">
        <f>+GETPIVOTDATA("Ampliación Neta DIP ",#REF!,"No. Ramo",8,"IPP","S","PP",230,"UR",116)</f>
        <v>#REF!</v>
      </c>
      <c r="M78" s="75" t="e">
        <f>+GETPIVOTDATA("Recorte SHCP ",#REF!,"No. Ramo",8,"IPP","S","PP",230,"UR",116)</f>
        <v>#REF!</v>
      </c>
      <c r="N78" s="75" t="e">
        <f>+GETPIVOTDATA("PEF 2010 ",#REF!,"No. Ramo",8,"IPP","S","PP",230,"UR",116)</f>
        <v>#REF!</v>
      </c>
      <c r="O78" s="75" t="e">
        <f>+GETPIVOTDATA("PPEF 2011 ",#REF!,"No. Ramo",8,"IPP","S","PP",230,"UR",116)</f>
        <v>#REF!</v>
      </c>
      <c r="P78" s="75" t="e">
        <f>+GETPIVOTDATA("Reducción ",#REF!,"No. Ramo",8,"IPP","S","PP",230,"UR",116)</f>
        <v>#REF!</v>
      </c>
      <c r="Q78" s="75" t="e">
        <f>+GETPIVOTDATA("Ampliación ",#REF!,"No. Ramo",8,"IPP","S","PP",230,"UR",116)</f>
        <v>#REF!</v>
      </c>
      <c r="R78" s="69" t="e">
        <f>O78+Q78-P78</f>
        <v>#REF!</v>
      </c>
      <c r="S78" s="69"/>
      <c r="T78" s="69"/>
      <c r="U78" s="69" t="e">
        <f>+$I78*O78</f>
        <v>#REF!</v>
      </c>
      <c r="V78" s="69" t="e">
        <f>+$I78*P78</f>
        <v>#REF!</v>
      </c>
      <c r="W78" s="69" t="e">
        <f>+$I78*Q78</f>
        <v>#REF!</v>
      </c>
      <c r="X78" s="69" t="e">
        <f>+$I78*R78</f>
        <v>#REF!</v>
      </c>
      <c r="Y78" s="73"/>
      <c r="AH78" s="152"/>
      <c r="AI78" s="157"/>
      <c r="AJ78" s="158"/>
      <c r="AK78" s="154" t="s">
        <v>918</v>
      </c>
      <c r="AL78" s="150"/>
      <c r="AM78" s="150"/>
      <c r="AN78" s="150"/>
      <c r="AO78" s="151"/>
      <c r="AP78" s="146">
        <f>AP79+AP83</f>
        <v>0</v>
      </c>
      <c r="AQ78" s="146">
        <f>AQ79+AQ83</f>
        <v>0</v>
      </c>
      <c r="AR78" s="146">
        <f>AR79+AR83</f>
        <v>0</v>
      </c>
      <c r="AS78" s="245"/>
      <c r="AT78" s="245"/>
      <c r="AU78" s="146">
        <f>AU79+AU83</f>
        <v>0</v>
      </c>
      <c r="AX78" s="152"/>
      <c r="AY78" s="157"/>
      <c r="AZ78" s="158"/>
      <c r="BA78" s="154" t="s">
        <v>918</v>
      </c>
      <c r="BB78" s="189"/>
      <c r="BC78" s="189"/>
      <c r="BD78" s="189"/>
      <c r="BE78" s="190"/>
      <c r="BF78" s="187">
        <f>BF79+BF83</f>
        <v>0</v>
      </c>
    </row>
    <row r="79" spans="1:58">
      <c r="A79" s="122">
        <v>1</v>
      </c>
      <c r="B79" s="31"/>
      <c r="C79" s="30"/>
      <c r="D79" s="100"/>
      <c r="E79" s="30" t="s">
        <v>875</v>
      </c>
      <c r="F79" s="33"/>
      <c r="G79" s="33"/>
      <c r="H79" s="33"/>
      <c r="I79" s="67"/>
      <c r="J79" s="33"/>
      <c r="K79" s="75"/>
      <c r="L79" s="75"/>
      <c r="M79" s="75"/>
      <c r="N79" s="75"/>
      <c r="O79" s="75"/>
      <c r="P79" s="75"/>
      <c r="Q79" s="75"/>
      <c r="R79" s="69"/>
      <c r="S79" s="69"/>
      <c r="T79" s="69"/>
      <c r="U79" s="69"/>
      <c r="V79" s="69"/>
      <c r="W79" s="69"/>
      <c r="X79" s="69"/>
      <c r="Y79" s="73"/>
      <c r="AH79" s="152"/>
      <c r="AI79" s="157"/>
      <c r="AJ79" s="150"/>
      <c r="AK79" s="155"/>
      <c r="AL79" s="158" t="s">
        <v>875</v>
      </c>
      <c r="AM79" s="150"/>
      <c r="AN79" s="150"/>
      <c r="AO79" s="151"/>
      <c r="AP79" s="146">
        <f t="shared" ref="AP79:AU79" si="16">AP80+AP81+AP82</f>
        <v>0</v>
      </c>
      <c r="AQ79" s="146">
        <f t="shared" si="16"/>
        <v>0</v>
      </c>
      <c r="AR79" s="146">
        <f t="shared" si="16"/>
        <v>0</v>
      </c>
      <c r="AS79" s="245"/>
      <c r="AT79" s="245"/>
      <c r="AU79" s="146">
        <f t="shared" si="16"/>
        <v>0</v>
      </c>
      <c r="AX79" s="152"/>
      <c r="AY79" s="157"/>
      <c r="AZ79" s="189"/>
      <c r="BA79" s="155"/>
      <c r="BB79" s="158" t="s">
        <v>875</v>
      </c>
      <c r="BC79" s="189"/>
      <c r="BD79" s="189"/>
      <c r="BE79" s="190"/>
      <c r="BF79" s="187">
        <f>BF80+BF81+BF82</f>
        <v>0</v>
      </c>
    </row>
    <row r="80" spans="1:58">
      <c r="A80" s="122">
        <v>1</v>
      </c>
      <c r="B80" s="31"/>
      <c r="C80" s="30"/>
      <c r="D80" s="100"/>
      <c r="E80" s="100" t="s">
        <v>919</v>
      </c>
      <c r="F80" s="33"/>
      <c r="G80" s="33"/>
      <c r="H80" s="33"/>
      <c r="I80" s="67"/>
      <c r="J80" s="33"/>
      <c r="K80" s="75"/>
      <c r="L80" s="75"/>
      <c r="M80" s="75"/>
      <c r="N80" s="75"/>
      <c r="O80" s="75"/>
      <c r="P80" s="75"/>
      <c r="Q80" s="75"/>
      <c r="R80" s="69"/>
      <c r="S80" s="69"/>
      <c r="T80" s="69"/>
      <c r="U80" s="69"/>
      <c r="V80" s="69"/>
      <c r="W80" s="69"/>
      <c r="X80" s="69"/>
      <c r="Y80" s="73"/>
      <c r="AH80" s="152"/>
      <c r="AI80" s="157"/>
      <c r="AJ80" s="150"/>
      <c r="AK80" s="155"/>
      <c r="AL80" s="150"/>
      <c r="AM80" s="154" t="s">
        <v>919</v>
      </c>
      <c r="AN80" s="150"/>
      <c r="AO80" s="151"/>
      <c r="AP80" s="146"/>
      <c r="AQ80" s="146"/>
      <c r="AR80" s="146"/>
      <c r="AS80" s="245"/>
      <c r="AT80" s="245"/>
      <c r="AU80" s="146"/>
      <c r="AX80" s="152"/>
      <c r="AY80" s="157"/>
      <c r="AZ80" s="189"/>
      <c r="BA80" s="155"/>
      <c r="BB80" s="189"/>
      <c r="BC80" s="154" t="s">
        <v>919</v>
      </c>
      <c r="BD80" s="189"/>
      <c r="BE80" s="190"/>
      <c r="BF80" s="187">
        <f>+AU80</f>
        <v>0</v>
      </c>
    </row>
    <row r="81" spans="1:58">
      <c r="A81" s="122">
        <v>1</v>
      </c>
      <c r="B81" s="31"/>
      <c r="C81" s="30"/>
      <c r="D81" s="100"/>
      <c r="E81" s="100" t="s">
        <v>903</v>
      </c>
      <c r="F81" s="33"/>
      <c r="G81" s="33"/>
      <c r="H81" s="33"/>
      <c r="I81" s="67"/>
      <c r="J81" s="33"/>
      <c r="K81" s="75"/>
      <c r="L81" s="75"/>
      <c r="M81" s="75"/>
      <c r="N81" s="75"/>
      <c r="O81" s="75"/>
      <c r="P81" s="75"/>
      <c r="Q81" s="75"/>
      <c r="R81" s="69"/>
      <c r="S81" s="69"/>
      <c r="T81" s="69"/>
      <c r="U81" s="69"/>
      <c r="V81" s="69"/>
      <c r="W81" s="69"/>
      <c r="X81" s="69"/>
      <c r="Y81" s="73"/>
      <c r="AH81" s="152"/>
      <c r="AI81" s="157"/>
      <c r="AJ81" s="150"/>
      <c r="AK81" s="155"/>
      <c r="AL81" s="150"/>
      <c r="AM81" s="154" t="s">
        <v>903</v>
      </c>
      <c r="AN81" s="150"/>
      <c r="AO81" s="151"/>
      <c r="AP81" s="146"/>
      <c r="AQ81" s="146"/>
      <c r="AR81" s="146"/>
      <c r="AS81" s="245"/>
      <c r="AT81" s="245"/>
      <c r="AU81" s="146"/>
      <c r="AX81" s="152"/>
      <c r="AY81" s="157"/>
      <c r="AZ81" s="189"/>
      <c r="BA81" s="155"/>
      <c r="BB81" s="189"/>
      <c r="BC81" s="154" t="s">
        <v>903</v>
      </c>
      <c r="BD81" s="189"/>
      <c r="BE81" s="190"/>
      <c r="BF81" s="187">
        <f>+AU81</f>
        <v>0</v>
      </c>
    </row>
    <row r="82" spans="1:58">
      <c r="A82" s="122">
        <v>1</v>
      </c>
      <c r="B82" s="31"/>
      <c r="C82" s="30"/>
      <c r="D82" s="100"/>
      <c r="E82" s="100" t="s">
        <v>920</v>
      </c>
      <c r="F82" s="33"/>
      <c r="G82" s="33"/>
      <c r="H82" s="33"/>
      <c r="I82" s="67"/>
      <c r="J82" s="33"/>
      <c r="K82" s="75"/>
      <c r="L82" s="75"/>
      <c r="M82" s="75"/>
      <c r="N82" s="75"/>
      <c r="O82" s="75"/>
      <c r="P82" s="75"/>
      <c r="Q82" s="75"/>
      <c r="R82" s="69"/>
      <c r="S82" s="69"/>
      <c r="T82" s="69"/>
      <c r="U82" s="69"/>
      <c r="V82" s="69"/>
      <c r="W82" s="69"/>
      <c r="X82" s="69"/>
      <c r="Y82" s="73"/>
      <c r="AH82" s="152"/>
      <c r="AI82" s="157"/>
      <c r="AJ82" s="150"/>
      <c r="AK82" s="155"/>
      <c r="AL82" s="150"/>
      <c r="AM82" s="154" t="s">
        <v>920</v>
      </c>
      <c r="AN82" s="150"/>
      <c r="AO82" s="151"/>
      <c r="AP82" s="146"/>
      <c r="AQ82" s="146"/>
      <c r="AR82" s="146"/>
      <c r="AS82" s="245"/>
      <c r="AT82" s="245"/>
      <c r="AU82" s="146"/>
      <c r="AX82" s="152"/>
      <c r="AY82" s="157"/>
      <c r="AZ82" s="189"/>
      <c r="BA82" s="155"/>
      <c r="BB82" s="189"/>
      <c r="BC82" s="154" t="s">
        <v>920</v>
      </c>
      <c r="BD82" s="189"/>
      <c r="BE82" s="190"/>
      <c r="BF82" s="187">
        <f>+AU82</f>
        <v>0</v>
      </c>
    </row>
    <row r="83" spans="1:58">
      <c r="A83" s="122">
        <v>1</v>
      </c>
      <c r="B83" s="31"/>
      <c r="C83" s="30"/>
      <c r="D83" s="100"/>
      <c r="E83" s="30" t="s">
        <v>921</v>
      </c>
      <c r="F83" s="33"/>
      <c r="G83" s="33"/>
      <c r="H83" s="33"/>
      <c r="I83" s="67"/>
      <c r="J83" s="33"/>
      <c r="K83" s="75"/>
      <c r="L83" s="75"/>
      <c r="M83" s="75"/>
      <c r="N83" s="75"/>
      <c r="O83" s="75"/>
      <c r="P83" s="75"/>
      <c r="Q83" s="75"/>
      <c r="R83" s="69"/>
      <c r="S83" s="69"/>
      <c r="T83" s="69"/>
      <c r="U83" s="69"/>
      <c r="V83" s="69"/>
      <c r="W83" s="69"/>
      <c r="X83" s="69"/>
      <c r="Y83" s="73"/>
      <c r="AH83" s="152"/>
      <c r="AI83" s="157"/>
      <c r="AJ83" s="150"/>
      <c r="AK83" s="158" t="s">
        <v>921</v>
      </c>
      <c r="AL83" s="150"/>
      <c r="AM83" s="150"/>
      <c r="AN83" s="150"/>
      <c r="AO83" s="151"/>
      <c r="AP83" s="146">
        <f>AP84+AP85+AP86</f>
        <v>0</v>
      </c>
      <c r="AQ83" s="146">
        <f>AQ84+AQ85+AQ86</f>
        <v>0</v>
      </c>
      <c r="AR83" s="146">
        <f>AR84+AR85+AR86</f>
        <v>0</v>
      </c>
      <c r="AS83" s="245"/>
      <c r="AT83" s="245"/>
      <c r="AU83" s="146">
        <f>AU84+AU85+AU86</f>
        <v>0</v>
      </c>
      <c r="AX83" s="152"/>
      <c r="AY83" s="157"/>
      <c r="AZ83" s="189"/>
      <c r="BA83" s="158" t="s">
        <v>921</v>
      </c>
      <c r="BB83" s="189"/>
      <c r="BC83" s="189"/>
      <c r="BD83" s="189"/>
      <c r="BE83" s="190"/>
      <c r="BF83" s="187">
        <f>BF84+BF85+BF86</f>
        <v>0</v>
      </c>
    </row>
    <row r="84" spans="1:58">
      <c r="A84" s="122">
        <v>1</v>
      </c>
      <c r="B84" s="31"/>
      <c r="C84" s="30"/>
      <c r="D84" s="100"/>
      <c r="E84" s="100" t="s">
        <v>922</v>
      </c>
      <c r="F84" s="33"/>
      <c r="G84" s="33"/>
      <c r="H84" s="33"/>
      <c r="I84" s="67"/>
      <c r="J84" s="33"/>
      <c r="K84" s="75"/>
      <c r="L84" s="75"/>
      <c r="M84" s="75"/>
      <c r="N84" s="75"/>
      <c r="O84" s="75"/>
      <c r="P84" s="75"/>
      <c r="Q84" s="75"/>
      <c r="R84" s="69"/>
      <c r="S84" s="69"/>
      <c r="T84" s="69"/>
      <c r="U84" s="69"/>
      <c r="V84" s="69"/>
      <c r="W84" s="69"/>
      <c r="X84" s="69"/>
      <c r="Y84" s="73"/>
      <c r="AH84" s="152"/>
      <c r="AI84" s="157"/>
      <c r="AJ84" s="150"/>
      <c r="AK84" s="155"/>
      <c r="AL84" s="150"/>
      <c r="AM84" s="154" t="s">
        <v>922</v>
      </c>
      <c r="AN84" s="150"/>
      <c r="AO84" s="151"/>
      <c r="AP84" s="146"/>
      <c r="AQ84" s="146"/>
      <c r="AR84" s="146"/>
      <c r="AS84" s="245"/>
      <c r="AT84" s="245"/>
      <c r="AU84" s="146"/>
      <c r="AX84" s="152"/>
      <c r="AY84" s="157"/>
      <c r="AZ84" s="189"/>
      <c r="BA84" s="155"/>
      <c r="BB84" s="189"/>
      <c r="BC84" s="154" t="s">
        <v>922</v>
      </c>
      <c r="BD84" s="189"/>
      <c r="BE84" s="190"/>
      <c r="BF84" s="187">
        <f>+AU84</f>
        <v>0</v>
      </c>
    </row>
    <row r="85" spans="1:58">
      <c r="A85" s="122">
        <v>1</v>
      </c>
      <c r="B85" s="31"/>
      <c r="C85" s="30"/>
      <c r="D85" s="100"/>
      <c r="E85" s="100" t="s">
        <v>923</v>
      </c>
      <c r="F85" s="33"/>
      <c r="G85" s="33"/>
      <c r="H85" s="33"/>
      <c r="I85" s="67"/>
      <c r="J85" s="33"/>
      <c r="K85" s="75"/>
      <c r="L85" s="75"/>
      <c r="M85" s="75"/>
      <c r="N85" s="75"/>
      <c r="O85" s="75"/>
      <c r="P85" s="75"/>
      <c r="Q85" s="75"/>
      <c r="R85" s="69"/>
      <c r="S85" s="69"/>
      <c r="T85" s="69"/>
      <c r="U85" s="69"/>
      <c r="V85" s="69"/>
      <c r="W85" s="69"/>
      <c r="X85" s="69"/>
      <c r="Y85" s="73"/>
      <c r="AH85" s="152"/>
      <c r="AI85" s="157"/>
      <c r="AJ85" s="150"/>
      <c r="AK85" s="155"/>
      <c r="AL85" s="150"/>
      <c r="AM85" s="154" t="s">
        <v>923</v>
      </c>
      <c r="AN85" s="150"/>
      <c r="AO85" s="151"/>
      <c r="AP85" s="146"/>
      <c r="AQ85" s="146"/>
      <c r="AR85" s="146"/>
      <c r="AS85" s="245"/>
      <c r="AT85" s="245"/>
      <c r="AU85" s="146"/>
      <c r="AX85" s="152"/>
      <c r="AY85" s="157"/>
      <c r="AZ85" s="189"/>
      <c r="BA85" s="155"/>
      <c r="BB85" s="189"/>
      <c r="BC85" s="154" t="s">
        <v>923</v>
      </c>
      <c r="BD85" s="189"/>
      <c r="BE85" s="190"/>
      <c r="BF85" s="187">
        <f>+AU85</f>
        <v>0</v>
      </c>
    </row>
    <row r="86" spans="1:58">
      <c r="A86" s="122">
        <v>1</v>
      </c>
      <c r="B86" s="31"/>
      <c r="C86" s="30"/>
      <c r="D86" s="100"/>
      <c r="E86" s="100" t="s">
        <v>924</v>
      </c>
      <c r="F86" s="33"/>
      <c r="G86" s="33"/>
      <c r="H86" s="33"/>
      <c r="I86" s="67"/>
      <c r="J86" s="33"/>
      <c r="K86" s="75"/>
      <c r="L86" s="75"/>
      <c r="M86" s="75"/>
      <c r="N86" s="75"/>
      <c r="O86" s="75"/>
      <c r="P86" s="75"/>
      <c r="Q86" s="75"/>
      <c r="R86" s="69"/>
      <c r="S86" s="69"/>
      <c r="T86" s="69"/>
      <c r="U86" s="69"/>
      <c r="V86" s="69"/>
      <c r="W86" s="69"/>
      <c r="X86" s="69"/>
      <c r="Y86" s="73"/>
      <c r="AH86" s="152"/>
      <c r="AI86" s="157"/>
      <c r="AJ86" s="150"/>
      <c r="AK86" s="155"/>
      <c r="AL86" s="150"/>
      <c r="AM86" s="154" t="s">
        <v>924</v>
      </c>
      <c r="AN86" s="150"/>
      <c r="AO86" s="151"/>
      <c r="AP86" s="146">
        <f t="shared" ref="AP86:AU86" si="17">AP87+AP88+AP89</f>
        <v>0</v>
      </c>
      <c r="AQ86" s="146">
        <f t="shared" si="17"/>
        <v>0</v>
      </c>
      <c r="AR86" s="146">
        <f t="shared" si="17"/>
        <v>0</v>
      </c>
      <c r="AS86" s="245"/>
      <c r="AT86" s="245"/>
      <c r="AU86" s="146">
        <f t="shared" si="17"/>
        <v>0</v>
      </c>
      <c r="AX86" s="152"/>
      <c r="AY86" s="157"/>
      <c r="AZ86" s="189"/>
      <c r="BA86" s="155"/>
      <c r="BB86" s="189"/>
      <c r="BC86" s="154" t="s">
        <v>924</v>
      </c>
      <c r="BD86" s="189"/>
      <c r="BE86" s="190"/>
      <c r="BF86" s="187">
        <f>BF87+BF88+BF89</f>
        <v>0</v>
      </c>
    </row>
    <row r="87" spans="1:58">
      <c r="A87" s="122">
        <v>1</v>
      </c>
      <c r="B87" s="31"/>
      <c r="C87" s="30"/>
      <c r="D87" s="100"/>
      <c r="E87" s="102" t="s">
        <v>925</v>
      </c>
      <c r="F87" s="33"/>
      <c r="G87" s="33"/>
      <c r="H87" s="33"/>
      <c r="I87" s="67"/>
      <c r="J87" s="33"/>
      <c r="K87" s="75"/>
      <c r="L87" s="75"/>
      <c r="M87" s="75"/>
      <c r="N87" s="75"/>
      <c r="O87" s="75"/>
      <c r="P87" s="75"/>
      <c r="Q87" s="75"/>
      <c r="R87" s="69"/>
      <c r="S87" s="69"/>
      <c r="T87" s="69"/>
      <c r="U87" s="69"/>
      <c r="V87" s="69"/>
      <c r="W87" s="69"/>
      <c r="X87" s="69"/>
      <c r="Y87" s="73"/>
      <c r="AH87" s="152"/>
      <c r="AI87" s="157"/>
      <c r="AJ87" s="150"/>
      <c r="AK87" s="155"/>
      <c r="AL87" s="150"/>
      <c r="AM87" s="150"/>
      <c r="AN87" s="154" t="s">
        <v>925</v>
      </c>
      <c r="AO87" s="151"/>
      <c r="AP87" s="146"/>
      <c r="AQ87" s="146"/>
      <c r="AR87" s="146"/>
      <c r="AS87" s="245"/>
      <c r="AT87" s="245"/>
      <c r="AU87" s="146"/>
      <c r="AX87" s="152"/>
      <c r="AY87" s="157"/>
      <c r="AZ87" s="189"/>
      <c r="BA87" s="155"/>
      <c r="BB87" s="189"/>
      <c r="BC87" s="189"/>
      <c r="BD87" s="154" t="s">
        <v>925</v>
      </c>
      <c r="BE87" s="190"/>
      <c r="BF87" s="187">
        <f>+AU87</f>
        <v>0</v>
      </c>
    </row>
    <row r="88" spans="1:58">
      <c r="A88" s="122">
        <v>1</v>
      </c>
      <c r="B88" s="31"/>
      <c r="C88" s="30"/>
      <c r="D88" s="100"/>
      <c r="E88" s="102" t="s">
        <v>926</v>
      </c>
      <c r="F88" s="33"/>
      <c r="G88" s="33"/>
      <c r="H88" s="33"/>
      <c r="I88" s="67"/>
      <c r="J88" s="33"/>
      <c r="K88" s="75"/>
      <c r="L88" s="75"/>
      <c r="M88" s="75"/>
      <c r="N88" s="75"/>
      <c r="O88" s="75"/>
      <c r="P88" s="75"/>
      <c r="Q88" s="75"/>
      <c r="R88" s="69"/>
      <c r="S88" s="69"/>
      <c r="T88" s="69"/>
      <c r="U88" s="69"/>
      <c r="V88" s="69"/>
      <c r="W88" s="69"/>
      <c r="X88" s="69"/>
      <c r="Y88" s="73"/>
      <c r="AH88" s="152"/>
      <c r="AI88" s="157"/>
      <c r="AJ88" s="150"/>
      <c r="AK88" s="155"/>
      <c r="AL88" s="150"/>
      <c r="AM88" s="150"/>
      <c r="AN88" s="154" t="s">
        <v>926</v>
      </c>
      <c r="AO88" s="151"/>
      <c r="AP88" s="146"/>
      <c r="AQ88" s="146"/>
      <c r="AR88" s="146"/>
      <c r="AS88" s="245"/>
      <c r="AT88" s="245"/>
      <c r="AU88" s="146"/>
      <c r="AX88" s="152"/>
      <c r="AY88" s="157"/>
      <c r="AZ88" s="189"/>
      <c r="BA88" s="155"/>
      <c r="BB88" s="189"/>
      <c r="BC88" s="189"/>
      <c r="BD88" s="154" t="s">
        <v>926</v>
      </c>
      <c r="BE88" s="190"/>
      <c r="BF88" s="187">
        <f>+AU88</f>
        <v>0</v>
      </c>
    </row>
    <row r="89" spans="1:58">
      <c r="A89" s="122">
        <v>1</v>
      </c>
      <c r="B89" s="31"/>
      <c r="C89" s="30"/>
      <c r="D89" s="100"/>
      <c r="E89" s="102" t="s">
        <v>927</v>
      </c>
      <c r="F89" s="33"/>
      <c r="G89" s="33"/>
      <c r="H89" s="33"/>
      <c r="I89" s="67"/>
      <c r="J89" s="33"/>
      <c r="K89" s="75"/>
      <c r="L89" s="75"/>
      <c r="M89" s="75"/>
      <c r="N89" s="75"/>
      <c r="O89" s="75"/>
      <c r="P89" s="75"/>
      <c r="Q89" s="75"/>
      <c r="R89" s="69"/>
      <c r="S89" s="69"/>
      <c r="T89" s="69"/>
      <c r="U89" s="69"/>
      <c r="V89" s="69"/>
      <c r="W89" s="69"/>
      <c r="X89" s="69"/>
      <c r="Y89" s="73"/>
      <c r="AH89" s="152"/>
      <c r="AI89" s="157"/>
      <c r="AJ89" s="150"/>
      <c r="AK89" s="155"/>
      <c r="AL89" s="150"/>
      <c r="AM89" s="150"/>
      <c r="AN89" s="154" t="s">
        <v>927</v>
      </c>
      <c r="AO89" s="151"/>
      <c r="AP89" s="146"/>
      <c r="AQ89" s="146"/>
      <c r="AR89" s="146"/>
      <c r="AS89" s="245"/>
      <c r="AT89" s="245"/>
      <c r="AU89" s="146"/>
      <c r="AX89" s="152"/>
      <c r="AY89" s="157"/>
      <c r="AZ89" s="189"/>
      <c r="BA89" s="155"/>
      <c r="BB89" s="189"/>
      <c r="BC89" s="189"/>
      <c r="BD89" s="154" t="s">
        <v>927</v>
      </c>
      <c r="BE89" s="190"/>
      <c r="BF89" s="187">
        <f>+AU89</f>
        <v>0</v>
      </c>
    </row>
    <row r="90" spans="1:58">
      <c r="A90" s="122">
        <v>1</v>
      </c>
      <c r="B90" s="31"/>
      <c r="C90" s="30"/>
      <c r="D90" s="100"/>
      <c r="E90" s="100" t="s">
        <v>903</v>
      </c>
      <c r="F90" s="33"/>
      <c r="G90" s="33"/>
      <c r="H90" s="33"/>
      <c r="I90" s="67"/>
      <c r="J90" s="33"/>
      <c r="K90" s="75"/>
      <c r="L90" s="75"/>
      <c r="M90" s="75"/>
      <c r="N90" s="75"/>
      <c r="O90" s="75"/>
      <c r="P90" s="75"/>
      <c r="Q90" s="75"/>
      <c r="R90" s="69"/>
      <c r="S90" s="69"/>
      <c r="T90" s="69"/>
      <c r="U90" s="69"/>
      <c r="V90" s="69"/>
      <c r="W90" s="69"/>
      <c r="X90" s="69"/>
      <c r="Y90" s="73"/>
      <c r="AH90" s="152"/>
      <c r="AI90" s="157"/>
      <c r="AJ90" s="158" t="s">
        <v>665</v>
      </c>
      <c r="AK90" s="158"/>
      <c r="AL90" s="155"/>
      <c r="AM90" s="164"/>
      <c r="AN90" s="150"/>
      <c r="AO90" s="151"/>
      <c r="AP90" s="146">
        <f>AP91</f>
        <v>0</v>
      </c>
      <c r="AQ90" s="146">
        <f>AQ91</f>
        <v>0</v>
      </c>
      <c r="AR90" s="146">
        <f>AR91</f>
        <v>0</v>
      </c>
      <c r="AS90" s="245"/>
      <c r="AT90" s="245"/>
      <c r="AU90" s="146">
        <f>AU91</f>
        <v>0</v>
      </c>
      <c r="AX90" s="152"/>
      <c r="AY90" s="157"/>
      <c r="AZ90" s="158" t="s">
        <v>665</v>
      </c>
      <c r="BA90" s="158"/>
      <c r="BB90" s="155"/>
      <c r="BC90" s="192"/>
      <c r="BD90" s="189"/>
      <c r="BE90" s="190"/>
      <c r="BF90" s="187">
        <f>BF91</f>
        <v>0</v>
      </c>
    </row>
    <row r="91" spans="1:58">
      <c r="A91" s="122">
        <v>1</v>
      </c>
      <c r="B91" s="31"/>
      <c r="C91" s="30"/>
      <c r="D91" s="30" t="s">
        <v>665</v>
      </c>
      <c r="E91" s="30"/>
      <c r="F91" s="33"/>
      <c r="G91" s="33"/>
      <c r="H91" s="33"/>
      <c r="I91" s="67"/>
      <c r="J91" s="33"/>
      <c r="K91" s="70" t="e">
        <f t="shared" ref="K91:Q91" si="18">+K92</f>
        <v>#REF!</v>
      </c>
      <c r="L91" s="70" t="e">
        <f t="shared" si="18"/>
        <v>#REF!</v>
      </c>
      <c r="M91" s="70" t="e">
        <f t="shared" si="18"/>
        <v>#REF!</v>
      </c>
      <c r="N91" s="70" t="e">
        <f t="shared" si="18"/>
        <v>#REF!</v>
      </c>
      <c r="O91" s="70" t="e">
        <f t="shared" si="18"/>
        <v>#REF!</v>
      </c>
      <c r="P91" s="70" t="e">
        <f t="shared" si="18"/>
        <v>#REF!</v>
      </c>
      <c r="Q91" s="70" t="e">
        <f t="shared" si="18"/>
        <v>#REF!</v>
      </c>
      <c r="R91" s="69" t="e">
        <f>O91+Q91-P91</f>
        <v>#REF!</v>
      </c>
      <c r="S91" s="69"/>
      <c r="T91" s="69"/>
      <c r="U91" s="70" t="e">
        <f>+U92</f>
        <v>#REF!</v>
      </c>
      <c r="V91" s="70" t="e">
        <f>+V92</f>
        <v>#REF!</v>
      </c>
      <c r="W91" s="70" t="e">
        <f>+W92</f>
        <v>#REF!</v>
      </c>
      <c r="X91" s="70" t="e">
        <f>+X92</f>
        <v>#REF!</v>
      </c>
      <c r="Y91" s="73"/>
      <c r="AH91" s="152"/>
      <c r="AI91" s="157"/>
      <c r="AJ91" s="150"/>
      <c r="AK91" s="154" t="s">
        <v>928</v>
      </c>
      <c r="AL91" s="158"/>
      <c r="AM91" s="150"/>
      <c r="AN91" s="150"/>
      <c r="AO91" s="151"/>
      <c r="AP91" s="146">
        <f>AP92+AP93</f>
        <v>0</v>
      </c>
      <c r="AQ91" s="146">
        <f>AQ92+AQ93</f>
        <v>0</v>
      </c>
      <c r="AR91" s="146">
        <f>AR92+AR93</f>
        <v>0</v>
      </c>
      <c r="AS91" s="245"/>
      <c r="AT91" s="245"/>
      <c r="AU91" s="146">
        <f>AU92+AU93</f>
        <v>0</v>
      </c>
      <c r="AX91" s="152"/>
      <c r="AY91" s="157"/>
      <c r="AZ91" s="189"/>
      <c r="BA91" s="154" t="s">
        <v>928</v>
      </c>
      <c r="BB91" s="158"/>
      <c r="BC91" s="189"/>
      <c r="BD91" s="189"/>
      <c r="BE91" s="190"/>
      <c r="BF91" s="187">
        <f>BF92+BF93</f>
        <v>0</v>
      </c>
    </row>
    <row r="92" spans="1:58">
      <c r="A92" s="122">
        <v>1</v>
      </c>
      <c r="B92" s="31"/>
      <c r="C92" s="30"/>
      <c r="D92" s="99" t="s">
        <v>928</v>
      </c>
      <c r="E92" s="30"/>
      <c r="F92" s="33" t="s">
        <v>799</v>
      </c>
      <c r="G92" s="33" t="s">
        <v>12</v>
      </c>
      <c r="H92" s="33"/>
      <c r="I92" s="67">
        <v>1</v>
      </c>
      <c r="J92" s="67">
        <v>0.48234566947384688</v>
      </c>
      <c r="K92" s="75" t="e">
        <f>+GETPIVOTDATA("PPEF 2010 ",#REF!,"No. Ramo",8,"IPP","S","PP",230,"UR","I00")*$J92</f>
        <v>#REF!</v>
      </c>
      <c r="L92" s="75" t="e">
        <f>+GETPIVOTDATA("Ampliación Neta DIP ",#REF!,"No. Ramo",8,"IPP","S","PP",230,"UR","I00")*$J92</f>
        <v>#REF!</v>
      </c>
      <c r="M92" s="75" t="e">
        <f>+GETPIVOTDATA("Recorte SHCP ",#REF!,"No. Ramo",8,"IPP","S","PP",230,"UR","I00")*$J92</f>
        <v>#REF!</v>
      </c>
      <c r="N92" s="75" t="e">
        <f>+GETPIVOTDATA("PEF 2010 ",#REF!,"No. Ramo",8,"IPP","S","PP",230,"UR","I00")*$J92</f>
        <v>#REF!</v>
      </c>
      <c r="O92" s="75" t="e">
        <f>+GETPIVOTDATA("PPEF 2011 ",#REF!,"No. Ramo",8,"IPP","S","PP",230,"UR","I00")*$J92</f>
        <v>#REF!</v>
      </c>
      <c r="P92" s="75" t="e">
        <f>+GETPIVOTDATA("Reducción ",#REF!,"No. Ramo",8,"IPP","S","PP",230,"UR","I00")*$J92</f>
        <v>#REF!</v>
      </c>
      <c r="Q92" s="75" t="e">
        <f>+GETPIVOTDATA("Ampliación ",#REF!,"No. Ramo",8,"IPP","S","PP",230,"UR","I00")*$J92</f>
        <v>#REF!</v>
      </c>
      <c r="R92" s="69" t="e">
        <f>O92+Q92-P92</f>
        <v>#REF!</v>
      </c>
      <c r="S92" s="69"/>
      <c r="T92" s="69"/>
      <c r="U92" s="69" t="e">
        <f>+$I92*O92</f>
        <v>#REF!</v>
      </c>
      <c r="V92" s="69" t="e">
        <f>+$I92*P92</f>
        <v>#REF!</v>
      </c>
      <c r="W92" s="69" t="e">
        <f>+$I92*Q92</f>
        <v>#REF!</v>
      </c>
      <c r="X92" s="69" t="e">
        <f>+$I92*R92</f>
        <v>#REF!</v>
      </c>
      <c r="Y92" s="73"/>
      <c r="AH92" s="152"/>
      <c r="AI92" s="157"/>
      <c r="AJ92" s="150"/>
      <c r="AK92" s="158"/>
      <c r="AL92" s="158" t="s">
        <v>929</v>
      </c>
      <c r="AM92" s="155"/>
      <c r="AN92" s="150"/>
      <c r="AO92" s="151"/>
      <c r="AP92" s="146"/>
      <c r="AQ92" s="146"/>
      <c r="AR92" s="146"/>
      <c r="AS92" s="245"/>
      <c r="AT92" s="245"/>
      <c r="AU92" s="146"/>
      <c r="AX92" s="152"/>
      <c r="AY92" s="157"/>
      <c r="AZ92" s="189"/>
      <c r="BA92" s="158"/>
      <c r="BB92" s="158" t="s">
        <v>929</v>
      </c>
      <c r="BC92" s="155"/>
      <c r="BD92" s="189"/>
      <c r="BE92" s="190"/>
      <c r="BF92" s="187">
        <f>+AU92</f>
        <v>0</v>
      </c>
    </row>
    <row r="93" spans="1:58">
      <c r="A93" s="122">
        <v>1</v>
      </c>
      <c r="B93" s="31"/>
      <c r="C93" s="30"/>
      <c r="D93" s="30"/>
      <c r="E93" s="30" t="s">
        <v>929</v>
      </c>
      <c r="F93" s="33"/>
      <c r="G93" s="33"/>
      <c r="H93" s="33"/>
      <c r="I93" s="67"/>
      <c r="J93" s="67"/>
      <c r="K93" s="75"/>
      <c r="L93" s="75"/>
      <c r="M93" s="75"/>
      <c r="N93" s="75"/>
      <c r="O93" s="75"/>
      <c r="P93" s="75"/>
      <c r="Q93" s="75"/>
      <c r="R93" s="69"/>
      <c r="S93" s="69"/>
      <c r="T93" s="69"/>
      <c r="U93" s="69"/>
      <c r="V93" s="69"/>
      <c r="W93" s="69"/>
      <c r="X93" s="69"/>
      <c r="Y93" s="73"/>
      <c r="AH93" s="152"/>
      <c r="AI93" s="157"/>
      <c r="AJ93" s="150"/>
      <c r="AK93" s="158"/>
      <c r="AL93" s="158" t="s">
        <v>930</v>
      </c>
      <c r="AM93" s="155"/>
      <c r="AN93" s="150"/>
      <c r="AO93" s="151"/>
      <c r="AP93" s="146">
        <f>AP94</f>
        <v>0</v>
      </c>
      <c r="AQ93" s="146">
        <f>AQ94</f>
        <v>0</v>
      </c>
      <c r="AR93" s="146">
        <f>AR94</f>
        <v>0</v>
      </c>
      <c r="AS93" s="245"/>
      <c r="AT93" s="245"/>
      <c r="AU93" s="146">
        <f>AU94</f>
        <v>0</v>
      </c>
      <c r="AX93" s="152"/>
      <c r="AY93" s="157"/>
      <c r="AZ93" s="189"/>
      <c r="BA93" s="158"/>
      <c r="BB93" s="158" t="s">
        <v>930</v>
      </c>
      <c r="BC93" s="155"/>
      <c r="BD93" s="189"/>
      <c r="BE93" s="190"/>
      <c r="BF93" s="187">
        <f>BF94</f>
        <v>0</v>
      </c>
    </row>
    <row r="94" spans="1:58">
      <c r="A94" s="122">
        <v>1</v>
      </c>
      <c r="B94" s="31"/>
      <c r="C94" s="30"/>
      <c r="D94" s="30"/>
      <c r="E94" s="30" t="s">
        <v>930</v>
      </c>
      <c r="F94" s="33"/>
      <c r="G94" s="33"/>
      <c r="H94" s="33"/>
      <c r="I94" s="67"/>
      <c r="J94" s="67"/>
      <c r="K94" s="75"/>
      <c r="L94" s="75"/>
      <c r="M94" s="75"/>
      <c r="N94" s="75"/>
      <c r="O94" s="75"/>
      <c r="P94" s="75"/>
      <c r="Q94" s="75"/>
      <c r="R94" s="69"/>
      <c r="S94" s="69"/>
      <c r="T94" s="69"/>
      <c r="U94" s="69"/>
      <c r="V94" s="69"/>
      <c r="W94" s="69"/>
      <c r="X94" s="69"/>
      <c r="Y94" s="73"/>
      <c r="AH94" s="152"/>
      <c r="AI94" s="157"/>
      <c r="AJ94" s="150"/>
      <c r="AK94" s="158"/>
      <c r="AL94" s="150"/>
      <c r="AM94" s="154" t="s">
        <v>931</v>
      </c>
      <c r="AN94" s="150"/>
      <c r="AO94" s="151"/>
      <c r="AP94" s="146"/>
      <c r="AQ94" s="146"/>
      <c r="AR94" s="146"/>
      <c r="AS94" s="245"/>
      <c r="AT94" s="245"/>
      <c r="AU94" s="146"/>
      <c r="AX94" s="152"/>
      <c r="AY94" s="157"/>
      <c r="AZ94" s="189"/>
      <c r="BA94" s="158"/>
      <c r="BB94" s="189"/>
      <c r="BC94" s="154" t="s">
        <v>931</v>
      </c>
      <c r="BD94" s="189"/>
      <c r="BE94" s="190"/>
      <c r="BF94" s="187">
        <f>+AU94</f>
        <v>0</v>
      </c>
    </row>
    <row r="95" spans="1:58">
      <c r="A95" s="122">
        <v>1</v>
      </c>
      <c r="B95" s="31"/>
      <c r="C95" s="30"/>
      <c r="D95" s="30"/>
      <c r="E95" s="99" t="s">
        <v>931</v>
      </c>
      <c r="F95" s="33"/>
      <c r="G95" s="33"/>
      <c r="H95" s="33"/>
      <c r="I95" s="67"/>
      <c r="J95" s="67"/>
      <c r="K95" s="75"/>
      <c r="L95" s="75"/>
      <c r="M95" s="75"/>
      <c r="N95" s="75"/>
      <c r="O95" s="75"/>
      <c r="P95" s="75"/>
      <c r="Q95" s="75"/>
      <c r="R95" s="69"/>
      <c r="S95" s="69"/>
      <c r="T95" s="69"/>
      <c r="U95" s="69"/>
      <c r="V95" s="69"/>
      <c r="W95" s="69"/>
      <c r="X95" s="69"/>
      <c r="Y95" s="73"/>
      <c r="AH95" s="152"/>
      <c r="AI95" s="157"/>
      <c r="AJ95" s="158" t="s">
        <v>932</v>
      </c>
      <c r="AK95" s="158"/>
      <c r="AL95" s="150"/>
      <c r="AM95" s="150"/>
      <c r="AN95" s="150"/>
      <c r="AO95" s="151"/>
      <c r="AP95" s="146">
        <f>AP96+AP97</f>
        <v>0</v>
      </c>
      <c r="AQ95" s="146">
        <f>AQ96+AQ97</f>
        <v>0</v>
      </c>
      <c r="AR95" s="146">
        <f>AR96+AR97</f>
        <v>0</v>
      </c>
      <c r="AS95" s="245"/>
      <c r="AT95" s="245"/>
      <c r="AU95" s="146">
        <f>AU96+AU97</f>
        <v>0</v>
      </c>
      <c r="AX95" s="152"/>
      <c r="AY95" s="157"/>
      <c r="AZ95" s="158" t="s">
        <v>932</v>
      </c>
      <c r="BA95" s="158"/>
      <c r="BB95" s="189"/>
      <c r="BC95" s="189"/>
      <c r="BD95" s="189"/>
      <c r="BE95" s="190"/>
      <c r="BF95" s="187">
        <f>BF96+BF97</f>
        <v>0</v>
      </c>
    </row>
    <row r="96" spans="1:58">
      <c r="A96" s="122">
        <v>1</v>
      </c>
      <c r="B96" s="31"/>
      <c r="C96" s="30"/>
      <c r="D96" s="30" t="s">
        <v>932</v>
      </c>
      <c r="E96" s="30"/>
      <c r="F96" s="33" t="s">
        <v>799</v>
      </c>
      <c r="G96" s="33">
        <v>411</v>
      </c>
      <c r="H96" s="33"/>
      <c r="I96" s="67">
        <v>1</v>
      </c>
      <c r="J96" s="67">
        <v>0.66666666666666663</v>
      </c>
      <c r="K96" s="75" t="e">
        <f>+GETPIVOTDATA("PPEF 2010 ",#REF!,"No. Ramo",8,"IPP","S","PP",230,"UR",411)*$J96</f>
        <v>#REF!</v>
      </c>
      <c r="L96" s="75" t="e">
        <f>+GETPIVOTDATA("Ampliación Neta DIP ",#REF!,"No. Ramo",8,"IPP","S","PP",230,"UR",411)*$J96</f>
        <v>#REF!</v>
      </c>
      <c r="M96" s="75" t="e">
        <f>+GETPIVOTDATA("Recorte SHCP ",#REF!,"No. Ramo",8,"IPP","S","PP",230,"UR",411)*$J96</f>
        <v>#REF!</v>
      </c>
      <c r="N96" s="75" t="e">
        <f>+GETPIVOTDATA("PEF 2010 ",#REF!,"No. Ramo",8,"IPP","S","PP",230,"UR",411)*$J96</f>
        <v>#REF!</v>
      </c>
      <c r="O96" s="75" t="e">
        <f>+GETPIVOTDATA("PPEF 2011 ",#REF!,"No. Ramo",8,"IPP","S","PP",230,"UR",411)*$J96</f>
        <v>#REF!</v>
      </c>
      <c r="P96" s="75" t="e">
        <f>+GETPIVOTDATA("Reducción ",#REF!,"No. Ramo",8,"IPP","S","PP",230,"UR",411)*K96</f>
        <v>#REF!</v>
      </c>
      <c r="Q96" s="75" t="e">
        <f>+GETPIVOTDATA("Ampliación ",#REF!,"No. Ramo",8,"IPP","S","PP",230,"UR",411)*L96</f>
        <v>#REF!</v>
      </c>
      <c r="R96" s="69" t="e">
        <f>O96+Q96-P96</f>
        <v>#REF!</v>
      </c>
      <c r="S96" s="69"/>
      <c r="T96" s="69"/>
      <c r="U96" s="69" t="e">
        <f>+$I96*O96</f>
        <v>#REF!</v>
      </c>
      <c r="V96" s="69" t="e">
        <f>+$I96*P96</f>
        <v>#REF!</v>
      </c>
      <c r="W96" s="69" t="e">
        <f>+$I96*Q96</f>
        <v>#REF!</v>
      </c>
      <c r="X96" s="69" t="e">
        <f>+$I96*R96</f>
        <v>#REF!</v>
      </c>
      <c r="Y96" s="73"/>
      <c r="AH96" s="152"/>
      <c r="AI96" s="157"/>
      <c r="AJ96" s="150"/>
      <c r="AK96" s="154" t="s">
        <v>932</v>
      </c>
      <c r="AL96" s="155"/>
      <c r="AM96" s="150"/>
      <c r="AN96" s="150"/>
      <c r="AO96" s="151"/>
      <c r="AP96" s="146"/>
      <c r="AQ96" s="146"/>
      <c r="AR96" s="146"/>
      <c r="AS96" s="245"/>
      <c r="AT96" s="245"/>
      <c r="AU96" s="146"/>
      <c r="AX96" s="152"/>
      <c r="AY96" s="157"/>
      <c r="AZ96" s="189"/>
      <c r="BA96" s="154" t="s">
        <v>932</v>
      </c>
      <c r="BB96" s="155"/>
      <c r="BC96" s="189"/>
      <c r="BD96" s="189"/>
      <c r="BE96" s="190"/>
      <c r="BF96" s="187">
        <f>+AU96</f>
        <v>0</v>
      </c>
    </row>
    <row r="97" spans="1:60">
      <c r="A97" s="122">
        <v>1</v>
      </c>
      <c r="B97" s="31"/>
      <c r="C97" s="30"/>
      <c r="D97" s="100" t="s">
        <v>932</v>
      </c>
      <c r="E97" s="30"/>
      <c r="F97" s="33"/>
      <c r="G97" s="33"/>
      <c r="H97" s="33"/>
      <c r="I97" s="67"/>
      <c r="J97" s="67"/>
      <c r="K97" s="75"/>
      <c r="L97" s="75"/>
      <c r="M97" s="75"/>
      <c r="N97" s="75"/>
      <c r="O97" s="75"/>
      <c r="P97" s="75"/>
      <c r="Q97" s="75"/>
      <c r="R97" s="69"/>
      <c r="S97" s="69"/>
      <c r="T97" s="69"/>
      <c r="U97" s="69"/>
      <c r="V97" s="69"/>
      <c r="W97" s="69"/>
      <c r="X97" s="69"/>
      <c r="Y97" s="73"/>
      <c r="AH97" s="152"/>
      <c r="AI97" s="157"/>
      <c r="AJ97" s="150"/>
      <c r="AK97" s="154" t="s">
        <v>666</v>
      </c>
      <c r="AL97" s="155"/>
      <c r="AM97" s="150"/>
      <c r="AN97" s="150"/>
      <c r="AO97" s="151"/>
      <c r="AP97" s="146"/>
      <c r="AQ97" s="146"/>
      <c r="AR97" s="146"/>
      <c r="AS97" s="245"/>
      <c r="AT97" s="245"/>
      <c r="AU97" s="146"/>
      <c r="AX97" s="152"/>
      <c r="AY97" s="157"/>
      <c r="AZ97" s="189"/>
      <c r="BA97" s="154" t="s">
        <v>666</v>
      </c>
      <c r="BB97" s="155"/>
      <c r="BC97" s="189"/>
      <c r="BD97" s="189"/>
      <c r="BE97" s="190"/>
      <c r="BF97" s="187">
        <f>+AU97</f>
        <v>0</v>
      </c>
    </row>
    <row r="98" spans="1:60" s="122" customFormat="1">
      <c r="A98" s="122">
        <v>1</v>
      </c>
      <c r="B98" s="31"/>
      <c r="C98" s="30"/>
      <c r="D98" s="100" t="s">
        <v>666</v>
      </c>
      <c r="E98" s="30"/>
      <c r="F98" s="33"/>
      <c r="G98" s="33"/>
      <c r="H98" s="33"/>
      <c r="I98" s="67"/>
      <c r="J98" s="67"/>
      <c r="K98" s="75"/>
      <c r="L98" s="75"/>
      <c r="M98" s="75"/>
      <c r="N98" s="75"/>
      <c r="O98" s="75"/>
      <c r="P98" s="75"/>
      <c r="Q98" s="75"/>
      <c r="R98" s="69"/>
      <c r="S98" s="69"/>
      <c r="T98" s="69"/>
      <c r="U98" s="69"/>
      <c r="V98" s="69"/>
      <c r="W98" s="69"/>
      <c r="X98" s="69"/>
      <c r="Y98" s="73"/>
      <c r="Z98"/>
      <c r="AA98"/>
      <c r="AB98"/>
      <c r="AC98"/>
      <c r="AD98"/>
      <c r="AE98"/>
      <c r="AF98"/>
      <c r="AG98"/>
      <c r="AH98" s="152"/>
      <c r="AI98" s="157" t="s">
        <v>667</v>
      </c>
      <c r="AJ98" s="158"/>
      <c r="AK98" s="158"/>
      <c r="AL98" s="155"/>
      <c r="AM98" s="150"/>
      <c r="AN98" s="150"/>
      <c r="AO98" s="151"/>
      <c r="AP98" s="146">
        <f>AP99+AP100+AP105+AP106+AP107+AP108+AP114+AP117+AP121+AP122+AP126+AP127</f>
        <v>0</v>
      </c>
      <c r="AQ98" s="146">
        <f>AQ99+AQ100+AQ105+AQ106+AQ107+AQ108+AQ114+AQ117+AQ121+AQ122+AQ126+AQ127</f>
        <v>0</v>
      </c>
      <c r="AR98" s="146">
        <f>AR99+AR100+AR105+AR106+AR107+AR108+AR114+AR117+AR121+AR122+AR126+AR127</f>
        <v>0</v>
      </c>
      <c r="AS98" s="245"/>
      <c r="AT98" s="245"/>
      <c r="AU98" s="146">
        <f>AU99+AU100+AU105+AU106+AU107+AU108+AU114+AU117+AU121+AU122+AU126+AU127</f>
        <v>0</v>
      </c>
      <c r="AV98" s="196"/>
      <c r="AW98" s="196"/>
      <c r="AX98" s="152"/>
      <c r="AY98" s="157" t="s">
        <v>667</v>
      </c>
      <c r="AZ98" s="158"/>
      <c r="BA98" s="158"/>
      <c r="BB98" s="155"/>
      <c r="BC98" s="189"/>
      <c r="BD98" s="189"/>
      <c r="BE98" s="190"/>
      <c r="BF98" s="187">
        <f>BF99+BF100+BF105+BF106+BF107+BF108+BF114+BF117+BF121+BF122+BF126+BF127</f>
        <v>0</v>
      </c>
      <c r="BG98" s="196"/>
      <c r="BH98" s="196"/>
    </row>
    <row r="99" spans="1:60">
      <c r="A99" s="122">
        <v>1</v>
      </c>
      <c r="B99" s="120"/>
      <c r="C99" s="29" t="s">
        <v>667</v>
      </c>
      <c r="D99" s="29"/>
      <c r="E99" s="29"/>
      <c r="F99" s="28"/>
      <c r="G99" s="28"/>
      <c r="H99" s="28"/>
      <c r="I99" s="65"/>
      <c r="J99" s="28"/>
      <c r="K99" s="64" t="e">
        <f t="shared" ref="K99:Q99" si="19">+SUM(K100:K108)+SUM(K114:K127)</f>
        <v>#REF!</v>
      </c>
      <c r="L99" s="64" t="e">
        <f t="shared" si="19"/>
        <v>#REF!</v>
      </c>
      <c r="M99" s="64" t="e">
        <f t="shared" si="19"/>
        <v>#REF!</v>
      </c>
      <c r="N99" s="64" t="e">
        <f t="shared" si="19"/>
        <v>#REF!</v>
      </c>
      <c r="O99" s="64" t="e">
        <f t="shared" si="19"/>
        <v>#REF!</v>
      </c>
      <c r="P99" s="64" t="e">
        <f t="shared" si="19"/>
        <v>#REF!</v>
      </c>
      <c r="Q99" s="64" t="e">
        <f t="shared" si="19"/>
        <v>#REF!</v>
      </c>
      <c r="R99" s="66" t="e">
        <f>O99+Q99-P99</f>
        <v>#REF!</v>
      </c>
      <c r="S99" s="66"/>
      <c r="T99" s="66"/>
      <c r="U99" s="64" t="e">
        <f>+SUM(U100:U108)+SUM(U114:U127)</f>
        <v>#REF!</v>
      </c>
      <c r="V99" s="64" t="e">
        <f>+SUM(V100:V108)+SUM(V114:V127)</f>
        <v>#REF!</v>
      </c>
      <c r="W99" s="64" t="e">
        <f>+SUM(W100:W108)+SUM(W114:W127)</f>
        <v>#REF!</v>
      </c>
      <c r="X99" s="64" t="e">
        <f>+SUM(X100:X108)+SUM(X114:X127)</f>
        <v>#REF!</v>
      </c>
      <c r="Y99" s="121"/>
      <c r="Z99" s="122"/>
      <c r="AA99" s="122"/>
      <c r="AB99" s="122"/>
      <c r="AC99" s="122"/>
      <c r="AD99" s="122"/>
      <c r="AE99" s="122"/>
      <c r="AF99" s="122"/>
      <c r="AG99" s="122"/>
      <c r="AH99" s="152"/>
      <c r="AI99" s="157"/>
      <c r="AJ99" s="158" t="s">
        <v>1355</v>
      </c>
      <c r="AK99" s="158"/>
      <c r="AL99" s="155"/>
      <c r="AM99" s="150"/>
      <c r="AN99" s="150"/>
      <c r="AO99" s="151"/>
      <c r="AP99" s="146"/>
      <c r="AQ99" s="146"/>
      <c r="AR99" s="146"/>
      <c r="AS99" s="245"/>
      <c r="AT99" s="245"/>
      <c r="AU99" s="146"/>
      <c r="AX99" s="152"/>
      <c r="AY99" s="157"/>
      <c r="AZ99" s="158" t="s">
        <v>1355</v>
      </c>
      <c r="BA99" s="158"/>
      <c r="BB99" s="155"/>
      <c r="BC99" s="189"/>
      <c r="BD99" s="189"/>
      <c r="BE99" s="190"/>
      <c r="BF99" s="187"/>
    </row>
    <row r="100" spans="1:60">
      <c r="A100" s="122">
        <v>1</v>
      </c>
      <c r="B100" s="31"/>
      <c r="C100" s="30"/>
      <c r="D100" s="30" t="s">
        <v>151</v>
      </c>
      <c r="E100" s="30"/>
      <c r="F100" s="33" t="s">
        <v>1036</v>
      </c>
      <c r="G100" s="33">
        <v>311</v>
      </c>
      <c r="H100" s="33"/>
      <c r="I100" s="67">
        <v>1</v>
      </c>
      <c r="J100" s="67">
        <v>1</v>
      </c>
      <c r="K100" s="78" t="e">
        <f>+GETPIVOTDATA("PPEF 2010 ",#REF!,"No. Ramo",8,"IPP","U","PP",16,"UR",311)*$J100</f>
        <v>#REF!</v>
      </c>
      <c r="L100" s="78" t="e">
        <f>+GETPIVOTDATA("Ampliación Neta DIP ",#REF!,"No. Ramo",8,"IPP","U","PP",16,"UR",311)*$J100</f>
        <v>#REF!</v>
      </c>
      <c r="M100" s="78" t="e">
        <f>+GETPIVOTDATA("Recorte SHCP ",#REF!,"No. Ramo",8,"IPP","U","PP",16,"UR",311)*$J100</f>
        <v>#REF!</v>
      </c>
      <c r="N100" s="78" t="e">
        <f>+GETPIVOTDATA("PEF 2010 ",#REF!,"No. Ramo",8,"IPP","U","PP",16,"UR",311)*$J100</f>
        <v>#REF!</v>
      </c>
      <c r="O100" s="78" t="e">
        <f>+GETPIVOTDATA("PPEF 2011 ",#REF!,"No. Ramo",8,"IPP","U","PP",16,"UR",311)*$J100</f>
        <v>#REF!</v>
      </c>
      <c r="P100" s="78" t="e">
        <f>+GETPIVOTDATA("Reducción ",#REF!,"No. Ramo",8,"IPP","U","PP",16,"UR",311)*$J100</f>
        <v>#REF!</v>
      </c>
      <c r="Q100" s="78" t="e">
        <f>+GETPIVOTDATA("Ampliación ",#REF!,"No. Ramo",8,"IPP","U","PP",16,"UR",311)*$J100</f>
        <v>#REF!</v>
      </c>
      <c r="R100" s="69" t="e">
        <f>O100+Q100-P100</f>
        <v>#REF!</v>
      </c>
      <c r="S100" s="69"/>
      <c r="T100" s="69"/>
      <c r="U100" s="69" t="e">
        <f>+$I100*O100</f>
        <v>#REF!</v>
      </c>
      <c r="V100" s="69" t="e">
        <f>+$I100*P100</f>
        <v>#REF!</v>
      </c>
      <c r="W100" s="69" t="e">
        <f>+$I100*Q100</f>
        <v>#REF!</v>
      </c>
      <c r="X100" s="79" t="e">
        <f>+$I100*R100</f>
        <v>#REF!</v>
      </c>
      <c r="Y100" s="73" t="e">
        <f>1110.5-X100/1000000</f>
        <v>#REF!</v>
      </c>
      <c r="AH100" s="152"/>
      <c r="AI100" s="157"/>
      <c r="AJ100" s="158" t="s">
        <v>151</v>
      </c>
      <c r="AK100" s="158"/>
      <c r="AL100" s="150"/>
      <c r="AM100" s="150"/>
      <c r="AN100" s="150"/>
      <c r="AO100" s="151"/>
      <c r="AP100" s="146">
        <f>SUM(AP101:AP104)</f>
        <v>0</v>
      </c>
      <c r="AQ100" s="146">
        <f>SUM(AQ101:AQ104)</f>
        <v>0</v>
      </c>
      <c r="AR100" s="146">
        <f>SUM(AR101:AR104)</f>
        <v>0</v>
      </c>
      <c r="AS100" s="245"/>
      <c r="AT100" s="245"/>
      <c r="AU100" s="146">
        <f>SUM(AU101:AU104)</f>
        <v>0</v>
      </c>
      <c r="AX100" s="152"/>
      <c r="AY100" s="157"/>
      <c r="AZ100" s="158" t="s">
        <v>151</v>
      </c>
      <c r="BA100" s="158"/>
      <c r="BB100" s="189"/>
      <c r="BC100" s="189"/>
      <c r="BD100" s="189"/>
      <c r="BE100" s="190"/>
      <c r="BF100" s="187">
        <f>SUM(BF101:BF104)</f>
        <v>0</v>
      </c>
    </row>
    <row r="101" spans="1:60">
      <c r="A101" s="122">
        <v>1</v>
      </c>
      <c r="B101" s="31"/>
      <c r="C101" s="30"/>
      <c r="D101" s="99" t="s">
        <v>957</v>
      </c>
      <c r="E101" s="30"/>
      <c r="F101" s="33"/>
      <c r="G101" s="33"/>
      <c r="H101" s="33"/>
      <c r="I101" s="67"/>
      <c r="J101" s="67"/>
      <c r="K101" s="78"/>
      <c r="L101" s="78"/>
      <c r="M101" s="78"/>
      <c r="N101" s="78"/>
      <c r="O101" s="78"/>
      <c r="P101" s="78"/>
      <c r="Q101" s="78"/>
      <c r="R101" s="69"/>
      <c r="S101" s="69"/>
      <c r="T101" s="69"/>
      <c r="U101" s="69"/>
      <c r="V101" s="69"/>
      <c r="W101" s="69"/>
      <c r="X101" s="79"/>
      <c r="Y101" s="73"/>
      <c r="AH101" s="152"/>
      <c r="AI101" s="157"/>
      <c r="AJ101" s="150"/>
      <c r="AK101" s="154" t="s">
        <v>957</v>
      </c>
      <c r="AL101" s="155"/>
      <c r="AM101" s="150"/>
      <c r="AN101" s="150"/>
      <c r="AO101" s="151"/>
      <c r="AP101" s="146"/>
      <c r="AQ101" s="146"/>
      <c r="AR101" s="146"/>
      <c r="AS101" s="245"/>
      <c r="AT101" s="245"/>
      <c r="AU101" s="146"/>
      <c r="AX101" s="152"/>
      <c r="AY101" s="157"/>
      <c r="AZ101" s="189"/>
      <c r="BA101" s="154" t="s">
        <v>957</v>
      </c>
      <c r="BB101" s="155"/>
      <c r="BC101" s="189"/>
      <c r="BD101" s="189"/>
      <c r="BE101" s="190"/>
      <c r="BF101" s="187">
        <f t="shared" ref="BF101:BF107" si="20">+AU101</f>
        <v>0</v>
      </c>
    </row>
    <row r="102" spans="1:60">
      <c r="A102" s="122">
        <v>1</v>
      </c>
      <c r="B102" s="31"/>
      <c r="C102" s="30"/>
      <c r="D102" s="99" t="s">
        <v>958</v>
      </c>
      <c r="E102" s="30"/>
      <c r="F102" s="33"/>
      <c r="G102" s="33"/>
      <c r="H102" s="33"/>
      <c r="I102" s="67"/>
      <c r="J102" s="67"/>
      <c r="K102" s="78"/>
      <c r="L102" s="78"/>
      <c r="M102" s="78"/>
      <c r="N102" s="78"/>
      <c r="O102" s="78"/>
      <c r="P102" s="78"/>
      <c r="Q102" s="78"/>
      <c r="R102" s="69"/>
      <c r="S102" s="69"/>
      <c r="T102" s="69"/>
      <c r="U102" s="69"/>
      <c r="V102" s="69"/>
      <c r="W102" s="69"/>
      <c r="X102" s="79"/>
      <c r="Y102" s="73"/>
      <c r="AH102" s="152"/>
      <c r="AI102" s="157"/>
      <c r="AJ102" s="150"/>
      <c r="AK102" s="154" t="s">
        <v>958</v>
      </c>
      <c r="AL102" s="155"/>
      <c r="AM102" s="150"/>
      <c r="AN102" s="150"/>
      <c r="AO102" s="151"/>
      <c r="AP102" s="146"/>
      <c r="AQ102" s="146"/>
      <c r="AR102" s="146"/>
      <c r="AS102" s="245"/>
      <c r="AT102" s="245"/>
      <c r="AU102" s="146"/>
      <c r="AX102" s="152"/>
      <c r="AY102" s="157"/>
      <c r="AZ102" s="189"/>
      <c r="BA102" s="154" t="s">
        <v>958</v>
      </c>
      <c r="BB102" s="155"/>
      <c r="BC102" s="189"/>
      <c r="BD102" s="189"/>
      <c r="BE102" s="190"/>
      <c r="BF102" s="187">
        <f t="shared" si="20"/>
        <v>0</v>
      </c>
    </row>
    <row r="103" spans="1:60">
      <c r="A103" s="122">
        <v>1</v>
      </c>
      <c r="B103" s="31"/>
      <c r="C103" s="30"/>
      <c r="D103" s="99" t="s">
        <v>959</v>
      </c>
      <c r="E103" s="30"/>
      <c r="F103" s="33"/>
      <c r="G103" s="33"/>
      <c r="H103" s="33"/>
      <c r="I103" s="67"/>
      <c r="J103" s="67"/>
      <c r="K103" s="78"/>
      <c r="L103" s="78"/>
      <c r="M103" s="78"/>
      <c r="N103" s="78"/>
      <c r="O103" s="78"/>
      <c r="P103" s="78"/>
      <c r="Q103" s="78"/>
      <c r="R103" s="69"/>
      <c r="S103" s="69"/>
      <c r="T103" s="69"/>
      <c r="U103" s="69"/>
      <c r="V103" s="69"/>
      <c r="W103" s="69"/>
      <c r="X103" s="79"/>
      <c r="Y103" s="73"/>
      <c r="AH103" s="152"/>
      <c r="AI103" s="157"/>
      <c r="AJ103" s="150"/>
      <c r="AK103" s="154" t="s">
        <v>959</v>
      </c>
      <c r="AL103" s="155"/>
      <c r="AM103" s="150"/>
      <c r="AN103" s="150"/>
      <c r="AO103" s="151"/>
      <c r="AP103" s="146"/>
      <c r="AQ103" s="146"/>
      <c r="AR103" s="146"/>
      <c r="AS103" s="245"/>
      <c r="AT103" s="245"/>
      <c r="AU103" s="146"/>
      <c r="AX103" s="152"/>
      <c r="AY103" s="157"/>
      <c r="AZ103" s="189"/>
      <c r="BA103" s="154" t="s">
        <v>959</v>
      </c>
      <c r="BB103" s="155"/>
      <c r="BC103" s="189"/>
      <c r="BD103" s="189"/>
      <c r="BE103" s="190"/>
      <c r="BF103" s="187">
        <f t="shared" si="20"/>
        <v>0</v>
      </c>
    </row>
    <row r="104" spans="1:60" s="113" customFormat="1">
      <c r="A104" s="122">
        <v>1</v>
      </c>
      <c r="B104" s="31"/>
      <c r="C104" s="30"/>
      <c r="D104" s="99" t="s">
        <v>960</v>
      </c>
      <c r="E104" s="30"/>
      <c r="F104" s="33"/>
      <c r="G104" s="33"/>
      <c r="H104" s="33"/>
      <c r="I104" s="67"/>
      <c r="J104" s="67"/>
      <c r="K104" s="78"/>
      <c r="L104" s="78"/>
      <c r="M104" s="78"/>
      <c r="N104" s="78"/>
      <c r="O104" s="78"/>
      <c r="P104" s="78"/>
      <c r="Q104" s="78"/>
      <c r="R104" s="69"/>
      <c r="S104" s="69"/>
      <c r="T104" s="69"/>
      <c r="U104" s="69"/>
      <c r="V104" s="69"/>
      <c r="W104" s="69"/>
      <c r="X104" s="79"/>
      <c r="Y104" s="73"/>
      <c r="Z104"/>
      <c r="AA104"/>
      <c r="AB104"/>
      <c r="AC104"/>
      <c r="AD104"/>
      <c r="AE104"/>
      <c r="AF104"/>
      <c r="AG104"/>
      <c r="AH104" s="152"/>
      <c r="AI104" s="157"/>
      <c r="AJ104" s="150"/>
      <c r="AK104" s="154" t="s">
        <v>960</v>
      </c>
      <c r="AL104" s="155"/>
      <c r="AM104" s="150"/>
      <c r="AN104" s="150"/>
      <c r="AO104" s="151"/>
      <c r="AP104" s="146"/>
      <c r="AQ104" s="146"/>
      <c r="AR104" s="146"/>
      <c r="AS104" s="245"/>
      <c r="AT104" s="245"/>
      <c r="AU104" s="146"/>
      <c r="AV104" s="195"/>
      <c r="AW104" s="195"/>
      <c r="AX104" s="152"/>
      <c r="AY104" s="157"/>
      <c r="AZ104" s="189"/>
      <c r="BA104" s="154" t="s">
        <v>960</v>
      </c>
      <c r="BB104" s="155"/>
      <c r="BC104" s="189"/>
      <c r="BD104" s="189"/>
      <c r="BE104" s="190"/>
      <c r="BF104" s="187">
        <f t="shared" si="20"/>
        <v>0</v>
      </c>
      <c r="BG104" s="195"/>
      <c r="BH104" s="195"/>
    </row>
    <row r="105" spans="1:60">
      <c r="A105" s="122">
        <v>1</v>
      </c>
      <c r="B105" s="111"/>
      <c r="C105" s="110"/>
      <c r="D105" s="111" t="s">
        <v>972</v>
      </c>
      <c r="E105" s="110"/>
      <c r="F105" s="80" t="s">
        <v>799</v>
      </c>
      <c r="G105" s="80">
        <v>311</v>
      </c>
      <c r="H105" s="80"/>
      <c r="I105" s="112"/>
      <c r="J105" s="112"/>
      <c r="K105" s="78"/>
      <c r="L105" s="78"/>
      <c r="M105" s="78"/>
      <c r="N105" s="78"/>
      <c r="O105" s="78"/>
      <c r="P105" s="78"/>
      <c r="Q105" s="78"/>
      <c r="R105" s="79"/>
      <c r="S105" s="79"/>
      <c r="T105" s="79"/>
      <c r="U105" s="79"/>
      <c r="V105" s="79"/>
      <c r="W105" s="79"/>
      <c r="X105" s="79"/>
      <c r="Y105" s="114"/>
      <c r="Z105" s="113"/>
      <c r="AA105" s="113"/>
      <c r="AB105" s="113"/>
      <c r="AC105" s="113"/>
      <c r="AD105" s="113"/>
      <c r="AE105" s="113"/>
      <c r="AF105" s="113"/>
      <c r="AG105" s="113"/>
      <c r="AH105" s="152"/>
      <c r="AI105" s="157"/>
      <c r="AJ105" s="154" t="s">
        <v>972</v>
      </c>
      <c r="AK105" s="158"/>
      <c r="AL105" s="150"/>
      <c r="AM105" s="150"/>
      <c r="AN105" s="150"/>
      <c r="AO105" s="151"/>
      <c r="AP105" s="146"/>
      <c r="AQ105" s="146"/>
      <c r="AR105" s="146"/>
      <c r="AS105" s="245"/>
      <c r="AT105" s="245"/>
      <c r="AU105" s="146"/>
      <c r="AX105" s="152"/>
      <c r="AY105" s="157"/>
      <c r="AZ105" s="154" t="s">
        <v>972</v>
      </c>
      <c r="BA105" s="158"/>
      <c r="BB105" s="189"/>
      <c r="BC105" s="189"/>
      <c r="BD105" s="189"/>
      <c r="BE105" s="190"/>
      <c r="BF105" s="187">
        <f t="shared" si="20"/>
        <v>0</v>
      </c>
    </row>
    <row r="106" spans="1:60">
      <c r="A106" s="122">
        <v>1</v>
      </c>
      <c r="B106" s="31"/>
      <c r="C106" s="30"/>
      <c r="D106" s="30" t="s">
        <v>668</v>
      </c>
      <c r="E106" s="30"/>
      <c r="F106" s="33" t="s">
        <v>799</v>
      </c>
      <c r="G106" s="80">
        <v>411</v>
      </c>
      <c r="H106" s="33"/>
      <c r="I106" s="67">
        <v>1</v>
      </c>
      <c r="J106" s="67">
        <v>0.33333333333333337</v>
      </c>
      <c r="K106" s="78" t="e">
        <f>+GETPIVOTDATA("PPEF 2010 ",#REF!,"No. Ramo",8,"IPP","S","PP",230,"UR",411)*$J106</f>
        <v>#REF!</v>
      </c>
      <c r="L106" s="78" t="e">
        <f>+GETPIVOTDATA("Ampliación Neta DIP ",#REF!,"No. Ramo",8,"IPP","S","PP",230,"UR",411)*$J106</f>
        <v>#REF!</v>
      </c>
      <c r="M106" s="78" t="e">
        <f>+GETPIVOTDATA("Recorte SHCP ",#REF!,"No. Ramo",8,"IPP","S","PP",230,"UR",411)*$J106</f>
        <v>#REF!</v>
      </c>
      <c r="N106" s="78" t="e">
        <f>+GETPIVOTDATA("PEF 2010 ",#REF!,"No. Ramo",8,"IPP","S","PP",230,"UR",411)*$J106</f>
        <v>#REF!</v>
      </c>
      <c r="O106" s="75" t="e">
        <f>+GETPIVOTDATA("PPEF 2011 ",#REF!,"No. Ramo",8,"IPP","S","PP",230,"UR",411)*$J106</f>
        <v>#REF!</v>
      </c>
      <c r="P106" s="78" t="e">
        <f>+GETPIVOTDATA("Reducción ",#REF!,"No. Ramo",8,"IPP","S","PP",230,"UR",411)*$J106</f>
        <v>#REF!</v>
      </c>
      <c r="Q106" s="78" t="e">
        <f>+GETPIVOTDATA("Ampliación ",#REF!,"No. Ramo",8,"IPP","S","PP",230,"UR",411)*$J106</f>
        <v>#REF!</v>
      </c>
      <c r="R106" s="69" t="e">
        <f>O106+Q106-P106</f>
        <v>#REF!</v>
      </c>
      <c r="S106" s="69"/>
      <c r="T106" s="69"/>
      <c r="U106" s="69" t="e">
        <f t="shared" ref="U106:X107" si="21">+$I106*O106</f>
        <v>#REF!</v>
      </c>
      <c r="V106" s="69" t="e">
        <f t="shared" si="21"/>
        <v>#REF!</v>
      </c>
      <c r="W106" s="69" t="e">
        <f t="shared" si="21"/>
        <v>#REF!</v>
      </c>
      <c r="X106" s="69" t="e">
        <f t="shared" si="21"/>
        <v>#REF!</v>
      </c>
      <c r="AH106" s="152"/>
      <c r="AI106" s="157"/>
      <c r="AJ106" s="158" t="s">
        <v>668</v>
      </c>
      <c r="AK106" s="158"/>
      <c r="AL106" s="150"/>
      <c r="AM106" s="150"/>
      <c r="AN106" s="150"/>
      <c r="AO106" s="151"/>
      <c r="AP106" s="146"/>
      <c r="AQ106" s="146"/>
      <c r="AR106" s="146"/>
      <c r="AS106" s="245"/>
      <c r="AT106" s="245"/>
      <c r="AU106" s="146"/>
      <c r="AX106" s="152"/>
      <c r="AY106" s="157"/>
      <c r="AZ106" s="158" t="s">
        <v>668</v>
      </c>
      <c r="BA106" s="158"/>
      <c r="BB106" s="189"/>
      <c r="BC106" s="189"/>
      <c r="BD106" s="189"/>
      <c r="BE106" s="190"/>
      <c r="BF106" s="187">
        <f t="shared" si="20"/>
        <v>0</v>
      </c>
    </row>
    <row r="107" spans="1:60">
      <c r="A107" s="122">
        <v>1</v>
      </c>
      <c r="B107" s="31"/>
      <c r="C107" s="30"/>
      <c r="D107" s="30" t="s">
        <v>669</v>
      </c>
      <c r="E107" s="30"/>
      <c r="F107" s="33" t="s">
        <v>799</v>
      </c>
      <c r="G107" s="33">
        <v>311</v>
      </c>
      <c r="H107" s="33"/>
      <c r="I107" s="67">
        <v>1</v>
      </c>
      <c r="J107" s="67">
        <v>0.10797840431913618</v>
      </c>
      <c r="K107" s="75" t="e">
        <f>+GETPIVOTDATA("PPEF 2010 ",#REF!,"No. Ramo",8,"IPP","S","PP",230,"UR",311)*$J107</f>
        <v>#REF!</v>
      </c>
      <c r="L107" s="75" t="e">
        <f>+GETPIVOTDATA("Ampliación Neta DIP ",#REF!,"No. Ramo",8,"IPP","S","PP",230,"UR",311)*$J107</f>
        <v>#REF!</v>
      </c>
      <c r="M107" s="75" t="e">
        <f>+GETPIVOTDATA("Recorte SHCP ",#REF!,"No. Ramo",8,"IPP","S","PP",230,"UR",311)*$J107</f>
        <v>#REF!</v>
      </c>
      <c r="N107" s="75" t="e">
        <f>+GETPIVOTDATA("PEF 2010 ",#REF!,"No. Ramo",8,"IPP","S","PP",230,"UR",311)*$J107</f>
        <v>#REF!</v>
      </c>
      <c r="O107" s="75" t="e">
        <f>+GETPIVOTDATA("PPEF 2011 ",#REF!,"No. Ramo",8,"IPP","S","PP",230,"UR",311)*$J107</f>
        <v>#REF!</v>
      </c>
      <c r="P107" s="75" t="e">
        <f>+GETPIVOTDATA("Reducción ",#REF!,"No. Ramo",8,"IPP","S","PP",230,"UR",311)*$J107</f>
        <v>#REF!</v>
      </c>
      <c r="Q107" s="75" t="e">
        <f>+GETPIVOTDATA("Ampliación ",#REF!,"No. Ramo",8,"IPP","S","PP",230,"UR",311)*$J107</f>
        <v>#REF!</v>
      </c>
      <c r="R107" s="69" t="e">
        <f>O107+Q107-P107</f>
        <v>#REF!</v>
      </c>
      <c r="S107" s="69"/>
      <c r="T107" s="69"/>
      <c r="U107" s="69" t="e">
        <f t="shared" si="21"/>
        <v>#REF!</v>
      </c>
      <c r="V107" s="69" t="e">
        <f t="shared" si="21"/>
        <v>#REF!</v>
      </c>
      <c r="W107" s="69" t="e">
        <f t="shared" si="21"/>
        <v>#REF!</v>
      </c>
      <c r="X107" s="69" t="e">
        <f t="shared" si="21"/>
        <v>#REF!</v>
      </c>
      <c r="AH107" s="152"/>
      <c r="AI107" s="157"/>
      <c r="AJ107" s="158" t="s">
        <v>669</v>
      </c>
      <c r="AK107" s="158"/>
      <c r="AL107" s="150"/>
      <c r="AM107" s="150"/>
      <c r="AN107" s="150"/>
      <c r="AO107" s="151"/>
      <c r="AP107" s="146"/>
      <c r="AQ107" s="146"/>
      <c r="AR107" s="146"/>
      <c r="AS107" s="245"/>
      <c r="AT107" s="245"/>
      <c r="AU107" s="146"/>
      <c r="AX107" s="152"/>
      <c r="AY107" s="157"/>
      <c r="AZ107" s="158" t="s">
        <v>669</v>
      </c>
      <c r="BA107" s="158"/>
      <c r="BB107" s="189"/>
      <c r="BC107" s="189"/>
      <c r="BD107" s="189"/>
      <c r="BE107" s="190"/>
      <c r="BF107" s="187">
        <f t="shared" si="20"/>
        <v>0</v>
      </c>
    </row>
    <row r="108" spans="1:60">
      <c r="A108" s="122">
        <v>1</v>
      </c>
      <c r="B108" s="31"/>
      <c r="C108" s="30"/>
      <c r="D108" s="30" t="s">
        <v>670</v>
      </c>
      <c r="E108" s="30"/>
      <c r="F108" s="33"/>
      <c r="G108" s="33"/>
      <c r="H108" s="33"/>
      <c r="I108" s="67"/>
      <c r="J108" s="33"/>
      <c r="K108" s="75" t="e">
        <f t="shared" ref="K108:Q108" si="22">+SUM(K109:K113)</f>
        <v>#REF!</v>
      </c>
      <c r="L108" s="75" t="e">
        <f t="shared" si="22"/>
        <v>#REF!</v>
      </c>
      <c r="M108" s="75" t="e">
        <f t="shared" si="22"/>
        <v>#REF!</v>
      </c>
      <c r="N108" s="75" t="e">
        <f t="shared" si="22"/>
        <v>#REF!</v>
      </c>
      <c r="O108" s="75" t="e">
        <f t="shared" si="22"/>
        <v>#REF!</v>
      </c>
      <c r="P108" s="75" t="e">
        <f t="shared" si="22"/>
        <v>#REF!</v>
      </c>
      <c r="Q108" s="75" t="e">
        <f t="shared" si="22"/>
        <v>#REF!</v>
      </c>
      <c r="R108" s="69" t="e">
        <f>O108+Q108-P108</f>
        <v>#REF!</v>
      </c>
      <c r="S108" s="69"/>
      <c r="T108" s="69"/>
      <c r="U108" s="75" t="e">
        <f>+SUM(U109:U113)</f>
        <v>#REF!</v>
      </c>
      <c r="V108" s="75" t="e">
        <f>+SUM(V109:V113)</f>
        <v>#REF!</v>
      </c>
      <c r="W108" s="75" t="e">
        <f>+SUM(W109:W113)</f>
        <v>#REF!</v>
      </c>
      <c r="X108" s="75" t="e">
        <f>+SUM(X109:X113)</f>
        <v>#REF!</v>
      </c>
      <c r="AH108" s="152"/>
      <c r="AI108" s="157"/>
      <c r="AJ108" s="158" t="s">
        <v>670</v>
      </c>
      <c r="AK108" s="158"/>
      <c r="AL108" s="150"/>
      <c r="AM108" s="150"/>
      <c r="AN108" s="150"/>
      <c r="AO108" s="151"/>
      <c r="AP108" s="146">
        <f>AP109+AP110+AP113</f>
        <v>0</v>
      </c>
      <c r="AQ108" s="146">
        <f>AQ109+AQ110+AQ113</f>
        <v>0</v>
      </c>
      <c r="AR108" s="146">
        <f>AR109+AR110+AR113</f>
        <v>0</v>
      </c>
      <c r="AS108" s="245"/>
      <c r="AT108" s="245"/>
      <c r="AU108" s="146">
        <f>AU109+AU110+AU113</f>
        <v>0</v>
      </c>
      <c r="AX108" s="152"/>
      <c r="AY108" s="157"/>
      <c r="AZ108" s="158" t="s">
        <v>670</v>
      </c>
      <c r="BA108" s="158"/>
      <c r="BB108" s="189"/>
      <c r="BC108" s="189"/>
      <c r="BD108" s="189"/>
      <c r="BE108" s="190"/>
      <c r="BF108" s="187">
        <f>BF109+BF110+BF113</f>
        <v>0</v>
      </c>
    </row>
    <row r="109" spans="1:60">
      <c r="A109" s="122">
        <v>1</v>
      </c>
      <c r="B109" s="31"/>
      <c r="C109" s="30"/>
      <c r="D109" s="33"/>
      <c r="E109" s="31" t="s">
        <v>671</v>
      </c>
      <c r="F109" s="33" t="s">
        <v>799</v>
      </c>
      <c r="G109" s="33">
        <v>311</v>
      </c>
      <c r="H109" s="33"/>
      <c r="I109" s="67">
        <v>1</v>
      </c>
      <c r="J109" s="67">
        <v>5.098980203959208E-2</v>
      </c>
      <c r="K109" s="75" t="e">
        <f>+GETPIVOTDATA("PPEF 2010 ",#REF!,"No. Ramo",8,"IPP","S","PP",230,"UR",311)*$J109</f>
        <v>#REF!</v>
      </c>
      <c r="L109" s="75" t="e">
        <f>+GETPIVOTDATA("Ampliación Neta DIP ",#REF!,"No. Ramo",8,"IPP","S","PP",230,"UR",311)*$J109</f>
        <v>#REF!</v>
      </c>
      <c r="M109" s="75" t="e">
        <f>+GETPIVOTDATA("Recorte SHCP ",#REF!,"No. Ramo",8,"IPP","S","PP",230,"UR",311)*$J109</f>
        <v>#REF!</v>
      </c>
      <c r="N109" s="75" t="e">
        <f>+GETPIVOTDATA("PEF 2010 ",#REF!,"No. Ramo",8,"IPP","S","PP",230,"UR",311)*$J109</f>
        <v>#REF!</v>
      </c>
      <c r="O109" s="75" t="e">
        <f>+GETPIVOTDATA("PPEF 2011 ",#REF!,"No. Ramo",8,"IPP","S","PP",230,"UR",311)*$J109</f>
        <v>#REF!</v>
      </c>
      <c r="P109" s="75" t="e">
        <f>+GETPIVOTDATA("Reducción ",#REF!,"No. Ramo",8,"IPP","S","PP",230,"UR",311)*$J109</f>
        <v>#REF!</v>
      </c>
      <c r="Q109" s="75" t="e">
        <f>+GETPIVOTDATA("Ampliación ",#REF!,"No. Ramo",8,"IPP","S","PP",230,"UR",311)*$J109</f>
        <v>#REF!</v>
      </c>
      <c r="R109" s="69" t="e">
        <f>O109+Q109-P109</f>
        <v>#REF!</v>
      </c>
      <c r="S109" s="69"/>
      <c r="T109" s="69"/>
      <c r="U109" s="69" t="e">
        <f t="shared" ref="U109:X110" si="23">+$I109*O109</f>
        <v>#REF!</v>
      </c>
      <c r="V109" s="69" t="e">
        <f t="shared" si="23"/>
        <v>#REF!</v>
      </c>
      <c r="W109" s="69" t="e">
        <f t="shared" si="23"/>
        <v>#REF!</v>
      </c>
      <c r="X109" s="69" t="e">
        <f t="shared" si="23"/>
        <v>#REF!</v>
      </c>
      <c r="AH109" s="152"/>
      <c r="AI109" s="157"/>
      <c r="AJ109" s="155"/>
      <c r="AK109" s="154" t="s">
        <v>671</v>
      </c>
      <c r="AL109" s="150"/>
      <c r="AM109" s="150"/>
      <c r="AN109" s="150"/>
      <c r="AO109" s="151"/>
      <c r="AP109" s="146"/>
      <c r="AQ109" s="146"/>
      <c r="AR109" s="146"/>
      <c r="AS109" s="245"/>
      <c r="AT109" s="245"/>
      <c r="AU109" s="146"/>
      <c r="AX109" s="152"/>
      <c r="AY109" s="157"/>
      <c r="AZ109" s="155"/>
      <c r="BA109" s="154" t="s">
        <v>671</v>
      </c>
      <c r="BB109" s="189"/>
      <c r="BC109" s="189"/>
      <c r="BD109" s="189"/>
      <c r="BE109" s="190"/>
      <c r="BF109" s="187">
        <f>+AU109</f>
        <v>0</v>
      </c>
    </row>
    <row r="110" spans="1:60">
      <c r="A110" s="122">
        <v>1</v>
      </c>
      <c r="B110" s="31"/>
      <c r="C110" s="30"/>
      <c r="D110" s="33"/>
      <c r="E110" s="31" t="s">
        <v>672</v>
      </c>
      <c r="F110" s="33" t="s">
        <v>799</v>
      </c>
      <c r="G110" s="33">
        <v>311</v>
      </c>
      <c r="H110" s="33"/>
      <c r="I110" s="67">
        <v>1</v>
      </c>
      <c r="J110" s="67">
        <v>5.99880023995201E-3</v>
      </c>
      <c r="K110" s="75" t="e">
        <f>+GETPIVOTDATA("PPEF 2010 ",#REF!,"No. Ramo",8,"IPP","S","PP",230,"UR",311)*$J110</f>
        <v>#REF!</v>
      </c>
      <c r="L110" s="75" t="e">
        <f>+GETPIVOTDATA("Ampliación Neta DIP ",#REF!,"No. Ramo",8,"IPP","S","PP",230,"UR",311)*$J110</f>
        <v>#REF!</v>
      </c>
      <c r="M110" s="75" t="e">
        <f>+GETPIVOTDATA("Recorte SHCP ",#REF!,"No. Ramo",8,"IPP","S","PP",230,"UR",311)*$J110</f>
        <v>#REF!</v>
      </c>
      <c r="N110" s="75" t="e">
        <f>+GETPIVOTDATA("PEF 2010 ",#REF!,"No. Ramo",8,"IPP","S","PP",230,"UR",311)*$J110</f>
        <v>#REF!</v>
      </c>
      <c r="O110" s="75" t="e">
        <f>+GETPIVOTDATA("PPEF 2011 ",#REF!,"No. Ramo",8,"IPP","S","PP",230,"UR",311)*$J110</f>
        <v>#REF!</v>
      </c>
      <c r="P110" s="75" t="e">
        <f>+GETPIVOTDATA("Reducción ",#REF!,"No. Ramo",8,"IPP","S","PP",230,"UR",311)*$J110</f>
        <v>#REF!</v>
      </c>
      <c r="Q110" s="75" t="e">
        <f>+GETPIVOTDATA("Ampliación ",#REF!,"No. Ramo",8,"IPP","S","PP",230,"UR",311)*$J110</f>
        <v>#REF!</v>
      </c>
      <c r="R110" s="69" t="e">
        <f>O110+Q110-P110</f>
        <v>#REF!</v>
      </c>
      <c r="S110" s="69"/>
      <c r="T110" s="69"/>
      <c r="U110" s="69" t="e">
        <f t="shared" si="23"/>
        <v>#REF!</v>
      </c>
      <c r="V110" s="69" t="e">
        <f t="shared" si="23"/>
        <v>#REF!</v>
      </c>
      <c r="W110" s="69" t="e">
        <f t="shared" si="23"/>
        <v>#REF!</v>
      </c>
      <c r="X110" s="69" t="e">
        <f t="shared" si="23"/>
        <v>#REF!</v>
      </c>
      <c r="AH110" s="152"/>
      <c r="AI110" s="157"/>
      <c r="AJ110" s="155"/>
      <c r="AK110" s="154" t="s">
        <v>672</v>
      </c>
      <c r="AL110" s="150"/>
      <c r="AM110" s="150"/>
      <c r="AN110" s="150"/>
      <c r="AO110" s="151"/>
      <c r="AP110" s="146">
        <f>AP111+AP112</f>
        <v>0</v>
      </c>
      <c r="AQ110" s="146">
        <f>AQ111+AQ112</f>
        <v>0</v>
      </c>
      <c r="AR110" s="146">
        <f>AR111+AR112</f>
        <v>0</v>
      </c>
      <c r="AS110" s="245"/>
      <c r="AT110" s="245"/>
      <c r="AU110" s="146">
        <f>AU111+AU112</f>
        <v>0</v>
      </c>
      <c r="AX110" s="152"/>
      <c r="AY110" s="157"/>
      <c r="AZ110" s="155"/>
      <c r="BA110" s="154" t="s">
        <v>672</v>
      </c>
      <c r="BB110" s="189"/>
      <c r="BC110" s="189"/>
      <c r="BD110" s="189"/>
      <c r="BE110" s="190"/>
      <c r="BF110" s="187">
        <f>BF111+BF112</f>
        <v>0</v>
      </c>
    </row>
    <row r="111" spans="1:60">
      <c r="A111" s="122">
        <v>1</v>
      </c>
      <c r="B111" s="31"/>
      <c r="C111" s="30"/>
      <c r="D111" s="33"/>
      <c r="E111" s="100" t="s">
        <v>934</v>
      </c>
      <c r="F111" s="33"/>
      <c r="G111" s="33"/>
      <c r="H111" s="33"/>
      <c r="I111" s="67"/>
      <c r="J111" s="67"/>
      <c r="K111" s="75"/>
      <c r="L111" s="75"/>
      <c r="M111" s="75"/>
      <c r="N111" s="75"/>
      <c r="O111" s="75"/>
      <c r="P111" s="75"/>
      <c r="Q111" s="75"/>
      <c r="R111" s="69"/>
      <c r="S111" s="69"/>
      <c r="T111" s="69"/>
      <c r="U111" s="69"/>
      <c r="V111" s="69"/>
      <c r="W111" s="69"/>
      <c r="X111" s="69"/>
      <c r="AH111" s="152"/>
      <c r="AI111" s="157"/>
      <c r="AJ111" s="155"/>
      <c r="AK111" s="150"/>
      <c r="AL111" s="154" t="s">
        <v>934</v>
      </c>
      <c r="AM111" s="150"/>
      <c r="AN111" s="150"/>
      <c r="AO111" s="151"/>
      <c r="AP111" s="146"/>
      <c r="AQ111" s="146"/>
      <c r="AR111" s="146"/>
      <c r="AS111" s="245"/>
      <c r="AT111" s="245"/>
      <c r="AU111" s="146"/>
      <c r="AX111" s="152"/>
      <c r="AY111" s="157"/>
      <c r="AZ111" s="155"/>
      <c r="BA111" s="189"/>
      <c r="BB111" s="154" t="s">
        <v>934</v>
      </c>
      <c r="BC111" s="189"/>
      <c r="BD111" s="189"/>
      <c r="BE111" s="190"/>
      <c r="BF111" s="187">
        <f>+AU111</f>
        <v>0</v>
      </c>
    </row>
    <row r="112" spans="1:60">
      <c r="A112" s="122">
        <v>1</v>
      </c>
      <c r="B112" s="31"/>
      <c r="C112" s="30"/>
      <c r="D112" s="33"/>
      <c r="E112" s="100" t="s">
        <v>935</v>
      </c>
      <c r="F112" s="33"/>
      <c r="G112" s="33"/>
      <c r="H112" s="33"/>
      <c r="I112" s="67"/>
      <c r="J112" s="67"/>
      <c r="K112" s="75"/>
      <c r="L112" s="75"/>
      <c r="M112" s="75"/>
      <c r="N112" s="75"/>
      <c r="O112" s="75"/>
      <c r="P112" s="75"/>
      <c r="Q112" s="75"/>
      <c r="R112" s="69"/>
      <c r="S112" s="69"/>
      <c r="T112" s="69"/>
      <c r="U112" s="69"/>
      <c r="V112" s="69"/>
      <c r="W112" s="69"/>
      <c r="X112" s="69"/>
      <c r="AH112" s="152"/>
      <c r="AI112" s="157"/>
      <c r="AJ112" s="155"/>
      <c r="AK112" s="150"/>
      <c r="AL112" s="154" t="s">
        <v>935</v>
      </c>
      <c r="AM112" s="150"/>
      <c r="AN112" s="150"/>
      <c r="AO112" s="151"/>
      <c r="AP112" s="146"/>
      <c r="AQ112" s="146"/>
      <c r="AR112" s="146"/>
      <c r="AS112" s="245"/>
      <c r="AT112" s="245"/>
      <c r="AU112" s="146"/>
      <c r="AX112" s="152"/>
      <c r="AY112" s="157"/>
      <c r="AZ112" s="155"/>
      <c r="BA112" s="189"/>
      <c r="BB112" s="154" t="s">
        <v>935</v>
      </c>
      <c r="BC112" s="189"/>
      <c r="BD112" s="189"/>
      <c r="BE112" s="190"/>
      <c r="BF112" s="187">
        <f>+AU112</f>
        <v>0</v>
      </c>
    </row>
    <row r="113" spans="1:58">
      <c r="A113" s="122">
        <v>1</v>
      </c>
      <c r="B113" s="31"/>
      <c r="C113" s="30"/>
      <c r="D113" s="33"/>
      <c r="E113" s="31" t="s">
        <v>673</v>
      </c>
      <c r="F113" s="33" t="s">
        <v>799</v>
      </c>
      <c r="G113" s="33">
        <v>311</v>
      </c>
      <c r="H113" s="33"/>
      <c r="I113" s="67">
        <v>1</v>
      </c>
      <c r="J113" s="67">
        <v>9.9980003999200154E-3</v>
      </c>
      <c r="K113" s="75" t="e">
        <f>+GETPIVOTDATA("PPEF 2010 ",#REF!,"No. Ramo",8,"IPP","S","PP",230,"UR",311)*$J113</f>
        <v>#REF!</v>
      </c>
      <c r="L113" s="75" t="e">
        <f>+GETPIVOTDATA("Ampliación Neta DIP ",#REF!,"No. Ramo",8,"IPP","S","PP",230,"UR",311)*$J113</f>
        <v>#REF!</v>
      </c>
      <c r="M113" s="75" t="e">
        <f>+GETPIVOTDATA("Recorte SHCP ",#REF!,"No. Ramo",8,"IPP","S","PP",230,"UR",311)*$J113</f>
        <v>#REF!</v>
      </c>
      <c r="N113" s="75" t="e">
        <f>+GETPIVOTDATA("PEF 2010 ",#REF!,"No. Ramo",8,"IPP","S","PP",230,"UR",311)*$J113</f>
        <v>#REF!</v>
      </c>
      <c r="O113" s="75" t="e">
        <f>+GETPIVOTDATA("PPEF 2011 ",#REF!,"No. Ramo",8,"IPP","S","PP",230,"UR",311)*$J113</f>
        <v>#REF!</v>
      </c>
      <c r="P113" s="75" t="e">
        <f>+GETPIVOTDATA("Reducción ",#REF!,"No. Ramo",8,"IPP","S","PP",230,"UR",311)*$J113</f>
        <v>#REF!</v>
      </c>
      <c r="Q113" s="75" t="e">
        <f>+GETPIVOTDATA("Ampliación ",#REF!,"No. Ramo",8,"IPP","S","PP",230,"UR",311)*$J113</f>
        <v>#REF!</v>
      </c>
      <c r="R113" s="69" t="e">
        <f>O113+Q113-P113</f>
        <v>#REF!</v>
      </c>
      <c r="S113" s="69"/>
      <c r="T113" s="69"/>
      <c r="U113" s="69" t="e">
        <f t="shared" ref="U113:X114" si="24">+$I113*O113</f>
        <v>#REF!</v>
      </c>
      <c r="V113" s="69" t="e">
        <f t="shared" si="24"/>
        <v>#REF!</v>
      </c>
      <c r="W113" s="69" t="e">
        <f t="shared" si="24"/>
        <v>#REF!</v>
      </c>
      <c r="X113" s="69" t="e">
        <f t="shared" si="24"/>
        <v>#REF!</v>
      </c>
      <c r="AH113" s="152"/>
      <c r="AI113" s="157"/>
      <c r="AJ113" s="155"/>
      <c r="AK113" s="154" t="s">
        <v>673</v>
      </c>
      <c r="AL113" s="150"/>
      <c r="AM113" s="150"/>
      <c r="AN113" s="150"/>
      <c r="AO113" s="151"/>
      <c r="AP113" s="146"/>
      <c r="AQ113" s="146"/>
      <c r="AR113" s="146"/>
      <c r="AS113" s="245"/>
      <c r="AT113" s="245"/>
      <c r="AU113" s="146"/>
      <c r="AX113" s="152"/>
      <c r="AY113" s="157"/>
      <c r="AZ113" s="155"/>
      <c r="BA113" s="154" t="s">
        <v>673</v>
      </c>
      <c r="BB113" s="189"/>
      <c r="BC113" s="189"/>
      <c r="BD113" s="189"/>
      <c r="BE113" s="190"/>
      <c r="BF113" s="187">
        <f>+AU113</f>
        <v>0</v>
      </c>
    </row>
    <row r="114" spans="1:58">
      <c r="A114" s="122">
        <v>1</v>
      </c>
      <c r="B114" s="31"/>
      <c r="C114" s="30"/>
      <c r="D114" s="30" t="s">
        <v>674</v>
      </c>
      <c r="E114" s="30"/>
      <c r="F114" s="33" t="s">
        <v>799</v>
      </c>
      <c r="G114" s="33">
        <v>310</v>
      </c>
      <c r="H114" s="33"/>
      <c r="I114" s="67">
        <v>1</v>
      </c>
      <c r="J114" s="67">
        <v>0.6</v>
      </c>
      <c r="K114" s="75" t="e">
        <f>+GETPIVOTDATA("PPEF 2010 ",#REF!,"No. Ramo",8,"IPP","S","PP",230,"UR",310)</f>
        <v>#REF!</v>
      </c>
      <c r="L114" s="75" t="e">
        <f>+GETPIVOTDATA("Ampliación Neta DIP ",#REF!,"No. Ramo",8,"IPP","S","PP",230,"UR",310)</f>
        <v>#REF!</v>
      </c>
      <c r="M114" s="75" t="e">
        <f>+GETPIVOTDATA("Recorte SHCP ",#REF!,"No. Ramo",8,"IPP","S","PP",230,"UR",310)</f>
        <v>#REF!</v>
      </c>
      <c r="N114" s="75" t="e">
        <f>+GETPIVOTDATA("PEF 2010 ",#REF!,"No. Ramo",8,"IPP","S","PP",230,"UR",310)</f>
        <v>#REF!</v>
      </c>
      <c r="O114" s="75" t="e">
        <f>+GETPIVOTDATA("PPEF 2011 ",#REF!,"No. Ramo",8,"IPP","S","PP",230,"UR",310)*$J114</f>
        <v>#REF!</v>
      </c>
      <c r="P114" s="75" t="e">
        <f>+GETPIVOTDATA("Reducción ",#REF!,"No. Ramo",8,"IPP","S","PP",230,"UR",310)</f>
        <v>#REF!</v>
      </c>
      <c r="Q114" s="75" t="e">
        <f>+GETPIVOTDATA("Ampliación ",#REF!,"No. Ramo",8,"IPP","S","PP",230,"UR",310)</f>
        <v>#REF!</v>
      </c>
      <c r="R114" s="69" t="e">
        <f>O114+Q114-P114</f>
        <v>#REF!</v>
      </c>
      <c r="S114" s="69"/>
      <c r="T114" s="69"/>
      <c r="U114" s="69" t="e">
        <f t="shared" si="24"/>
        <v>#REF!</v>
      </c>
      <c r="V114" s="69" t="e">
        <f t="shared" si="24"/>
        <v>#REF!</v>
      </c>
      <c r="W114" s="69" t="e">
        <f t="shared" si="24"/>
        <v>#REF!</v>
      </c>
      <c r="X114" s="69" t="e">
        <f t="shared" si="24"/>
        <v>#REF!</v>
      </c>
      <c r="AH114" s="152"/>
      <c r="AI114" s="157"/>
      <c r="AJ114" s="158" t="s">
        <v>674</v>
      </c>
      <c r="AK114" s="158"/>
      <c r="AL114" s="150"/>
      <c r="AM114" s="150"/>
      <c r="AN114" s="150"/>
      <c r="AO114" s="151"/>
      <c r="AP114" s="146">
        <f>AP115+AP116</f>
        <v>0</v>
      </c>
      <c r="AQ114" s="146">
        <f>AQ115+AQ116</f>
        <v>0</v>
      </c>
      <c r="AR114" s="146">
        <f>AR115+AR116</f>
        <v>0</v>
      </c>
      <c r="AS114" s="245"/>
      <c r="AT114" s="245"/>
      <c r="AU114" s="146">
        <f>AU115+AU116</f>
        <v>0</v>
      </c>
      <c r="AX114" s="152"/>
      <c r="AY114" s="157"/>
      <c r="AZ114" s="158" t="s">
        <v>674</v>
      </c>
      <c r="BA114" s="158"/>
      <c r="BB114" s="189"/>
      <c r="BC114" s="189"/>
      <c r="BD114" s="189"/>
      <c r="BE114" s="190"/>
      <c r="BF114" s="187">
        <f>BF115+BF116</f>
        <v>0</v>
      </c>
    </row>
    <row r="115" spans="1:58">
      <c r="A115" s="122">
        <v>1</v>
      </c>
      <c r="B115" s="31"/>
      <c r="C115" s="30"/>
      <c r="D115" s="100" t="s">
        <v>943</v>
      </c>
      <c r="E115" s="30"/>
      <c r="F115" s="33"/>
      <c r="G115" s="33"/>
      <c r="H115" s="33"/>
      <c r="I115" s="67"/>
      <c r="J115" s="67"/>
      <c r="K115" s="75"/>
      <c r="L115" s="75"/>
      <c r="M115" s="75"/>
      <c r="N115" s="75"/>
      <c r="O115" s="75"/>
      <c r="P115" s="75"/>
      <c r="Q115" s="75"/>
      <c r="R115" s="69"/>
      <c r="S115" s="69"/>
      <c r="T115" s="69"/>
      <c r="U115" s="69"/>
      <c r="V115" s="69"/>
      <c r="W115" s="69"/>
      <c r="X115" s="69"/>
      <c r="AH115" s="152"/>
      <c r="AI115" s="157"/>
      <c r="AJ115" s="150"/>
      <c r="AK115" s="154" t="s">
        <v>943</v>
      </c>
      <c r="AL115" s="150"/>
      <c r="AM115" s="150"/>
      <c r="AN115" s="150"/>
      <c r="AO115" s="151"/>
      <c r="AP115" s="146"/>
      <c r="AQ115" s="146"/>
      <c r="AR115" s="146"/>
      <c r="AS115" s="245"/>
      <c r="AT115" s="245"/>
      <c r="AU115" s="146"/>
      <c r="AX115" s="152"/>
      <c r="AY115" s="157"/>
      <c r="AZ115" s="189"/>
      <c r="BA115" s="154" t="s">
        <v>943</v>
      </c>
      <c r="BB115" s="189"/>
      <c r="BC115" s="189"/>
      <c r="BD115" s="189"/>
      <c r="BE115" s="190"/>
      <c r="BF115" s="187">
        <f>+AU115</f>
        <v>0</v>
      </c>
    </row>
    <row r="116" spans="1:58">
      <c r="A116" s="122">
        <v>1</v>
      </c>
      <c r="B116" s="31"/>
      <c r="C116" s="30"/>
      <c r="D116" s="100" t="s">
        <v>941</v>
      </c>
      <c r="E116" s="30"/>
      <c r="F116" s="33"/>
      <c r="G116" s="33"/>
      <c r="H116" s="33"/>
      <c r="I116" s="67"/>
      <c r="J116" s="67"/>
      <c r="K116" s="75"/>
      <c r="L116" s="75"/>
      <c r="M116" s="75"/>
      <c r="N116" s="75"/>
      <c r="O116" s="75"/>
      <c r="P116" s="75"/>
      <c r="Q116" s="75"/>
      <c r="R116" s="69"/>
      <c r="S116" s="69"/>
      <c r="T116" s="69"/>
      <c r="U116" s="69"/>
      <c r="V116" s="69"/>
      <c r="W116" s="69"/>
      <c r="X116" s="69"/>
      <c r="AH116" s="152"/>
      <c r="AI116" s="157"/>
      <c r="AJ116" s="150"/>
      <c r="AK116" s="154" t="s">
        <v>941</v>
      </c>
      <c r="AL116" s="150"/>
      <c r="AM116" s="150"/>
      <c r="AN116" s="150"/>
      <c r="AO116" s="151"/>
      <c r="AP116" s="146"/>
      <c r="AQ116" s="146"/>
      <c r="AR116" s="146"/>
      <c r="AS116" s="245"/>
      <c r="AT116" s="245"/>
      <c r="AU116" s="146"/>
      <c r="AX116" s="152"/>
      <c r="AY116" s="157"/>
      <c r="AZ116" s="189"/>
      <c r="BA116" s="154" t="s">
        <v>941</v>
      </c>
      <c r="BB116" s="189"/>
      <c r="BC116" s="189"/>
      <c r="BD116" s="189"/>
      <c r="BE116" s="190"/>
      <c r="BF116" s="187">
        <f>+AU116</f>
        <v>0</v>
      </c>
    </row>
    <row r="117" spans="1:58">
      <c r="A117" s="122">
        <v>1</v>
      </c>
      <c r="B117" s="31"/>
      <c r="C117" s="30"/>
      <c r="D117" s="30" t="s">
        <v>675</v>
      </c>
      <c r="E117" s="30"/>
      <c r="F117" s="33" t="s">
        <v>799</v>
      </c>
      <c r="G117" s="80" t="s">
        <v>130</v>
      </c>
      <c r="H117" s="33"/>
      <c r="I117" s="67">
        <v>1</v>
      </c>
      <c r="J117" s="67">
        <v>0.26294741051789644</v>
      </c>
      <c r="K117" s="78" t="e">
        <f>+GETPIVOTDATA("PPEF 2010 ",#REF!,"No. Ramo",8,"IPP","S","PP",230,"UR","I6L")</f>
        <v>#REF!</v>
      </c>
      <c r="L117" s="78" t="e">
        <f>+GETPIVOTDATA("Ampliación Neta DIP ",#REF!,"No. Ramo",8,"IPP","S","PP",230,"UR","I6L")</f>
        <v>#REF!</v>
      </c>
      <c r="M117" s="78" t="e">
        <f>+GETPIVOTDATA("Recorte SHCP ",#REF!,"No. Ramo",8,"IPP","S","PP",230,"UR","I6L")</f>
        <v>#REF!</v>
      </c>
      <c r="N117" s="78" t="e">
        <f>+GETPIVOTDATA("PEF 2010 ",#REF!,"No. Ramo",8,"IPP","S","PP",230,"UR","I6L")</f>
        <v>#REF!</v>
      </c>
      <c r="O117" s="75" t="e">
        <f>+GETPIVOTDATA("PPEF 2011 ",#REF!,"No. Ramo",8,"IPP","S","PP",230,"UR","I6L")</f>
        <v>#REF!</v>
      </c>
      <c r="P117" s="78" t="e">
        <f>+GETPIVOTDATA("Reducción ",#REF!,"No. Ramo",8,"IPP","S","PP",230,"UR","I6L")</f>
        <v>#REF!</v>
      </c>
      <c r="Q117" s="78" t="e">
        <f>+GETPIVOTDATA("Ampliación ",#REF!,"No. Ramo",8,"IPP","S","PP",230,"UR","I6L")</f>
        <v>#REF!</v>
      </c>
      <c r="R117" s="69" t="e">
        <f>O117+Q117-P117</f>
        <v>#REF!</v>
      </c>
      <c r="S117" s="69"/>
      <c r="T117" s="69"/>
      <c r="U117" s="69" t="e">
        <f>+$I117*O117</f>
        <v>#REF!</v>
      </c>
      <c r="V117" s="69" t="e">
        <f>+$I117*P117</f>
        <v>#REF!</v>
      </c>
      <c r="W117" s="69" t="e">
        <f>+$I117*Q117</f>
        <v>#REF!</v>
      </c>
      <c r="X117" s="69" t="e">
        <f>+$I117*R117</f>
        <v>#REF!</v>
      </c>
      <c r="AH117" s="152"/>
      <c r="AI117" s="157"/>
      <c r="AJ117" s="158" t="s">
        <v>1356</v>
      </c>
      <c r="AK117" s="158"/>
      <c r="AL117" s="150"/>
      <c r="AM117" s="150"/>
      <c r="AN117" s="150"/>
      <c r="AO117" s="151"/>
      <c r="AP117" s="146">
        <f>AP118</f>
        <v>0</v>
      </c>
      <c r="AQ117" s="146">
        <f>AQ118</f>
        <v>0</v>
      </c>
      <c r="AR117" s="146">
        <f>AR118</f>
        <v>0</v>
      </c>
      <c r="AS117" s="245"/>
      <c r="AT117" s="245"/>
      <c r="AU117" s="146">
        <f>AU118</f>
        <v>0</v>
      </c>
      <c r="AX117" s="152"/>
      <c r="AY117" s="157"/>
      <c r="AZ117" s="158" t="s">
        <v>1356</v>
      </c>
      <c r="BA117" s="158"/>
      <c r="BB117" s="189"/>
      <c r="BC117" s="189"/>
      <c r="BD117" s="189"/>
      <c r="BE117" s="190"/>
      <c r="BF117" s="187">
        <f>BF118</f>
        <v>0</v>
      </c>
    </row>
    <row r="118" spans="1:58">
      <c r="A118" s="122">
        <v>1</v>
      </c>
      <c r="B118" s="31"/>
      <c r="C118" s="30"/>
      <c r="D118" s="100" t="s">
        <v>946</v>
      </c>
      <c r="E118" s="30"/>
      <c r="F118" s="33"/>
      <c r="G118" s="80"/>
      <c r="H118" s="33"/>
      <c r="I118" s="67"/>
      <c r="J118" s="67"/>
      <c r="K118" s="78"/>
      <c r="L118" s="78"/>
      <c r="M118" s="78"/>
      <c r="N118" s="78"/>
      <c r="O118" s="75"/>
      <c r="P118" s="78"/>
      <c r="Q118" s="78"/>
      <c r="R118" s="69"/>
      <c r="S118" s="69"/>
      <c r="T118" s="69"/>
      <c r="U118" s="69"/>
      <c r="V118" s="69"/>
      <c r="W118" s="69"/>
      <c r="X118" s="69"/>
      <c r="AH118" s="152"/>
      <c r="AI118" s="157"/>
      <c r="AJ118" s="150"/>
      <c r="AK118" s="154" t="s">
        <v>946</v>
      </c>
      <c r="AL118" s="155"/>
      <c r="AM118" s="150"/>
      <c r="AN118" s="150"/>
      <c r="AO118" s="151"/>
      <c r="AP118" s="146">
        <f>AP119+AP120</f>
        <v>0</v>
      </c>
      <c r="AQ118" s="146">
        <f>AQ119+AQ120</f>
        <v>0</v>
      </c>
      <c r="AR118" s="146">
        <f>AR119+AR120</f>
        <v>0</v>
      </c>
      <c r="AS118" s="245"/>
      <c r="AT118" s="245"/>
      <c r="AU118" s="146">
        <f>AU119+AU120</f>
        <v>0</v>
      </c>
      <c r="AX118" s="152"/>
      <c r="AY118" s="157"/>
      <c r="AZ118" s="189"/>
      <c r="BA118" s="154" t="s">
        <v>946</v>
      </c>
      <c r="BB118" s="155"/>
      <c r="BC118" s="189"/>
      <c r="BD118" s="189"/>
      <c r="BE118" s="190"/>
      <c r="BF118" s="187">
        <f>BF119+BF120</f>
        <v>0</v>
      </c>
    </row>
    <row r="119" spans="1:58">
      <c r="A119" s="122">
        <v>1</v>
      </c>
      <c r="B119" s="31"/>
      <c r="C119" s="30"/>
      <c r="D119" s="102" t="s">
        <v>941</v>
      </c>
      <c r="E119" s="30"/>
      <c r="F119" s="33"/>
      <c r="G119" s="80"/>
      <c r="H119" s="33"/>
      <c r="I119" s="67"/>
      <c r="J119" s="67"/>
      <c r="K119" s="78"/>
      <c r="L119" s="78"/>
      <c r="M119" s="78"/>
      <c r="N119" s="78"/>
      <c r="O119" s="75"/>
      <c r="P119" s="78"/>
      <c r="Q119" s="78"/>
      <c r="R119" s="69"/>
      <c r="S119" s="69"/>
      <c r="T119" s="69"/>
      <c r="U119" s="69"/>
      <c r="V119" s="69"/>
      <c r="W119" s="69"/>
      <c r="X119" s="69"/>
      <c r="AH119" s="152"/>
      <c r="AI119" s="157"/>
      <c r="AJ119" s="150"/>
      <c r="AK119" s="150"/>
      <c r="AL119" s="154" t="s">
        <v>941</v>
      </c>
      <c r="AM119" s="150"/>
      <c r="AN119" s="150"/>
      <c r="AO119" s="151"/>
      <c r="AP119" s="146"/>
      <c r="AQ119" s="146"/>
      <c r="AR119" s="146"/>
      <c r="AS119" s="245"/>
      <c r="AT119" s="245"/>
      <c r="AU119" s="146"/>
      <c r="AX119" s="152"/>
      <c r="AY119" s="157"/>
      <c r="AZ119" s="189"/>
      <c r="BA119" s="189"/>
      <c r="BB119" s="154" t="s">
        <v>941</v>
      </c>
      <c r="BC119" s="189"/>
      <c r="BD119" s="189"/>
      <c r="BE119" s="190"/>
      <c r="BF119" s="187">
        <f>+AU119</f>
        <v>0</v>
      </c>
    </row>
    <row r="120" spans="1:58">
      <c r="A120" s="122">
        <v>1</v>
      </c>
      <c r="B120" s="31"/>
      <c r="C120" s="30"/>
      <c r="D120" s="102" t="s">
        <v>971</v>
      </c>
      <c r="E120" s="30"/>
      <c r="F120" s="33"/>
      <c r="G120" s="80"/>
      <c r="H120" s="33"/>
      <c r="I120" s="67"/>
      <c r="J120" s="67"/>
      <c r="K120" s="78"/>
      <c r="L120" s="78"/>
      <c r="M120" s="78"/>
      <c r="N120" s="78"/>
      <c r="O120" s="75"/>
      <c r="P120" s="78"/>
      <c r="Q120" s="78"/>
      <c r="R120" s="69"/>
      <c r="S120" s="69"/>
      <c r="T120" s="69"/>
      <c r="U120" s="69"/>
      <c r="V120" s="69"/>
      <c r="W120" s="69"/>
      <c r="X120" s="69"/>
      <c r="AH120" s="152"/>
      <c r="AI120" s="157"/>
      <c r="AJ120" s="150"/>
      <c r="AK120" s="150"/>
      <c r="AL120" s="154" t="s">
        <v>971</v>
      </c>
      <c r="AM120" s="150"/>
      <c r="AN120" s="150"/>
      <c r="AO120" s="151"/>
      <c r="AP120" s="146"/>
      <c r="AQ120" s="146"/>
      <c r="AR120" s="146"/>
      <c r="AS120" s="245"/>
      <c r="AT120" s="245"/>
      <c r="AU120" s="146"/>
      <c r="AX120" s="152"/>
      <c r="AY120" s="157"/>
      <c r="AZ120" s="189"/>
      <c r="BA120" s="189"/>
      <c r="BB120" s="154" t="s">
        <v>971</v>
      </c>
      <c r="BC120" s="189"/>
      <c r="BD120" s="189"/>
      <c r="BE120" s="190"/>
      <c r="BF120" s="187">
        <f>+AU120</f>
        <v>0</v>
      </c>
    </row>
    <row r="121" spans="1:58">
      <c r="A121" s="122">
        <v>1</v>
      </c>
      <c r="B121" s="31"/>
      <c r="C121" s="30"/>
      <c r="D121" s="30" t="s">
        <v>676</v>
      </c>
      <c r="E121" s="30"/>
      <c r="F121" s="33" t="s">
        <v>800</v>
      </c>
      <c r="G121" s="33" t="s">
        <v>12</v>
      </c>
      <c r="H121" s="33"/>
      <c r="I121" s="67">
        <v>1</v>
      </c>
      <c r="J121" s="33"/>
      <c r="K121" s="70" t="e">
        <f>+GETPIVOTDATA("PPEF 2010 ",#REF!,"No. Ramo",8,"IPP","K","PP",26,"UR","I00")</f>
        <v>#REF!</v>
      </c>
      <c r="L121" s="70" t="e">
        <f>+GETPIVOTDATA("Ampliación Neta DIP ",#REF!,"No. Ramo",8,"IPP","K","PP",26,"UR","I00")</f>
        <v>#REF!</v>
      </c>
      <c r="M121" s="70" t="e">
        <f>+GETPIVOTDATA("Recorte SHCP ",#REF!,"No. Ramo",8,"IPP","K","PP",26,"UR","I00")</f>
        <v>#REF!</v>
      </c>
      <c r="N121" s="70" t="e">
        <f>+GETPIVOTDATA("PEF 2010 ",#REF!,"No. Ramo",8,"IPP","K","PP",26,"UR","I00")</f>
        <v>#REF!</v>
      </c>
      <c r="O121" s="70" t="e">
        <f>+GETPIVOTDATA("PPEF 2011 ",#REF!,"No. Ramo",8,"IPP","K","PP",26,"UR","I00")</f>
        <v>#REF!</v>
      </c>
      <c r="P121" s="70" t="e">
        <f>+GETPIVOTDATA("Reducción ",#REF!,"No. Ramo",8,"IPP","K","PP",26,"UR","I00")</f>
        <v>#REF!</v>
      </c>
      <c r="Q121" s="70" t="e">
        <f>+GETPIVOTDATA("Ampliación ",#REF!,"No. Ramo",8,"IPP","K","PP",26,"UR","I00")</f>
        <v>#REF!</v>
      </c>
      <c r="R121" s="69" t="e">
        <f>O121+Q121-P121</f>
        <v>#REF!</v>
      </c>
      <c r="S121" s="69"/>
      <c r="T121" s="69"/>
      <c r="U121" s="69" t="e">
        <f t="shared" ref="U121:X122" si="25">+$I121*O121</f>
        <v>#REF!</v>
      </c>
      <c r="V121" s="69" t="e">
        <f t="shared" si="25"/>
        <v>#REF!</v>
      </c>
      <c r="W121" s="69" t="e">
        <f t="shared" si="25"/>
        <v>#REF!</v>
      </c>
      <c r="X121" s="69" t="e">
        <f t="shared" si="25"/>
        <v>#REF!</v>
      </c>
      <c r="AH121" s="152"/>
      <c r="AI121" s="157"/>
      <c r="AJ121" s="158" t="s">
        <v>676</v>
      </c>
      <c r="AK121" s="158"/>
      <c r="AL121" s="150"/>
      <c r="AM121" s="150"/>
      <c r="AN121" s="150"/>
      <c r="AO121" s="151"/>
      <c r="AP121" s="146">
        <v>0</v>
      </c>
      <c r="AQ121" s="146">
        <v>0</v>
      </c>
      <c r="AR121" s="146">
        <v>0</v>
      </c>
      <c r="AS121" s="245"/>
      <c r="AT121" s="245"/>
      <c r="AU121" s="146">
        <v>0</v>
      </c>
      <c r="AX121" s="152"/>
      <c r="AY121" s="157"/>
      <c r="AZ121" s="158" t="s">
        <v>676</v>
      </c>
      <c r="BA121" s="158"/>
      <c r="BB121" s="189"/>
      <c r="BC121" s="189"/>
      <c r="BD121" s="189"/>
      <c r="BE121" s="190"/>
      <c r="BF121" s="187">
        <v>0</v>
      </c>
    </row>
    <row r="122" spans="1:58">
      <c r="A122" s="122">
        <v>1</v>
      </c>
      <c r="B122" s="31"/>
      <c r="C122" s="30"/>
      <c r="D122" s="407" t="s">
        <v>677</v>
      </c>
      <c r="E122" s="407"/>
      <c r="F122" s="33" t="s">
        <v>799</v>
      </c>
      <c r="G122" s="76" t="s">
        <v>12</v>
      </c>
      <c r="H122" s="76"/>
      <c r="I122" s="67">
        <v>1</v>
      </c>
      <c r="J122" s="81">
        <v>0.44039249014911536</v>
      </c>
      <c r="K122" s="70" t="e">
        <f>+GETPIVOTDATA("PPEF 2010 ",#REF!,"No. Ramo",8,"IPP","S","PP",230,"UR","I00")*$J122</f>
        <v>#REF!</v>
      </c>
      <c r="L122" s="70" t="e">
        <f>+GETPIVOTDATA("Ampliación Neta DIP ",#REF!,"No. Ramo",8,"IPP","S","PP",230,"UR","I00")*$J122</f>
        <v>#REF!</v>
      </c>
      <c r="M122" s="70" t="e">
        <f>+GETPIVOTDATA("Recorte SHCP ",#REF!,"No. Ramo",8,"IPP","S","PP",230,"UR","I00")*$J122</f>
        <v>#REF!</v>
      </c>
      <c r="N122" s="70" t="e">
        <f>+GETPIVOTDATA("PEF 2010 ",#REF!,"No. Ramo",8,"IPP","S","PP",230,"UR","I00")*$J122</f>
        <v>#REF!</v>
      </c>
      <c r="O122" s="70" t="e">
        <f>+GETPIVOTDATA("PPEF 2011 ",#REF!,"No. Ramo",8,"IPP","S","PP",230,"UR","I00")*$J122</f>
        <v>#REF!</v>
      </c>
      <c r="P122" s="70" t="e">
        <f>+GETPIVOTDATA("Reducción ",#REF!,"No. Ramo",8,"IPP","S","PP",230,"UR","I00")*$J122</f>
        <v>#REF!</v>
      </c>
      <c r="Q122" s="70" t="e">
        <f>+GETPIVOTDATA("Ampliación ",#REF!,"No. Ramo",8,"IPP","S","PP",230,"UR","I00")*$J122</f>
        <v>#REF!</v>
      </c>
      <c r="R122" s="69" t="e">
        <f>O122+Q122-P122</f>
        <v>#REF!</v>
      </c>
      <c r="S122" s="69"/>
      <c r="T122" s="69"/>
      <c r="U122" s="69" t="e">
        <f t="shared" si="25"/>
        <v>#REF!</v>
      </c>
      <c r="V122" s="69" t="e">
        <f t="shared" si="25"/>
        <v>#REF!</v>
      </c>
      <c r="W122" s="69" t="e">
        <f t="shared" si="25"/>
        <v>#REF!</v>
      </c>
      <c r="X122" s="69" t="e">
        <f t="shared" si="25"/>
        <v>#REF!</v>
      </c>
      <c r="AH122" s="152"/>
      <c r="AI122" s="157"/>
      <c r="AJ122" s="392" t="s">
        <v>677</v>
      </c>
      <c r="AK122" s="392"/>
      <c r="AL122" s="150"/>
      <c r="AM122" s="150"/>
      <c r="AN122" s="150"/>
      <c r="AO122" s="151"/>
      <c r="AP122" s="146">
        <f>AP123+AP124+AP125</f>
        <v>0</v>
      </c>
      <c r="AQ122" s="146">
        <f>AQ123+AQ124+AQ125</f>
        <v>0</v>
      </c>
      <c r="AR122" s="146">
        <f>AR123+AR124+AR125</f>
        <v>0</v>
      </c>
      <c r="AS122" s="245"/>
      <c r="AT122" s="245"/>
      <c r="AU122" s="146">
        <f>AU123+AU124+AU125</f>
        <v>0</v>
      </c>
      <c r="AX122" s="152"/>
      <c r="AY122" s="157"/>
      <c r="AZ122" s="392" t="s">
        <v>677</v>
      </c>
      <c r="BA122" s="392"/>
      <c r="BB122" s="189"/>
      <c r="BC122" s="189"/>
      <c r="BD122" s="189"/>
      <c r="BE122" s="190"/>
      <c r="BF122" s="187">
        <f>BF123+BF124+BF125</f>
        <v>0</v>
      </c>
    </row>
    <row r="123" spans="1:58">
      <c r="A123" s="122">
        <v>1</v>
      </c>
      <c r="B123" s="31"/>
      <c r="C123" s="30"/>
      <c r="D123" s="100" t="s">
        <v>953</v>
      </c>
      <c r="E123" s="46"/>
      <c r="F123" s="33"/>
      <c r="G123" s="76"/>
      <c r="H123" s="76"/>
      <c r="I123" s="67"/>
      <c r="J123" s="81"/>
      <c r="K123" s="70"/>
      <c r="L123" s="70"/>
      <c r="M123" s="70"/>
      <c r="N123" s="70"/>
      <c r="O123" s="70"/>
      <c r="P123" s="70"/>
      <c r="Q123" s="70"/>
      <c r="R123" s="69"/>
      <c r="S123" s="69"/>
      <c r="T123" s="69"/>
      <c r="U123" s="69"/>
      <c r="V123" s="69"/>
      <c r="W123" s="69"/>
      <c r="X123" s="69"/>
      <c r="AH123" s="152"/>
      <c r="AI123" s="157"/>
      <c r="AJ123" s="150"/>
      <c r="AK123" s="154" t="s">
        <v>953</v>
      </c>
      <c r="AL123" s="155"/>
      <c r="AM123" s="150"/>
      <c r="AN123" s="150"/>
      <c r="AO123" s="151"/>
      <c r="AP123" s="146"/>
      <c r="AQ123" s="146"/>
      <c r="AR123" s="146"/>
      <c r="AS123" s="245"/>
      <c r="AT123" s="245"/>
      <c r="AU123" s="146"/>
      <c r="AX123" s="152"/>
      <c r="AY123" s="157"/>
      <c r="AZ123" s="189"/>
      <c r="BA123" s="154" t="s">
        <v>953</v>
      </c>
      <c r="BB123" s="155"/>
      <c r="BC123" s="189"/>
      <c r="BD123" s="189"/>
      <c r="BE123" s="190"/>
      <c r="BF123" s="187">
        <f>+AU123</f>
        <v>0</v>
      </c>
    </row>
    <row r="124" spans="1:58">
      <c r="A124" s="122">
        <v>1</v>
      </c>
      <c r="B124" s="31"/>
      <c r="C124" s="30"/>
      <c r="D124" s="100" t="s">
        <v>954</v>
      </c>
      <c r="E124" s="46"/>
      <c r="F124" s="33"/>
      <c r="G124" s="76"/>
      <c r="H124" s="76"/>
      <c r="I124" s="67"/>
      <c r="J124" s="81"/>
      <c r="K124" s="70"/>
      <c r="L124" s="70"/>
      <c r="M124" s="70"/>
      <c r="N124" s="70"/>
      <c r="O124" s="70"/>
      <c r="P124" s="70"/>
      <c r="Q124" s="70"/>
      <c r="R124" s="69"/>
      <c r="S124" s="69"/>
      <c r="T124" s="69"/>
      <c r="U124" s="69"/>
      <c r="V124" s="69"/>
      <c r="W124" s="69"/>
      <c r="X124" s="69"/>
      <c r="AH124" s="152"/>
      <c r="AI124" s="157"/>
      <c r="AJ124" s="150"/>
      <c r="AK124" s="154" t="s">
        <v>954</v>
      </c>
      <c r="AL124" s="155"/>
      <c r="AM124" s="150"/>
      <c r="AN124" s="150"/>
      <c r="AO124" s="151"/>
      <c r="AP124" s="146"/>
      <c r="AQ124" s="146"/>
      <c r="AR124" s="146"/>
      <c r="AS124" s="245"/>
      <c r="AT124" s="245"/>
      <c r="AU124" s="146"/>
      <c r="AX124" s="152"/>
      <c r="AY124" s="157"/>
      <c r="AZ124" s="189"/>
      <c r="BA124" s="154" t="s">
        <v>954</v>
      </c>
      <c r="BB124" s="155"/>
      <c r="BC124" s="189"/>
      <c r="BD124" s="189"/>
      <c r="BE124" s="190"/>
      <c r="BF124" s="187">
        <f>+AU124</f>
        <v>0</v>
      </c>
    </row>
    <row r="125" spans="1:58">
      <c r="A125" s="122">
        <v>1</v>
      </c>
      <c r="B125" s="31"/>
      <c r="C125" s="30"/>
      <c r="D125" s="100" t="s">
        <v>933</v>
      </c>
      <c r="E125" s="46"/>
      <c r="F125" s="33"/>
      <c r="G125" s="76"/>
      <c r="H125" s="76"/>
      <c r="I125" s="67"/>
      <c r="J125" s="81"/>
      <c r="K125" s="70"/>
      <c r="L125" s="70"/>
      <c r="M125" s="70"/>
      <c r="N125" s="70"/>
      <c r="O125" s="70"/>
      <c r="P125" s="70"/>
      <c r="Q125" s="70"/>
      <c r="R125" s="69"/>
      <c r="S125" s="69"/>
      <c r="T125" s="69"/>
      <c r="U125" s="69"/>
      <c r="V125" s="69"/>
      <c r="W125" s="69"/>
      <c r="X125" s="69"/>
      <c r="AH125" s="152"/>
      <c r="AI125" s="157"/>
      <c r="AJ125" s="150"/>
      <c r="AK125" s="154" t="s">
        <v>933</v>
      </c>
      <c r="AL125" s="155"/>
      <c r="AM125" s="150"/>
      <c r="AN125" s="150"/>
      <c r="AO125" s="151"/>
      <c r="AP125" s="146"/>
      <c r="AQ125" s="146"/>
      <c r="AR125" s="146"/>
      <c r="AS125" s="245"/>
      <c r="AT125" s="245"/>
      <c r="AU125" s="146"/>
      <c r="AX125" s="152"/>
      <c r="AY125" s="157"/>
      <c r="AZ125" s="189"/>
      <c r="BA125" s="154" t="s">
        <v>933</v>
      </c>
      <c r="BB125" s="155"/>
      <c r="BC125" s="189"/>
      <c r="BD125" s="189"/>
      <c r="BE125" s="190"/>
      <c r="BF125" s="187">
        <f>+AU125</f>
        <v>0</v>
      </c>
    </row>
    <row r="126" spans="1:58">
      <c r="A126" s="122">
        <v>1</v>
      </c>
      <c r="B126" s="31"/>
      <c r="C126" s="30"/>
      <c r="D126" s="30" t="s">
        <v>678</v>
      </c>
      <c r="E126" s="30"/>
      <c r="F126" s="33" t="s">
        <v>799</v>
      </c>
      <c r="G126" s="33" t="s">
        <v>12</v>
      </c>
      <c r="H126" s="33"/>
      <c r="I126" s="67">
        <v>1</v>
      </c>
      <c r="J126" s="67">
        <v>7.7261840377037774E-2</v>
      </c>
      <c r="K126" s="70" t="e">
        <f>+GETPIVOTDATA("PPEF 2010 ",#REF!,"No. Ramo",8,"IPP","S","PP",230,"UR","I00")*$J126</f>
        <v>#REF!</v>
      </c>
      <c r="L126" s="70" t="e">
        <f>+GETPIVOTDATA("Ampliación Neta DIP ",#REF!,"No. Ramo",8,"IPP","S","PP",230,"UR","I00")*$J126</f>
        <v>#REF!</v>
      </c>
      <c r="M126" s="70" t="e">
        <f>+GETPIVOTDATA("Recorte SHCP ",#REF!,"No. Ramo",8,"IPP","S","PP",230,"UR","I00")*$J126</f>
        <v>#REF!</v>
      </c>
      <c r="N126" s="70" t="e">
        <f>+GETPIVOTDATA("PEF 2010 ",#REF!,"No. Ramo",8,"IPP","S","PP",230,"UR","I00")*$J126</f>
        <v>#REF!</v>
      </c>
      <c r="O126" s="70" t="e">
        <f>+GETPIVOTDATA("PPEF 2011 ",#REF!,"No. Ramo",8,"IPP","S","PP",230,"UR","I00")*$J126</f>
        <v>#REF!</v>
      </c>
      <c r="P126" s="70" t="e">
        <f>+GETPIVOTDATA("Reducción ",#REF!,"No. Ramo",8,"IPP","S","PP",230,"UR","I00")*$J126</f>
        <v>#REF!</v>
      </c>
      <c r="Q126" s="70" t="e">
        <f>+GETPIVOTDATA("Ampliación ",#REF!,"No. Ramo",8,"IPP","S","PP",230,"UR","I00")*$J126</f>
        <v>#REF!</v>
      </c>
      <c r="R126" s="69" t="e">
        <f>O126+Q126-P126</f>
        <v>#REF!</v>
      </c>
      <c r="S126" s="69"/>
      <c r="T126" s="69"/>
      <c r="U126" s="69" t="e">
        <f t="shared" ref="U126:X127" si="26">+$I126*O126</f>
        <v>#REF!</v>
      </c>
      <c r="V126" s="69" t="e">
        <f t="shared" si="26"/>
        <v>#REF!</v>
      </c>
      <c r="W126" s="69" t="e">
        <f t="shared" si="26"/>
        <v>#REF!</v>
      </c>
      <c r="X126" s="69" t="e">
        <f t="shared" si="26"/>
        <v>#REF!</v>
      </c>
      <c r="AH126" s="152"/>
      <c r="AI126" s="157"/>
      <c r="AJ126" s="158" t="s">
        <v>678</v>
      </c>
      <c r="AK126" s="158"/>
      <c r="AL126" s="150"/>
      <c r="AM126" s="150"/>
      <c r="AN126" s="150"/>
      <c r="AO126" s="151"/>
      <c r="AP126" s="146"/>
      <c r="AQ126" s="146"/>
      <c r="AR126" s="146"/>
      <c r="AS126" s="245"/>
      <c r="AT126" s="245"/>
      <c r="AU126" s="146"/>
      <c r="AX126" s="152"/>
      <c r="AY126" s="157"/>
      <c r="AZ126" s="158" t="s">
        <v>678</v>
      </c>
      <c r="BA126" s="158"/>
      <c r="BB126" s="189"/>
      <c r="BC126" s="189"/>
      <c r="BD126" s="189"/>
      <c r="BE126" s="190"/>
      <c r="BF126" s="187">
        <f>+AU126</f>
        <v>0</v>
      </c>
    </row>
    <row r="127" spans="1:58">
      <c r="A127" s="122">
        <v>1</v>
      </c>
      <c r="B127" s="31"/>
      <c r="C127" s="30"/>
      <c r="D127" s="30" t="s">
        <v>679</v>
      </c>
      <c r="E127" s="30"/>
      <c r="F127" s="33" t="s">
        <v>799</v>
      </c>
      <c r="G127" s="80">
        <v>311</v>
      </c>
      <c r="H127" s="33"/>
      <c r="I127" s="67">
        <v>1</v>
      </c>
      <c r="J127" s="67">
        <v>0.26294741051789644</v>
      </c>
      <c r="K127" s="79" t="e">
        <f>+GETPIVOTDATA("PPEF 2010 ",#REF!,"No. Ramo",8,"IPP","S","PP",230,"UR",311)*$J127</f>
        <v>#REF!</v>
      </c>
      <c r="L127" s="79" t="e">
        <f>+GETPIVOTDATA("Ampliación Neta DIP ",#REF!,"No. Ramo",8,"IPP","S","PP",230,"UR",311)*$J127</f>
        <v>#REF!</v>
      </c>
      <c r="M127" s="79" t="e">
        <f>+GETPIVOTDATA("Recorte SHCP ",#REF!,"No. Ramo",8,"IPP","S","PP",230,"UR",311)*$J127</f>
        <v>#REF!</v>
      </c>
      <c r="N127" s="79" t="e">
        <f>+GETPIVOTDATA("PEF 2010 ",#REF!,"No. Ramo",8,"IPP","S","PP",230,"UR",311)*$J127</f>
        <v>#REF!</v>
      </c>
      <c r="O127" s="70" t="e">
        <f>+GETPIVOTDATA("PPEF 2011 ",#REF!,"No. Ramo",8,"IPP","S","PP",230,"UR",311)*$J127</f>
        <v>#REF!</v>
      </c>
      <c r="P127" s="79" t="e">
        <f>+GETPIVOTDATA("Reducción ",#REF!,"No. Ramo",8,"IPP","S","PP",230,"UR",311)*K127</f>
        <v>#REF!</v>
      </c>
      <c r="Q127" s="79" t="e">
        <f>+GETPIVOTDATA("Ampliación ",#REF!,"No. Ramo",8,"IPP","S","PP",230,"UR",311)*L127</f>
        <v>#REF!</v>
      </c>
      <c r="R127" s="69" t="e">
        <f>O127+Q127-P127</f>
        <v>#REF!</v>
      </c>
      <c r="S127" s="69"/>
      <c r="T127" s="69"/>
      <c r="U127" s="69" t="e">
        <f t="shared" si="26"/>
        <v>#REF!</v>
      </c>
      <c r="V127" s="69" t="e">
        <f t="shared" si="26"/>
        <v>#REF!</v>
      </c>
      <c r="W127" s="69" t="e">
        <f t="shared" si="26"/>
        <v>#REF!</v>
      </c>
      <c r="X127" s="69" t="e">
        <f t="shared" si="26"/>
        <v>#REF!</v>
      </c>
      <c r="AH127" s="152"/>
      <c r="AI127" s="157"/>
      <c r="AJ127" s="158" t="s">
        <v>679</v>
      </c>
      <c r="AK127" s="158"/>
      <c r="AL127" s="150"/>
      <c r="AM127" s="150"/>
      <c r="AN127" s="150"/>
      <c r="AO127" s="151"/>
      <c r="AP127" s="146">
        <f>AP128+AP129+AP130+AP131+AP134</f>
        <v>0</v>
      </c>
      <c r="AQ127" s="146">
        <f>AQ128+AQ129+AQ130+AQ131+AQ134</f>
        <v>0</v>
      </c>
      <c r="AR127" s="146">
        <f>AR128+AR129+AR130+AR131+AR134</f>
        <v>0</v>
      </c>
      <c r="AS127" s="245"/>
      <c r="AT127" s="245"/>
      <c r="AU127" s="146">
        <f>AU128+AU129+AU130+AU131+AU134</f>
        <v>0</v>
      </c>
      <c r="AX127" s="152"/>
      <c r="AY127" s="157"/>
      <c r="AZ127" s="158" t="s">
        <v>679</v>
      </c>
      <c r="BA127" s="158"/>
      <c r="BB127" s="189"/>
      <c r="BC127" s="189"/>
      <c r="BD127" s="189"/>
      <c r="BE127" s="190"/>
      <c r="BF127" s="187">
        <f>BF128+BF129+BF130+BF131+BF134</f>
        <v>0</v>
      </c>
    </row>
    <row r="128" spans="1:58">
      <c r="A128" s="122">
        <v>1</v>
      </c>
      <c r="B128" s="31"/>
      <c r="C128" s="30"/>
      <c r="D128" s="100" t="s">
        <v>944</v>
      </c>
      <c r="E128" s="30"/>
      <c r="F128" s="33"/>
      <c r="G128" s="80"/>
      <c r="H128" s="33"/>
      <c r="I128" s="67"/>
      <c r="J128" s="67"/>
      <c r="K128" s="79"/>
      <c r="L128" s="79"/>
      <c r="M128" s="79"/>
      <c r="N128" s="79"/>
      <c r="O128" s="70"/>
      <c r="P128" s="79"/>
      <c r="Q128" s="79"/>
      <c r="R128" s="69"/>
      <c r="S128" s="69"/>
      <c r="T128" s="69"/>
      <c r="U128" s="69"/>
      <c r="V128" s="69"/>
      <c r="W128" s="69"/>
      <c r="X128" s="69"/>
      <c r="AH128" s="152"/>
      <c r="AI128" s="157"/>
      <c r="AJ128" s="150"/>
      <c r="AK128" s="154" t="s">
        <v>944</v>
      </c>
      <c r="AL128" s="155"/>
      <c r="AM128" s="150"/>
      <c r="AN128" s="150"/>
      <c r="AO128" s="151"/>
      <c r="AP128" s="146"/>
      <c r="AQ128" s="146"/>
      <c r="AR128" s="146"/>
      <c r="AS128" s="245"/>
      <c r="AT128" s="245"/>
      <c r="AU128" s="146"/>
      <c r="AX128" s="152"/>
      <c r="AY128" s="157"/>
      <c r="AZ128" s="189"/>
      <c r="BA128" s="154" t="s">
        <v>944</v>
      </c>
      <c r="BB128" s="155"/>
      <c r="BC128" s="189"/>
      <c r="BD128" s="189"/>
      <c r="BE128" s="190"/>
      <c r="BF128" s="187">
        <f>+AU128</f>
        <v>0</v>
      </c>
    </row>
    <row r="129" spans="1:60">
      <c r="A129" s="122">
        <v>1</v>
      </c>
      <c r="B129" s="31"/>
      <c r="C129" s="30"/>
      <c r="D129" s="100" t="s">
        <v>940</v>
      </c>
      <c r="E129" s="30"/>
      <c r="F129" s="33"/>
      <c r="G129" s="80"/>
      <c r="H129" s="33"/>
      <c r="I129" s="67"/>
      <c r="J129" s="67"/>
      <c r="K129" s="79"/>
      <c r="L129" s="79"/>
      <c r="M129" s="79"/>
      <c r="N129" s="79"/>
      <c r="O129" s="70"/>
      <c r="P129" s="79"/>
      <c r="Q129" s="79"/>
      <c r="R129" s="69"/>
      <c r="S129" s="69"/>
      <c r="T129" s="69"/>
      <c r="U129" s="69"/>
      <c r="V129" s="69"/>
      <c r="W129" s="69"/>
      <c r="X129" s="69"/>
      <c r="AH129" s="152"/>
      <c r="AI129" s="157"/>
      <c r="AJ129" s="150"/>
      <c r="AK129" s="154" t="s">
        <v>940</v>
      </c>
      <c r="AL129" s="155"/>
      <c r="AM129" s="150"/>
      <c r="AN129" s="150"/>
      <c r="AO129" s="151"/>
      <c r="AP129" s="146"/>
      <c r="AQ129" s="146"/>
      <c r="AR129" s="146"/>
      <c r="AS129" s="245"/>
      <c r="AT129" s="245"/>
      <c r="AU129" s="146"/>
      <c r="AX129" s="152"/>
      <c r="AY129" s="157"/>
      <c r="AZ129" s="189"/>
      <c r="BA129" s="154" t="s">
        <v>940</v>
      </c>
      <c r="BB129" s="155"/>
      <c r="BC129" s="189"/>
      <c r="BD129" s="189"/>
      <c r="BE129" s="190"/>
      <c r="BF129" s="187">
        <f>+AU129</f>
        <v>0</v>
      </c>
    </row>
    <row r="130" spans="1:60">
      <c r="A130" s="122">
        <v>1</v>
      </c>
      <c r="B130" s="31"/>
      <c r="C130" s="30"/>
      <c r="D130" s="100" t="s">
        <v>941</v>
      </c>
      <c r="E130" s="30"/>
      <c r="F130" s="33"/>
      <c r="G130" s="80"/>
      <c r="H130" s="33"/>
      <c r="I130" s="67"/>
      <c r="J130" s="67"/>
      <c r="K130" s="79"/>
      <c r="L130" s="79"/>
      <c r="M130" s="79"/>
      <c r="N130" s="79"/>
      <c r="O130" s="70"/>
      <c r="P130" s="79"/>
      <c r="Q130" s="79"/>
      <c r="R130" s="69"/>
      <c r="S130" s="69"/>
      <c r="T130" s="69"/>
      <c r="U130" s="69"/>
      <c r="V130" s="69"/>
      <c r="W130" s="69"/>
      <c r="X130" s="69"/>
      <c r="AH130" s="152"/>
      <c r="AI130" s="157"/>
      <c r="AJ130" s="150"/>
      <c r="AK130" s="154" t="s">
        <v>941</v>
      </c>
      <c r="AL130" s="155"/>
      <c r="AM130" s="150"/>
      <c r="AN130" s="150"/>
      <c r="AO130" s="151"/>
      <c r="AP130" s="146"/>
      <c r="AQ130" s="146"/>
      <c r="AR130" s="146"/>
      <c r="AS130" s="245"/>
      <c r="AT130" s="245"/>
      <c r="AU130" s="146"/>
      <c r="AX130" s="152"/>
      <c r="AY130" s="157"/>
      <c r="AZ130" s="189"/>
      <c r="BA130" s="154" t="s">
        <v>941</v>
      </c>
      <c r="BB130" s="155"/>
      <c r="BC130" s="189"/>
      <c r="BD130" s="189"/>
      <c r="BE130" s="190"/>
      <c r="BF130" s="187">
        <f>+AU130</f>
        <v>0</v>
      </c>
    </row>
    <row r="131" spans="1:60" s="109" customFormat="1">
      <c r="A131" s="122">
        <v>1</v>
      </c>
      <c r="B131" s="31"/>
      <c r="C131" s="30"/>
      <c r="D131" s="100" t="s">
        <v>942</v>
      </c>
      <c r="E131" s="30"/>
      <c r="F131" s="33"/>
      <c r="G131" s="80"/>
      <c r="H131" s="33"/>
      <c r="I131" s="67"/>
      <c r="J131" s="67"/>
      <c r="K131" s="79"/>
      <c r="L131" s="79"/>
      <c r="M131" s="79"/>
      <c r="N131" s="79"/>
      <c r="O131" s="70"/>
      <c r="P131" s="79"/>
      <c r="Q131" s="79"/>
      <c r="R131" s="69"/>
      <c r="S131" s="69"/>
      <c r="T131" s="69"/>
      <c r="U131" s="69"/>
      <c r="V131" s="69"/>
      <c r="W131" s="69"/>
      <c r="X131" s="69"/>
      <c r="Y131"/>
      <c r="Z131"/>
      <c r="AA131"/>
      <c r="AB131"/>
      <c r="AC131"/>
      <c r="AD131"/>
      <c r="AE131"/>
      <c r="AF131"/>
      <c r="AG131"/>
      <c r="AH131" s="152"/>
      <c r="AI131" s="157"/>
      <c r="AJ131" s="150"/>
      <c r="AK131" s="154" t="s">
        <v>942</v>
      </c>
      <c r="AL131" s="155"/>
      <c r="AM131" s="150"/>
      <c r="AN131" s="150"/>
      <c r="AO131" s="151"/>
      <c r="AP131" s="146">
        <f t="shared" ref="AP131:AU131" si="27">AP132+AP133</f>
        <v>0</v>
      </c>
      <c r="AQ131" s="146">
        <f t="shared" si="27"/>
        <v>0</v>
      </c>
      <c r="AR131" s="146">
        <f t="shared" si="27"/>
        <v>0</v>
      </c>
      <c r="AS131" s="245"/>
      <c r="AT131" s="245"/>
      <c r="AU131" s="146">
        <f t="shared" si="27"/>
        <v>0</v>
      </c>
      <c r="AV131" s="197"/>
      <c r="AW131" s="197"/>
      <c r="AX131" s="152"/>
      <c r="AY131" s="157"/>
      <c r="AZ131" s="189"/>
      <c r="BA131" s="154" t="s">
        <v>942</v>
      </c>
      <c r="BB131" s="155"/>
      <c r="BC131" s="189"/>
      <c r="BD131" s="189"/>
      <c r="BE131" s="190"/>
      <c r="BF131" s="187">
        <f>BF132+BF133</f>
        <v>0</v>
      </c>
      <c r="BG131" s="197"/>
      <c r="BH131" s="197"/>
    </row>
    <row r="132" spans="1:60" s="109" customFormat="1">
      <c r="A132" s="122">
        <v>1</v>
      </c>
      <c r="B132" s="100"/>
      <c r="C132" s="100"/>
      <c r="D132" s="102" t="s">
        <v>941</v>
      </c>
      <c r="E132" s="100"/>
      <c r="F132" s="100"/>
      <c r="G132" s="104"/>
      <c r="H132" s="100"/>
      <c r="I132" s="105"/>
      <c r="J132" s="105"/>
      <c r="K132" s="106"/>
      <c r="L132" s="106"/>
      <c r="M132" s="106"/>
      <c r="N132" s="106"/>
      <c r="O132" s="107"/>
      <c r="P132" s="106"/>
      <c r="Q132" s="106"/>
      <c r="R132" s="108"/>
      <c r="S132" s="108"/>
      <c r="T132" s="108"/>
      <c r="U132" s="108"/>
      <c r="V132" s="108"/>
      <c r="W132" s="108"/>
      <c r="X132" s="108"/>
      <c r="AH132" s="152"/>
      <c r="AI132" s="159"/>
      <c r="AJ132" s="150"/>
      <c r="AK132" s="150"/>
      <c r="AL132" s="154" t="s">
        <v>941</v>
      </c>
      <c r="AM132" s="150"/>
      <c r="AN132" s="150"/>
      <c r="AO132" s="151"/>
      <c r="AP132" s="146"/>
      <c r="AQ132" s="146"/>
      <c r="AR132" s="146"/>
      <c r="AS132" s="245"/>
      <c r="AT132" s="245"/>
      <c r="AU132" s="146"/>
      <c r="AV132" s="197"/>
      <c r="AW132" s="197"/>
      <c r="AX132" s="152"/>
      <c r="AY132" s="159"/>
      <c r="AZ132" s="189"/>
      <c r="BA132" s="189"/>
      <c r="BB132" s="154" t="s">
        <v>941</v>
      </c>
      <c r="BC132" s="189"/>
      <c r="BD132" s="189"/>
      <c r="BE132" s="190"/>
      <c r="BF132" s="187">
        <f>+AU132</f>
        <v>0</v>
      </c>
      <c r="BG132" s="197"/>
      <c r="BH132" s="197"/>
    </row>
    <row r="133" spans="1:60">
      <c r="A133" s="122">
        <v>1</v>
      </c>
      <c r="B133" s="100"/>
      <c r="C133" s="100"/>
      <c r="D133" s="102" t="s">
        <v>943</v>
      </c>
      <c r="E133" s="100"/>
      <c r="F133" s="100"/>
      <c r="G133" s="104"/>
      <c r="H133" s="100"/>
      <c r="I133" s="105"/>
      <c r="J133" s="105"/>
      <c r="K133" s="106"/>
      <c r="L133" s="106"/>
      <c r="M133" s="106"/>
      <c r="N133" s="106"/>
      <c r="O133" s="107"/>
      <c r="P133" s="106"/>
      <c r="Q133" s="106"/>
      <c r="R133" s="108"/>
      <c r="S133" s="108"/>
      <c r="T133" s="108"/>
      <c r="U133" s="108"/>
      <c r="V133" s="108"/>
      <c r="W133" s="108"/>
      <c r="X133" s="108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52"/>
      <c r="AI133" s="159"/>
      <c r="AJ133" s="150"/>
      <c r="AK133" s="150"/>
      <c r="AL133" s="154" t="s">
        <v>943</v>
      </c>
      <c r="AM133" s="150"/>
      <c r="AN133" s="150"/>
      <c r="AO133" s="151"/>
      <c r="AP133" s="146"/>
      <c r="AQ133" s="146"/>
      <c r="AR133" s="146"/>
      <c r="AS133" s="245"/>
      <c r="AT133" s="245"/>
      <c r="AU133" s="146"/>
      <c r="AX133" s="152"/>
      <c r="AY133" s="159"/>
      <c r="AZ133" s="189"/>
      <c r="BA133" s="189"/>
      <c r="BB133" s="154" t="s">
        <v>943</v>
      </c>
      <c r="BC133" s="189"/>
      <c r="BD133" s="189"/>
      <c r="BE133" s="190"/>
      <c r="BF133" s="187">
        <f>+AU133</f>
        <v>0</v>
      </c>
    </row>
    <row r="134" spans="1:60">
      <c r="A134" s="122">
        <v>1</v>
      </c>
      <c r="B134" s="31"/>
      <c r="C134" s="30"/>
      <c r="D134" s="100" t="s">
        <v>936</v>
      </c>
      <c r="E134" s="30"/>
      <c r="F134" s="33"/>
      <c r="G134" s="80"/>
      <c r="H134" s="33"/>
      <c r="I134" s="67"/>
      <c r="J134" s="67"/>
      <c r="K134" s="79"/>
      <c r="L134" s="79"/>
      <c r="M134" s="79"/>
      <c r="N134" s="79"/>
      <c r="O134" s="70"/>
      <c r="P134" s="79"/>
      <c r="Q134" s="79"/>
      <c r="R134" s="69"/>
      <c r="S134" s="69"/>
      <c r="T134" s="69"/>
      <c r="U134" s="69"/>
      <c r="V134" s="69"/>
      <c r="W134" s="69"/>
      <c r="X134" s="69"/>
      <c r="AH134" s="152"/>
      <c r="AI134" s="157"/>
      <c r="AJ134" s="150"/>
      <c r="AK134" s="154" t="s">
        <v>936</v>
      </c>
      <c r="AL134" s="155"/>
      <c r="AM134" s="150"/>
      <c r="AN134" s="150"/>
      <c r="AO134" s="151"/>
      <c r="AP134" s="146">
        <f t="shared" ref="AP134:AU134" si="28">AP135+AP136+AP137</f>
        <v>0</v>
      </c>
      <c r="AQ134" s="146">
        <f t="shared" si="28"/>
        <v>0</v>
      </c>
      <c r="AR134" s="146">
        <f t="shared" si="28"/>
        <v>0</v>
      </c>
      <c r="AS134" s="245"/>
      <c r="AT134" s="245"/>
      <c r="AU134" s="146">
        <f t="shared" si="28"/>
        <v>0</v>
      </c>
      <c r="AX134" s="152"/>
      <c r="AY134" s="157"/>
      <c r="AZ134" s="189"/>
      <c r="BA134" s="154" t="s">
        <v>936</v>
      </c>
      <c r="BB134" s="155"/>
      <c r="BC134" s="189"/>
      <c r="BD134" s="189"/>
      <c r="BE134" s="190"/>
      <c r="BF134" s="187">
        <f>BF135+BF136+BF137</f>
        <v>0</v>
      </c>
    </row>
    <row r="135" spans="1:60">
      <c r="A135" s="122">
        <v>1</v>
      </c>
      <c r="B135" s="31"/>
      <c r="C135" s="30"/>
      <c r="D135" s="102" t="s">
        <v>937</v>
      </c>
      <c r="E135" s="30"/>
      <c r="F135" s="33"/>
      <c r="G135" s="80"/>
      <c r="H135" s="33"/>
      <c r="I135" s="67"/>
      <c r="J135" s="67"/>
      <c r="K135" s="79"/>
      <c r="L135" s="79"/>
      <c r="M135" s="79"/>
      <c r="N135" s="79"/>
      <c r="O135" s="70"/>
      <c r="P135" s="79"/>
      <c r="Q135" s="79"/>
      <c r="R135" s="69"/>
      <c r="S135" s="69"/>
      <c r="T135" s="69"/>
      <c r="U135" s="69"/>
      <c r="V135" s="69"/>
      <c r="W135" s="69"/>
      <c r="X135" s="69"/>
      <c r="AH135" s="152"/>
      <c r="AI135" s="157"/>
      <c r="AJ135" s="150"/>
      <c r="AK135" s="150"/>
      <c r="AL135" s="154" t="s">
        <v>1357</v>
      </c>
      <c r="AM135" s="150"/>
      <c r="AN135" s="150"/>
      <c r="AO135" s="151"/>
      <c r="AP135" s="146"/>
      <c r="AQ135" s="146"/>
      <c r="AR135" s="146"/>
      <c r="AS135" s="245"/>
      <c r="AT135" s="245"/>
      <c r="AU135" s="146"/>
      <c r="AX135" s="152"/>
      <c r="AY135" s="157"/>
      <c r="AZ135" s="189"/>
      <c r="BA135" s="189"/>
      <c r="BB135" s="154" t="s">
        <v>1357</v>
      </c>
      <c r="BC135" s="189"/>
      <c r="BD135" s="189"/>
      <c r="BE135" s="190"/>
      <c r="BF135" s="187">
        <f>+AU135</f>
        <v>0</v>
      </c>
    </row>
    <row r="136" spans="1:60">
      <c r="A136" s="122">
        <v>1</v>
      </c>
      <c r="B136" s="31"/>
      <c r="C136" s="30"/>
      <c r="D136" s="102" t="s">
        <v>938</v>
      </c>
      <c r="E136" s="30"/>
      <c r="F136" s="33"/>
      <c r="G136" s="80"/>
      <c r="H136" s="33"/>
      <c r="I136" s="67"/>
      <c r="J136" s="67"/>
      <c r="K136" s="79"/>
      <c r="L136" s="79"/>
      <c r="M136" s="79"/>
      <c r="N136" s="79"/>
      <c r="O136" s="70"/>
      <c r="P136" s="79"/>
      <c r="Q136" s="79"/>
      <c r="R136" s="69"/>
      <c r="S136" s="69"/>
      <c r="T136" s="69"/>
      <c r="U136" s="69"/>
      <c r="V136" s="69"/>
      <c r="W136" s="69"/>
      <c r="X136" s="69"/>
      <c r="AH136" s="152"/>
      <c r="AI136" s="157"/>
      <c r="AJ136" s="150"/>
      <c r="AK136" s="150"/>
      <c r="AL136" s="154" t="s">
        <v>1358</v>
      </c>
      <c r="AM136" s="150"/>
      <c r="AN136" s="150"/>
      <c r="AO136" s="151"/>
      <c r="AP136" s="146"/>
      <c r="AQ136" s="146"/>
      <c r="AR136" s="146"/>
      <c r="AS136" s="245"/>
      <c r="AT136" s="245"/>
      <c r="AU136" s="146"/>
      <c r="AX136" s="152"/>
      <c r="AY136" s="157"/>
      <c r="AZ136" s="189"/>
      <c r="BA136" s="189"/>
      <c r="BB136" s="154" t="s">
        <v>1358</v>
      </c>
      <c r="BC136" s="189"/>
      <c r="BD136" s="189"/>
      <c r="BE136" s="190"/>
      <c r="BF136" s="187">
        <f>+AU136</f>
        <v>0</v>
      </c>
    </row>
    <row r="137" spans="1:60">
      <c r="A137" s="122">
        <v>1</v>
      </c>
      <c r="B137" s="31"/>
      <c r="C137" s="30"/>
      <c r="D137" s="102" t="s">
        <v>939</v>
      </c>
      <c r="E137" s="30"/>
      <c r="F137" s="33"/>
      <c r="G137" s="80"/>
      <c r="H137" s="33"/>
      <c r="I137" s="67"/>
      <c r="J137" s="67"/>
      <c r="K137" s="79"/>
      <c r="L137" s="79"/>
      <c r="M137" s="79"/>
      <c r="N137" s="79"/>
      <c r="O137" s="70"/>
      <c r="P137" s="79"/>
      <c r="Q137" s="79"/>
      <c r="R137" s="69"/>
      <c r="S137" s="69"/>
      <c r="T137" s="69"/>
      <c r="U137" s="69"/>
      <c r="V137" s="69"/>
      <c r="W137" s="69"/>
      <c r="X137" s="69"/>
      <c r="AH137" s="152"/>
      <c r="AI137" s="157"/>
      <c r="AJ137" s="150"/>
      <c r="AK137" s="150"/>
      <c r="AL137" s="154" t="s">
        <v>50</v>
      </c>
      <c r="AM137" s="150"/>
      <c r="AN137" s="150"/>
      <c r="AO137" s="151"/>
      <c r="AP137" s="146"/>
      <c r="AQ137" s="146"/>
      <c r="AR137" s="146"/>
      <c r="AS137" s="245"/>
      <c r="AT137" s="245"/>
      <c r="AU137" s="146"/>
      <c r="AX137" s="152"/>
      <c r="AY137" s="157"/>
      <c r="AZ137" s="189"/>
      <c r="BA137" s="189"/>
      <c r="BB137" s="154" t="s">
        <v>50</v>
      </c>
      <c r="BC137" s="189"/>
      <c r="BD137" s="189"/>
      <c r="BE137" s="190"/>
      <c r="BF137" s="187">
        <f>+AU137</f>
        <v>0</v>
      </c>
    </row>
    <row r="138" spans="1:60">
      <c r="B138" s="28" t="s">
        <v>168</v>
      </c>
      <c r="C138" s="29" t="s">
        <v>680</v>
      </c>
      <c r="D138" s="29"/>
      <c r="E138" s="29"/>
      <c r="F138" s="28"/>
      <c r="G138" s="28"/>
      <c r="H138" s="28"/>
      <c r="I138" s="65"/>
      <c r="J138" s="28"/>
      <c r="K138" s="66" t="e">
        <f t="shared" ref="K138:Q138" si="29">SUM(K139:K141)</f>
        <v>#REF!</v>
      </c>
      <c r="L138" s="66" t="e">
        <f t="shared" si="29"/>
        <v>#REF!</v>
      </c>
      <c r="M138" s="66" t="e">
        <f t="shared" si="29"/>
        <v>#REF!</v>
      </c>
      <c r="N138" s="66" t="e">
        <f t="shared" si="29"/>
        <v>#REF!</v>
      </c>
      <c r="O138" s="66" t="e">
        <f t="shared" si="29"/>
        <v>#REF!</v>
      </c>
      <c r="P138" s="66" t="e">
        <f t="shared" si="29"/>
        <v>#REF!</v>
      </c>
      <c r="Q138" s="66" t="e">
        <f t="shared" si="29"/>
        <v>#REF!</v>
      </c>
      <c r="R138" s="66" t="e">
        <f>O138+Q138-P138</f>
        <v>#REF!</v>
      </c>
      <c r="S138" s="66"/>
      <c r="T138" s="66"/>
      <c r="U138" s="66" t="e">
        <f>SUM(U139:U141)</f>
        <v>#REF!</v>
      </c>
      <c r="V138" s="66" t="e">
        <f>SUM(V139:V141)</f>
        <v>#REF!</v>
      </c>
      <c r="W138" s="66" t="e">
        <f>SUM(W139:W141)</f>
        <v>#REF!</v>
      </c>
      <c r="X138" s="66" t="e">
        <f>SUM(X139:X141)</f>
        <v>#REF!</v>
      </c>
      <c r="AH138" s="147" t="s">
        <v>168</v>
      </c>
      <c r="AI138" s="148" t="s">
        <v>680</v>
      </c>
      <c r="AJ138" s="160"/>
      <c r="AK138" s="160"/>
      <c r="AL138" s="149"/>
      <c r="AM138" s="150"/>
      <c r="AN138" s="150"/>
      <c r="AO138" s="151"/>
      <c r="AP138" s="146">
        <f t="shared" ref="AP138:AU138" si="30">SUM(AP139:AP143)</f>
        <v>0</v>
      </c>
      <c r="AQ138" s="146">
        <f t="shared" si="30"/>
        <v>0</v>
      </c>
      <c r="AR138" s="146">
        <f t="shared" si="30"/>
        <v>0</v>
      </c>
      <c r="AS138" s="245"/>
      <c r="AT138" s="245"/>
      <c r="AU138" s="146">
        <f t="shared" si="30"/>
        <v>0</v>
      </c>
      <c r="AX138" s="147" t="s">
        <v>168</v>
      </c>
      <c r="AY138" s="148" t="s">
        <v>680</v>
      </c>
      <c r="AZ138" s="160"/>
      <c r="BA138" s="160"/>
      <c r="BB138" s="149"/>
      <c r="BC138" s="189"/>
      <c r="BD138" s="189"/>
      <c r="BE138" s="190"/>
      <c r="BF138" s="187">
        <f>SUM(BF139:BF143)</f>
        <v>0</v>
      </c>
    </row>
    <row r="139" spans="1:60">
      <c r="B139" s="31"/>
      <c r="C139" s="30" t="s">
        <v>176</v>
      </c>
      <c r="D139" s="30"/>
      <c r="E139" s="30"/>
      <c r="F139" s="33" t="s">
        <v>801</v>
      </c>
      <c r="G139" s="33">
        <v>214</v>
      </c>
      <c r="H139" s="33"/>
      <c r="I139" s="67">
        <v>1</v>
      </c>
      <c r="J139" s="67">
        <v>0.97508385241974127</v>
      </c>
      <c r="K139" s="69" t="e">
        <f>+GETPIVOTDATA("PPEF 2010 ",#REF!,"No. Ramo",10,"IPP","S","PP",16,"UR",214)*$J139</f>
        <v>#REF!</v>
      </c>
      <c r="L139" s="69" t="e">
        <f>+GETPIVOTDATA("Ampliación Neta DIP ",#REF!,"No. Ramo",10,"IPP","S","PP",16,"UR",214)*$J139</f>
        <v>#REF!</v>
      </c>
      <c r="M139" s="69" t="e">
        <f>+GETPIVOTDATA("Recorte SHCP ",#REF!,"No. Ramo",10,"IPP","S","PP",16,"UR",214)*$J139</f>
        <v>#REF!</v>
      </c>
      <c r="N139" s="69" t="e">
        <f>+GETPIVOTDATA("PEF 2010 ",#REF!,"No. Ramo",10,"IPP","S","PP",16,"UR",214)*$J139</f>
        <v>#REF!</v>
      </c>
      <c r="O139" s="69" t="e">
        <f>+GETPIVOTDATA("PPEF 2011 ",#REF!,"No. Ramo",10,"IPP","S","PP",16,"UR",214)*$J139</f>
        <v>#REF!</v>
      </c>
      <c r="P139" s="69" t="e">
        <f>+GETPIVOTDATA("Reducción ",#REF!,"No. Ramo",10,"IPP","S","PP",16,"UR",214)*$J139</f>
        <v>#REF!</v>
      </c>
      <c r="Q139" s="69" t="e">
        <f>+GETPIVOTDATA("Ampliación ",#REF!,"No. Ramo",10,"IPP","S","PP",16,"UR",214)*$J139</f>
        <v>#REF!</v>
      </c>
      <c r="R139" s="69" t="e">
        <f>O139+Q139-P139</f>
        <v>#REF!</v>
      </c>
      <c r="S139" s="69"/>
      <c r="T139" s="69"/>
      <c r="U139" s="69" t="e">
        <f t="shared" ref="U139:X141" si="31">+$I139*O139</f>
        <v>#REF!</v>
      </c>
      <c r="V139" s="69" t="e">
        <f t="shared" si="31"/>
        <v>#REF!</v>
      </c>
      <c r="W139" s="69" t="e">
        <f t="shared" si="31"/>
        <v>#REF!</v>
      </c>
      <c r="X139" s="69" t="e">
        <f t="shared" si="31"/>
        <v>#REF!</v>
      </c>
      <c r="AH139" s="152"/>
      <c r="AI139" s="157" t="s">
        <v>176</v>
      </c>
      <c r="AJ139" s="158"/>
      <c r="AK139" s="158"/>
      <c r="AL139" s="150"/>
      <c r="AM139" s="150"/>
      <c r="AN139" s="150"/>
      <c r="AO139" s="151"/>
      <c r="AP139" s="146"/>
      <c r="AQ139" s="146"/>
      <c r="AR139" s="146"/>
      <c r="AS139" s="245"/>
      <c r="AT139" s="245"/>
      <c r="AU139" s="146"/>
      <c r="AX139" s="152"/>
      <c r="AY139" s="157" t="s">
        <v>176</v>
      </c>
      <c r="AZ139" s="158"/>
      <c r="BA139" s="158"/>
      <c r="BB139" s="189"/>
      <c r="BC139" s="189"/>
      <c r="BD139" s="189"/>
      <c r="BE139" s="190"/>
      <c r="BF139" s="187">
        <f>+AU139</f>
        <v>0</v>
      </c>
    </row>
    <row r="140" spans="1:60">
      <c r="B140" s="31"/>
      <c r="C140" s="30" t="s">
        <v>177</v>
      </c>
      <c r="D140" s="30"/>
      <c r="E140" s="30"/>
      <c r="F140" s="33" t="s">
        <v>802</v>
      </c>
      <c r="G140" s="33" t="s">
        <v>15</v>
      </c>
      <c r="H140" s="33"/>
      <c r="I140" s="67">
        <v>1</v>
      </c>
      <c r="J140" s="67">
        <v>0.44421991532168326</v>
      </c>
      <c r="K140" s="69" t="e">
        <f>+GETPIVOTDATA("PPEF 2010 ",#REF!,"No. Ramo",10,"IPP","S","PP",17,"UR","C00")*$J140</f>
        <v>#REF!</v>
      </c>
      <c r="L140" s="69" t="e">
        <f>+GETPIVOTDATA("Ampliación Neta DIP ",#REF!,"No. Ramo",10,"IPP","S","PP",17,"UR","C00")*$J140</f>
        <v>#REF!</v>
      </c>
      <c r="M140" s="69" t="e">
        <f>+GETPIVOTDATA("Recorte SHCP ",#REF!,"No. Ramo",10,"IPP","S","PP",17,"UR","C00")*$J140</f>
        <v>#REF!</v>
      </c>
      <c r="N140" s="69" t="e">
        <f>+GETPIVOTDATA("PEF 2010 ",#REF!,"No. Ramo",10,"IPP","S","PP",17,"UR","C00")*$J140</f>
        <v>#REF!</v>
      </c>
      <c r="O140" s="69" t="e">
        <f>+GETPIVOTDATA("PPEF 2011 ",#REF!,"No. Ramo",10,"IPP","S","PP",17,"UR","C00")*$J140</f>
        <v>#REF!</v>
      </c>
      <c r="P140" s="69" t="e">
        <f>+GETPIVOTDATA("Reducción ",#REF!,"No. Ramo",10,"IPP","S","PP",17,"UR","C00")*$J140</f>
        <v>#REF!</v>
      </c>
      <c r="Q140" s="69" t="e">
        <f>+GETPIVOTDATA("Ampliación ",#REF!,"No. Ramo",10,"IPP","S","PP",17,"UR","C00")*$J140</f>
        <v>#REF!</v>
      </c>
      <c r="R140" s="69" t="e">
        <f>O140+Q140-P140</f>
        <v>#REF!</v>
      </c>
      <c r="S140" s="69"/>
      <c r="T140" s="69"/>
      <c r="U140" s="69" t="e">
        <f t="shared" si="31"/>
        <v>#REF!</v>
      </c>
      <c r="V140" s="69" t="e">
        <f t="shared" si="31"/>
        <v>#REF!</v>
      </c>
      <c r="W140" s="69" t="e">
        <f t="shared" si="31"/>
        <v>#REF!</v>
      </c>
      <c r="X140" s="69" t="e">
        <f t="shared" si="31"/>
        <v>#REF!</v>
      </c>
      <c r="AH140" s="152"/>
      <c r="AI140" s="157" t="s">
        <v>177</v>
      </c>
      <c r="AJ140" s="158"/>
      <c r="AK140" s="158"/>
      <c r="AL140" s="150"/>
      <c r="AM140" s="150"/>
      <c r="AN140" s="150"/>
      <c r="AO140" s="151"/>
      <c r="AP140" s="146"/>
      <c r="AQ140" s="146"/>
      <c r="AR140" s="146"/>
      <c r="AS140" s="245"/>
      <c r="AT140" s="245"/>
      <c r="AU140" s="146"/>
      <c r="AX140" s="152"/>
      <c r="AY140" s="157" t="s">
        <v>177</v>
      </c>
      <c r="AZ140" s="158"/>
      <c r="BA140" s="158"/>
      <c r="BB140" s="189"/>
      <c r="BC140" s="189"/>
      <c r="BD140" s="189"/>
      <c r="BE140" s="190"/>
      <c r="BF140" s="187">
        <f>+AU140</f>
        <v>0</v>
      </c>
    </row>
    <row r="141" spans="1:60" s="113" customFormat="1">
      <c r="A141"/>
      <c r="B141" s="31"/>
      <c r="C141" s="30" t="s">
        <v>681</v>
      </c>
      <c r="D141" s="30"/>
      <c r="E141" s="30"/>
      <c r="F141" s="33" t="s">
        <v>803</v>
      </c>
      <c r="G141" s="33">
        <v>214</v>
      </c>
      <c r="H141" s="33"/>
      <c r="I141" s="67">
        <v>1</v>
      </c>
      <c r="J141" s="67">
        <v>0.3049464717133995</v>
      </c>
      <c r="K141" s="69" t="e">
        <f>+GETPIVOTDATA("PPEF 2010 ",#REF!,"No. Ramo",10,"IPP","S","PP",21,"UR",214)*$J141</f>
        <v>#REF!</v>
      </c>
      <c r="L141" s="69" t="e">
        <f>+GETPIVOTDATA("Ampliación Neta DIP ",#REF!,"No. Ramo",10,"IPP","S","PP",21,"UR",214)*$J141</f>
        <v>#REF!</v>
      </c>
      <c r="M141" s="69" t="e">
        <f>+GETPIVOTDATA("Recorte SHCP ",#REF!,"No. Ramo",10,"IPP","S","PP",21,"UR",214)*$J141</f>
        <v>#REF!</v>
      </c>
      <c r="N141" s="69" t="e">
        <f>+GETPIVOTDATA("PEF 2010 ",#REF!,"No. Ramo",10,"IPP","S","PP",21,"UR",214)*$J141</f>
        <v>#REF!</v>
      </c>
      <c r="O141" s="69" t="e">
        <f>+GETPIVOTDATA("PPEF 2011 ",#REF!,"No. Ramo",10,"IPP","S","PP",21,"UR",214)*$J141</f>
        <v>#REF!</v>
      </c>
      <c r="P141" s="69" t="e">
        <f>+GETPIVOTDATA("Reducción ",#REF!,"No. Ramo",10,"IPP","S","PP",21,"UR",214)*$J141</f>
        <v>#REF!</v>
      </c>
      <c r="Q141" s="69" t="e">
        <f>+GETPIVOTDATA("Ampliación ",#REF!,"No. Ramo",10,"IPP","S","PP",21,"UR",214)*$J141</f>
        <v>#REF!</v>
      </c>
      <c r="R141" s="69" t="e">
        <f>O141+Q141-P141</f>
        <v>#REF!</v>
      </c>
      <c r="S141" s="69"/>
      <c r="T141" s="69"/>
      <c r="U141" s="69" t="e">
        <f t="shared" si="31"/>
        <v>#REF!</v>
      </c>
      <c r="V141" s="69" t="e">
        <f t="shared" si="31"/>
        <v>#REF!</v>
      </c>
      <c r="W141" s="69" t="e">
        <f t="shared" si="31"/>
        <v>#REF!</v>
      </c>
      <c r="X141" s="69" t="e">
        <f t="shared" si="31"/>
        <v>#REF!</v>
      </c>
      <c r="Y141"/>
      <c r="Z141"/>
      <c r="AA141"/>
      <c r="AB141"/>
      <c r="AC141"/>
      <c r="AD141"/>
      <c r="AE141"/>
      <c r="AF141"/>
      <c r="AG141"/>
      <c r="AH141" s="152"/>
      <c r="AI141" s="157" t="s">
        <v>681</v>
      </c>
      <c r="AJ141" s="158"/>
      <c r="AK141" s="158"/>
      <c r="AL141" s="150"/>
      <c r="AM141" s="150"/>
      <c r="AN141" s="150"/>
      <c r="AO141" s="151"/>
      <c r="AP141" s="146"/>
      <c r="AQ141" s="146"/>
      <c r="AR141" s="146"/>
      <c r="AS141" s="245"/>
      <c r="AT141" s="245"/>
      <c r="AU141" s="146"/>
      <c r="AV141" s="195"/>
      <c r="AW141" s="195"/>
      <c r="AX141" s="152"/>
      <c r="AY141" s="157" t="s">
        <v>681</v>
      </c>
      <c r="AZ141" s="158"/>
      <c r="BA141" s="158"/>
      <c r="BB141" s="189"/>
      <c r="BC141" s="189"/>
      <c r="BD141" s="189"/>
      <c r="BE141" s="190"/>
      <c r="BF141" s="187">
        <f>+AU141</f>
        <v>0</v>
      </c>
      <c r="BG141" s="195"/>
      <c r="BH141" s="195"/>
    </row>
    <row r="142" spans="1:60" s="113" customFormat="1">
      <c r="B142" s="111"/>
      <c r="C142" s="110" t="s">
        <v>180</v>
      </c>
      <c r="D142" s="110"/>
      <c r="E142" s="110"/>
      <c r="F142" s="80" t="s">
        <v>961</v>
      </c>
      <c r="G142" s="80">
        <v>212</v>
      </c>
      <c r="H142" s="80"/>
      <c r="I142" s="112"/>
      <c r="J142" s="112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AH142" s="152"/>
      <c r="AI142" s="157" t="s">
        <v>180</v>
      </c>
      <c r="AJ142" s="158"/>
      <c r="AK142" s="158"/>
      <c r="AL142" s="150"/>
      <c r="AM142" s="150"/>
      <c r="AN142" s="150"/>
      <c r="AO142" s="151"/>
      <c r="AP142" s="146"/>
      <c r="AQ142" s="146"/>
      <c r="AR142" s="146"/>
      <c r="AS142" s="245"/>
      <c r="AT142" s="245"/>
      <c r="AU142" s="146"/>
      <c r="AV142" s="195"/>
      <c r="AW142" s="195"/>
      <c r="AX142" s="152"/>
      <c r="AY142" s="157" t="s">
        <v>180</v>
      </c>
      <c r="AZ142" s="158"/>
      <c r="BA142" s="158"/>
      <c r="BB142" s="189"/>
      <c r="BC142" s="189"/>
      <c r="BD142" s="189"/>
      <c r="BE142" s="190"/>
      <c r="BF142" s="187">
        <f>+AU142</f>
        <v>0</v>
      </c>
      <c r="BG142" s="195"/>
      <c r="BH142" s="195"/>
    </row>
    <row r="143" spans="1:60">
      <c r="A143" s="113"/>
      <c r="B143" s="111"/>
      <c r="C143" s="110" t="s">
        <v>962</v>
      </c>
      <c r="D143" s="110"/>
      <c r="E143" s="110"/>
      <c r="F143" s="80" t="s">
        <v>963</v>
      </c>
      <c r="G143" s="80">
        <v>200</v>
      </c>
      <c r="H143" s="80"/>
      <c r="I143" s="112"/>
      <c r="J143" s="112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52"/>
      <c r="AI143" s="157" t="s">
        <v>962</v>
      </c>
      <c r="AJ143" s="158"/>
      <c r="AK143" s="158"/>
      <c r="AL143" s="150"/>
      <c r="AM143" s="150"/>
      <c r="AN143" s="150"/>
      <c r="AO143" s="151"/>
      <c r="AP143" s="146">
        <f>AP144+AP145+AP146</f>
        <v>0</v>
      </c>
      <c r="AQ143" s="146">
        <f>AQ144+AQ145+AQ146</f>
        <v>0</v>
      </c>
      <c r="AR143" s="146">
        <f>AR144+AR145+AR146</f>
        <v>0</v>
      </c>
      <c r="AS143" s="245"/>
      <c r="AT143" s="245"/>
      <c r="AU143" s="146">
        <f>AU144+AU145+AU146</f>
        <v>0</v>
      </c>
      <c r="AX143" s="152"/>
      <c r="AY143" s="157" t="s">
        <v>962</v>
      </c>
      <c r="AZ143" s="158"/>
      <c r="BA143" s="158"/>
      <c r="BB143" s="189"/>
      <c r="BC143" s="189"/>
      <c r="BD143" s="189"/>
      <c r="BE143" s="190"/>
      <c r="BF143" s="187">
        <f>BF144+BF145+BF146</f>
        <v>0</v>
      </c>
    </row>
    <row r="144" spans="1:60">
      <c r="B144" s="31"/>
      <c r="C144" s="100" t="s">
        <v>964</v>
      </c>
      <c r="D144" s="30"/>
      <c r="E144" s="30"/>
      <c r="F144" s="33"/>
      <c r="G144" s="33"/>
      <c r="H144" s="33"/>
      <c r="I144" s="67"/>
      <c r="J144" s="67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AH144" s="152"/>
      <c r="AI144" s="156"/>
      <c r="AJ144" s="154" t="s">
        <v>964</v>
      </c>
      <c r="AK144" s="158"/>
      <c r="AL144" s="150"/>
      <c r="AM144" s="150"/>
      <c r="AN144" s="150"/>
      <c r="AO144" s="151"/>
      <c r="AP144" s="146"/>
      <c r="AQ144" s="146"/>
      <c r="AR144" s="146"/>
      <c r="AS144" s="245"/>
      <c r="AT144" s="245"/>
      <c r="AU144" s="146"/>
      <c r="AX144" s="152"/>
      <c r="AY144" s="191"/>
      <c r="AZ144" s="154" t="s">
        <v>964</v>
      </c>
      <c r="BA144" s="158"/>
      <c r="BB144" s="189"/>
      <c r="BC144" s="189"/>
      <c r="BD144" s="189"/>
      <c r="BE144" s="190"/>
      <c r="BF144" s="187">
        <f>+AU144</f>
        <v>0</v>
      </c>
    </row>
    <row r="145" spans="1:58">
      <c r="B145" s="31"/>
      <c r="C145" s="100" t="s">
        <v>965</v>
      </c>
      <c r="D145" s="30"/>
      <c r="E145" s="30"/>
      <c r="F145" s="33"/>
      <c r="G145" s="33"/>
      <c r="H145" s="33"/>
      <c r="I145" s="67"/>
      <c r="J145" s="67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AH145" s="152"/>
      <c r="AI145" s="156"/>
      <c r="AJ145" s="154" t="s">
        <v>965</v>
      </c>
      <c r="AK145" s="158"/>
      <c r="AL145" s="150"/>
      <c r="AM145" s="150"/>
      <c r="AN145" s="150"/>
      <c r="AO145" s="151"/>
      <c r="AP145" s="146"/>
      <c r="AQ145" s="146"/>
      <c r="AR145" s="146"/>
      <c r="AS145" s="245"/>
      <c r="AT145" s="245"/>
      <c r="AU145" s="146"/>
      <c r="AX145" s="152"/>
      <c r="AY145" s="191"/>
      <c r="AZ145" s="154" t="s">
        <v>965</v>
      </c>
      <c r="BA145" s="158"/>
      <c r="BB145" s="189"/>
      <c r="BC145" s="189"/>
      <c r="BD145" s="189"/>
      <c r="BE145" s="190"/>
      <c r="BF145" s="187">
        <f>+AU145</f>
        <v>0</v>
      </c>
    </row>
    <row r="146" spans="1:58">
      <c r="B146" s="31"/>
      <c r="C146" s="100" t="s">
        <v>966</v>
      </c>
      <c r="D146" s="30"/>
      <c r="E146" s="30"/>
      <c r="F146" s="33"/>
      <c r="G146" s="33"/>
      <c r="H146" s="33"/>
      <c r="I146" s="67"/>
      <c r="J146" s="67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AH146" s="152"/>
      <c r="AI146" s="156"/>
      <c r="AJ146" s="154" t="s">
        <v>966</v>
      </c>
      <c r="AK146" s="158"/>
      <c r="AL146" s="150"/>
      <c r="AM146" s="150"/>
      <c r="AN146" s="150"/>
      <c r="AO146" s="151"/>
      <c r="AP146" s="146"/>
      <c r="AQ146" s="146"/>
      <c r="AR146" s="146"/>
      <c r="AS146" s="245"/>
      <c r="AT146" s="245"/>
      <c r="AU146" s="146"/>
      <c r="AX146" s="152"/>
      <c r="AY146" s="191"/>
      <c r="AZ146" s="154" t="s">
        <v>966</v>
      </c>
      <c r="BA146" s="158"/>
      <c r="BB146" s="189"/>
      <c r="BC146" s="189"/>
      <c r="BD146" s="189"/>
      <c r="BE146" s="190"/>
      <c r="BF146" s="187">
        <f>+AU146</f>
        <v>0</v>
      </c>
    </row>
    <row r="147" spans="1:58">
      <c r="B147" s="28" t="s">
        <v>168</v>
      </c>
      <c r="C147" s="29" t="s">
        <v>682</v>
      </c>
      <c r="D147" s="29"/>
      <c r="E147" s="29"/>
      <c r="F147" s="28"/>
      <c r="G147" s="28"/>
      <c r="H147" s="28"/>
      <c r="I147" s="65"/>
      <c r="J147" s="28"/>
      <c r="K147" s="66" t="e">
        <f t="shared" ref="K147:Q147" si="32">SUM(K148:K149)</f>
        <v>#REF!</v>
      </c>
      <c r="L147" s="66" t="e">
        <f t="shared" si="32"/>
        <v>#REF!</v>
      </c>
      <c r="M147" s="66" t="e">
        <f t="shared" si="32"/>
        <v>#REF!</v>
      </c>
      <c r="N147" s="66" t="e">
        <f t="shared" si="32"/>
        <v>#REF!</v>
      </c>
      <c r="O147" s="66" t="e">
        <f t="shared" si="32"/>
        <v>#REF!</v>
      </c>
      <c r="P147" s="66" t="e">
        <f t="shared" si="32"/>
        <v>#REF!</v>
      </c>
      <c r="Q147" s="66" t="e">
        <f t="shared" si="32"/>
        <v>#REF!</v>
      </c>
      <c r="R147" s="66" t="e">
        <f t="shared" ref="R147:R154" si="33">O147+Q147-P147</f>
        <v>#REF!</v>
      </c>
      <c r="S147" s="66"/>
      <c r="T147" s="66"/>
      <c r="U147" s="66" t="e">
        <f>SUM(U148:U149)</f>
        <v>#REF!</v>
      </c>
      <c r="V147" s="66" t="e">
        <f>SUM(V148:V149)</f>
        <v>#REF!</v>
      </c>
      <c r="W147" s="66" t="e">
        <f>SUM(W148:W149)</f>
        <v>#REF!</v>
      </c>
      <c r="X147" s="66" t="e">
        <f>SUM(X148:X149)</f>
        <v>#REF!</v>
      </c>
      <c r="AH147" s="147" t="s">
        <v>168</v>
      </c>
      <c r="AI147" s="148" t="s">
        <v>682</v>
      </c>
      <c r="AJ147" s="160"/>
      <c r="AK147" s="160"/>
      <c r="AL147" s="150"/>
      <c r="AM147" s="150"/>
      <c r="AN147" s="150"/>
      <c r="AO147" s="151"/>
      <c r="AP147" s="146">
        <f t="shared" ref="AP147:AU147" si="34">AP148+AP149</f>
        <v>0</v>
      </c>
      <c r="AQ147" s="146">
        <f t="shared" si="34"/>
        <v>0</v>
      </c>
      <c r="AR147" s="146">
        <f t="shared" si="34"/>
        <v>0</v>
      </c>
      <c r="AS147" s="245"/>
      <c r="AT147" s="245"/>
      <c r="AU147" s="146">
        <f t="shared" si="34"/>
        <v>0</v>
      </c>
      <c r="AX147" s="147" t="s">
        <v>168</v>
      </c>
      <c r="AY147" s="148" t="s">
        <v>682</v>
      </c>
      <c r="AZ147" s="160"/>
      <c r="BA147" s="160"/>
      <c r="BB147" s="189"/>
      <c r="BC147" s="189"/>
      <c r="BD147" s="189"/>
      <c r="BE147" s="190"/>
      <c r="BF147" s="187">
        <f>BF148+BF149</f>
        <v>0</v>
      </c>
    </row>
    <row r="148" spans="1:58">
      <c r="B148" s="31"/>
      <c r="C148" s="30" t="s">
        <v>294</v>
      </c>
      <c r="D148" s="30"/>
      <c r="E148" s="30"/>
      <c r="F148" s="80" t="s">
        <v>804</v>
      </c>
      <c r="G148" s="33">
        <v>310</v>
      </c>
      <c r="H148" s="33"/>
      <c r="I148" s="67">
        <v>1</v>
      </c>
      <c r="J148" s="33"/>
      <c r="K148" s="69" t="e">
        <f>+GETPIVOTDATA("PPEF 2010 ",#REF!,"No. Ramo",15,"IPP","S","PP",89,"UR",310)</f>
        <v>#REF!</v>
      </c>
      <c r="L148" s="69" t="e">
        <f>+GETPIVOTDATA("Ampliación Neta DIP ",#REF!,"No. Ramo",15,"IPP","S","PP",89,"UR",310)</f>
        <v>#REF!</v>
      </c>
      <c r="M148" s="69" t="e">
        <f>+GETPIVOTDATA("Recorte SHCP ",#REF!,"No. Ramo",15,"IPP","S","PP",89,"UR",310)</f>
        <v>#REF!</v>
      </c>
      <c r="N148" s="69" t="e">
        <f>+GETPIVOTDATA("PEF 2010 ",#REF!,"No. Ramo",15,"IPP","S","PP",89,"UR",310)</f>
        <v>#REF!</v>
      </c>
      <c r="O148" s="69" t="e">
        <f>+GETPIVOTDATA("PPEF 2011 ",#REF!,"No. Ramo",15,"IPP","S","PP",89,"UR",310)</f>
        <v>#REF!</v>
      </c>
      <c r="P148" s="69" t="e">
        <f>+GETPIVOTDATA("Reducción ",#REF!,"No. Ramo",15,"IPP","S","PP",89,"UR",310)</f>
        <v>#REF!</v>
      </c>
      <c r="Q148" s="69" t="e">
        <f>+GETPIVOTDATA("Ampliación ",#REF!,"No. Ramo",15,"IPP","S","PP",89,"UR",310)</f>
        <v>#REF!</v>
      </c>
      <c r="R148" s="69" t="e">
        <f t="shared" si="33"/>
        <v>#REF!</v>
      </c>
      <c r="S148" s="69"/>
      <c r="T148" s="69"/>
      <c r="U148" s="69" t="e">
        <f t="shared" ref="U148:X149" si="35">+$I148*O148</f>
        <v>#REF!</v>
      </c>
      <c r="V148" s="69" t="e">
        <f t="shared" si="35"/>
        <v>#REF!</v>
      </c>
      <c r="W148" s="69" t="e">
        <f t="shared" si="35"/>
        <v>#REF!</v>
      </c>
      <c r="X148" s="69" t="e">
        <f t="shared" si="35"/>
        <v>#REF!</v>
      </c>
      <c r="AH148" s="152"/>
      <c r="AI148" s="157" t="s">
        <v>294</v>
      </c>
      <c r="AJ148" s="158"/>
      <c r="AK148" s="158"/>
      <c r="AL148" s="150"/>
      <c r="AM148" s="150"/>
      <c r="AN148" s="150"/>
      <c r="AO148" s="151"/>
      <c r="AP148" s="146"/>
      <c r="AQ148" s="146"/>
      <c r="AR148" s="146"/>
      <c r="AS148" s="245"/>
      <c r="AT148" s="245"/>
      <c r="AU148" s="146"/>
      <c r="AX148" s="152"/>
      <c r="AY148" s="157" t="s">
        <v>294</v>
      </c>
      <c r="AZ148" s="158"/>
      <c r="BA148" s="158"/>
      <c r="BB148" s="189"/>
      <c r="BC148" s="189"/>
      <c r="BD148" s="189"/>
      <c r="BE148" s="190"/>
      <c r="BF148" s="187">
        <f>+AU148</f>
        <v>0</v>
      </c>
    </row>
    <row r="149" spans="1:58">
      <c r="B149" s="31"/>
      <c r="C149" s="30" t="s">
        <v>293</v>
      </c>
      <c r="D149" s="30"/>
      <c r="E149" s="30"/>
      <c r="F149" s="80" t="s">
        <v>805</v>
      </c>
      <c r="G149" s="33">
        <v>310</v>
      </c>
      <c r="H149" s="33"/>
      <c r="I149" s="67">
        <v>1</v>
      </c>
      <c r="J149" s="33"/>
      <c r="K149" s="69" t="e">
        <f>+GETPIVOTDATA("PPEF 2010 ",#REF!,"No. Ramo",15,"IPP","S","PP",88,"UR",310)</f>
        <v>#REF!</v>
      </c>
      <c r="L149" s="69" t="e">
        <f>+GETPIVOTDATA("Ampliación Neta DIP ",#REF!,"No. Ramo",15,"IPP","S","PP",88,"UR",310)</f>
        <v>#REF!</v>
      </c>
      <c r="M149" s="69" t="e">
        <f>+GETPIVOTDATA("Recorte SHCP ",#REF!,"No. Ramo",15,"IPP","S","PP",88,"UR",310)</f>
        <v>#REF!</v>
      </c>
      <c r="N149" s="69" t="e">
        <f>+GETPIVOTDATA("PEF 2010 ",#REF!,"No. Ramo",15,"IPP","S","PP",88,"UR",310)</f>
        <v>#REF!</v>
      </c>
      <c r="O149" s="69" t="e">
        <f>+GETPIVOTDATA("PPEF 2011 ",#REF!,"No. Ramo",15,"IPP","S","PP",88,"UR",310)</f>
        <v>#REF!</v>
      </c>
      <c r="P149" s="69" t="e">
        <f>+GETPIVOTDATA("Reducción ",#REF!,"No. Ramo",15,"IPP","S","PP",88,"UR",310)</f>
        <v>#REF!</v>
      </c>
      <c r="Q149" s="69" t="e">
        <f>+GETPIVOTDATA("Ampliación ",#REF!,"No. Ramo",15,"IPP","S","PP",88,"UR",310)</f>
        <v>#REF!</v>
      </c>
      <c r="R149" s="69" t="e">
        <f t="shared" si="33"/>
        <v>#REF!</v>
      </c>
      <c r="S149" s="69"/>
      <c r="T149" s="69"/>
      <c r="U149" s="69" t="e">
        <f t="shared" si="35"/>
        <v>#REF!</v>
      </c>
      <c r="V149" s="69" t="e">
        <f t="shared" si="35"/>
        <v>#REF!</v>
      </c>
      <c r="W149" s="69" t="e">
        <f t="shared" si="35"/>
        <v>#REF!</v>
      </c>
      <c r="X149" s="69" t="e">
        <f t="shared" si="35"/>
        <v>#REF!</v>
      </c>
      <c r="AH149" s="152"/>
      <c r="AI149" s="157" t="s">
        <v>293</v>
      </c>
      <c r="AJ149" s="158"/>
      <c r="AK149" s="158"/>
      <c r="AL149" s="150"/>
      <c r="AM149" s="150"/>
      <c r="AN149" s="150"/>
      <c r="AO149" s="151"/>
      <c r="AP149" s="146"/>
      <c r="AQ149" s="146"/>
      <c r="AR149" s="146"/>
      <c r="AS149" s="245"/>
      <c r="AT149" s="245"/>
      <c r="AU149" s="146"/>
      <c r="AX149" s="152"/>
      <c r="AY149" s="157" t="s">
        <v>293</v>
      </c>
      <c r="AZ149" s="158"/>
      <c r="BA149" s="158"/>
      <c r="BB149" s="189"/>
      <c r="BC149" s="189"/>
      <c r="BD149" s="189"/>
      <c r="BE149" s="190"/>
      <c r="BF149" s="187">
        <f>+AU149</f>
        <v>0</v>
      </c>
    </row>
    <row r="150" spans="1:58">
      <c r="B150" s="28" t="s">
        <v>168</v>
      </c>
      <c r="C150" s="29" t="s">
        <v>683</v>
      </c>
      <c r="D150" s="29"/>
      <c r="E150" s="29"/>
      <c r="F150" s="28"/>
      <c r="G150" s="28"/>
      <c r="H150" s="28"/>
      <c r="I150" s="65"/>
      <c r="J150" s="28"/>
      <c r="K150" s="66" t="e">
        <f t="shared" ref="K150:Q150" si="36">+K151</f>
        <v>#REF!</v>
      </c>
      <c r="L150" s="66" t="e">
        <f t="shared" si="36"/>
        <v>#REF!</v>
      </c>
      <c r="M150" s="66" t="e">
        <f t="shared" si="36"/>
        <v>#REF!</v>
      </c>
      <c r="N150" s="66" t="e">
        <f t="shared" si="36"/>
        <v>#REF!</v>
      </c>
      <c r="O150" s="66" t="e">
        <f t="shared" si="36"/>
        <v>#REF!</v>
      </c>
      <c r="P150" s="66" t="e">
        <f t="shared" si="36"/>
        <v>#REF!</v>
      </c>
      <c r="Q150" s="66" t="e">
        <f t="shared" si="36"/>
        <v>#REF!</v>
      </c>
      <c r="R150" s="66" t="e">
        <f t="shared" si="33"/>
        <v>#REF!</v>
      </c>
      <c r="S150" s="66"/>
      <c r="T150" s="66"/>
      <c r="U150" s="66" t="e">
        <f>+U151</f>
        <v>#REF!</v>
      </c>
      <c r="V150" s="66" t="e">
        <f>+V151</f>
        <v>#REF!</v>
      </c>
      <c r="W150" s="66" t="e">
        <f>+W151</f>
        <v>#REF!</v>
      </c>
      <c r="X150" s="66" t="e">
        <f>+X151</f>
        <v>#REF!</v>
      </c>
      <c r="AH150" s="147" t="s">
        <v>168</v>
      </c>
      <c r="AI150" s="148" t="s">
        <v>683</v>
      </c>
      <c r="AJ150" s="160"/>
      <c r="AK150" s="160"/>
      <c r="AL150" s="150"/>
      <c r="AM150" s="150"/>
      <c r="AN150" s="150"/>
      <c r="AO150" s="151"/>
      <c r="AP150" s="146">
        <f>AP151</f>
        <v>0</v>
      </c>
      <c r="AQ150" s="146">
        <f>AQ151</f>
        <v>0</v>
      </c>
      <c r="AR150" s="146">
        <f>AR151</f>
        <v>0</v>
      </c>
      <c r="AS150" s="245"/>
      <c r="AT150" s="245"/>
      <c r="AU150" s="146">
        <f>AU151</f>
        <v>0</v>
      </c>
      <c r="AX150" s="147" t="s">
        <v>168</v>
      </c>
      <c r="AY150" s="148" t="s">
        <v>683</v>
      </c>
      <c r="AZ150" s="160"/>
      <c r="BA150" s="160"/>
      <c r="BB150" s="189"/>
      <c r="BC150" s="189"/>
      <c r="BD150" s="189"/>
      <c r="BE150" s="190"/>
      <c r="BF150" s="187">
        <f>BF151</f>
        <v>0</v>
      </c>
    </row>
    <row r="151" spans="1:58">
      <c r="B151" s="31"/>
      <c r="C151" s="30" t="s">
        <v>428</v>
      </c>
      <c r="D151" s="30"/>
      <c r="E151" s="30"/>
      <c r="F151" s="33" t="s">
        <v>806</v>
      </c>
      <c r="G151" s="33">
        <v>211</v>
      </c>
      <c r="H151" s="33"/>
      <c r="I151" s="67">
        <v>1</v>
      </c>
      <c r="J151" s="33"/>
      <c r="K151" s="69" t="e">
        <f>+GETPIVOTDATA("PPEF 2010 ",#REF!,"No. Ramo",21,"IPP","I","PP",3,"UR",211)</f>
        <v>#REF!</v>
      </c>
      <c r="L151" s="69" t="e">
        <f>+GETPIVOTDATA("Ampliación Neta DIP ",#REF!,"No. Ramo",21,"IPP","I","PP",3,"UR",211)</f>
        <v>#REF!</v>
      </c>
      <c r="M151" s="69" t="e">
        <f>+GETPIVOTDATA("Recorte SHCP ",#REF!,"No. Ramo",21,"IPP","I","PP",3,"UR",211)</f>
        <v>#REF!</v>
      </c>
      <c r="N151" s="69" t="e">
        <f>+GETPIVOTDATA("PEF 2010 ",#REF!,"No. Ramo",21,"IPP","I","PP",3,"UR",211)</f>
        <v>#REF!</v>
      </c>
      <c r="O151" s="69" t="e">
        <f>+GETPIVOTDATA("PPEF 2011 ",#REF!,"No. Ramo",21,"IPP","I","PP",3,"UR",211)</f>
        <v>#REF!</v>
      </c>
      <c r="P151" s="69" t="e">
        <f>+GETPIVOTDATA("Reducción ",#REF!,"No. Ramo",21,"IPP","I","PP",3,"UR",211)</f>
        <v>#REF!</v>
      </c>
      <c r="Q151" s="69" t="e">
        <f>+GETPIVOTDATA("Ampliación ",#REF!,"No. Ramo",21,"IPP","I","PP",3,"UR",211)</f>
        <v>#REF!</v>
      </c>
      <c r="R151" s="69" t="e">
        <f t="shared" si="33"/>
        <v>#REF!</v>
      </c>
      <c r="S151" s="69"/>
      <c r="T151" s="69"/>
      <c r="U151" s="69" t="e">
        <f>+$I151*O151</f>
        <v>#REF!</v>
      </c>
      <c r="V151" s="69" t="e">
        <f>+$I151*P151</f>
        <v>#REF!</v>
      </c>
      <c r="W151" s="69" t="e">
        <f>+$I151*Q151</f>
        <v>#REF!</v>
      </c>
      <c r="X151" s="69" t="e">
        <f>+$I151*R151</f>
        <v>#REF!</v>
      </c>
      <c r="AH151" s="152"/>
      <c r="AI151" s="157" t="s">
        <v>428</v>
      </c>
      <c r="AJ151" s="158"/>
      <c r="AK151" s="158"/>
      <c r="AL151" s="150"/>
      <c r="AM151" s="150"/>
      <c r="AN151" s="150"/>
      <c r="AO151" s="151"/>
      <c r="AP151" s="146"/>
      <c r="AQ151" s="146"/>
      <c r="AR151" s="146"/>
      <c r="AS151" s="245"/>
      <c r="AT151" s="245"/>
      <c r="AU151" s="146"/>
      <c r="AX151" s="152"/>
      <c r="AY151" s="157" t="s">
        <v>428</v>
      </c>
      <c r="AZ151" s="158"/>
      <c r="BA151" s="158"/>
      <c r="BB151" s="189"/>
      <c r="BC151" s="189"/>
      <c r="BD151" s="189"/>
      <c r="BE151" s="190"/>
      <c r="BF151" s="187">
        <f>+AU151</f>
        <v>0</v>
      </c>
    </row>
    <row r="152" spans="1:58">
      <c r="B152" s="26"/>
      <c r="C152" s="27" t="s">
        <v>684</v>
      </c>
      <c r="D152" s="27"/>
      <c r="E152" s="27"/>
      <c r="F152" s="61"/>
      <c r="G152" s="61"/>
      <c r="H152" s="61"/>
      <c r="I152" s="62"/>
      <c r="J152" s="61"/>
      <c r="K152" s="63" t="e">
        <f t="shared" ref="K152:Q153" si="37">+K153</f>
        <v>#REF!</v>
      </c>
      <c r="L152" s="63" t="e">
        <f t="shared" si="37"/>
        <v>#REF!</v>
      </c>
      <c r="M152" s="63" t="e">
        <f t="shared" si="37"/>
        <v>#REF!</v>
      </c>
      <c r="N152" s="63" t="e">
        <f t="shared" si="37"/>
        <v>#REF!</v>
      </c>
      <c r="O152" s="63" t="e">
        <f t="shared" si="37"/>
        <v>#REF!</v>
      </c>
      <c r="P152" s="63" t="e">
        <f t="shared" si="37"/>
        <v>#REF!</v>
      </c>
      <c r="Q152" s="63" t="e">
        <f t="shared" si="37"/>
        <v>#REF!</v>
      </c>
      <c r="R152" s="63" t="e">
        <f t="shared" si="33"/>
        <v>#REF!</v>
      </c>
      <c r="S152" s="63"/>
      <c r="T152" s="63"/>
      <c r="U152" s="63" t="e">
        <f t="shared" ref="U152:X153" si="38">+U153</f>
        <v>#REF!</v>
      </c>
      <c r="V152" s="63" t="e">
        <f t="shared" si="38"/>
        <v>#REF!</v>
      </c>
      <c r="W152" s="63" t="e">
        <f t="shared" si="38"/>
        <v>#REF!</v>
      </c>
      <c r="X152" s="63" t="e">
        <f t="shared" si="38"/>
        <v>#REF!</v>
      </c>
      <c r="AH152" s="147"/>
      <c r="AI152" s="148" t="s">
        <v>684</v>
      </c>
      <c r="AJ152" s="160"/>
      <c r="AK152" s="160"/>
      <c r="AL152" s="149"/>
      <c r="AM152" s="150"/>
      <c r="AN152" s="150"/>
      <c r="AO152" s="151"/>
      <c r="AP152" s="146">
        <f t="shared" ref="AP152:AU153" si="39">AP153</f>
        <v>0</v>
      </c>
      <c r="AQ152" s="146">
        <f t="shared" si="39"/>
        <v>0</v>
      </c>
      <c r="AR152" s="146">
        <f t="shared" si="39"/>
        <v>0</v>
      </c>
      <c r="AS152" s="245"/>
      <c r="AT152" s="245"/>
      <c r="AU152" s="146">
        <f t="shared" si="39"/>
        <v>0</v>
      </c>
      <c r="AX152" s="147"/>
      <c r="AY152" s="148" t="s">
        <v>684</v>
      </c>
      <c r="AZ152" s="160"/>
      <c r="BA152" s="160"/>
      <c r="BB152" s="149"/>
      <c r="BC152" s="189"/>
      <c r="BD152" s="189"/>
      <c r="BE152" s="190"/>
      <c r="BF152" s="187">
        <f>BF153</f>
        <v>0</v>
      </c>
    </row>
    <row r="153" spans="1:58">
      <c r="A153" s="122">
        <v>1</v>
      </c>
      <c r="B153" s="28" t="s">
        <v>168</v>
      </c>
      <c r="C153" s="29" t="s">
        <v>660</v>
      </c>
      <c r="D153" s="29"/>
      <c r="E153" s="29"/>
      <c r="F153" s="28"/>
      <c r="G153" s="28"/>
      <c r="H153" s="28"/>
      <c r="I153" s="65"/>
      <c r="J153" s="28"/>
      <c r="K153" s="66" t="e">
        <f t="shared" si="37"/>
        <v>#REF!</v>
      </c>
      <c r="L153" s="66" t="e">
        <f t="shared" si="37"/>
        <v>#REF!</v>
      </c>
      <c r="M153" s="66" t="e">
        <f t="shared" si="37"/>
        <v>#REF!</v>
      </c>
      <c r="N153" s="66" t="e">
        <f t="shared" si="37"/>
        <v>#REF!</v>
      </c>
      <c r="O153" s="66" t="e">
        <f t="shared" si="37"/>
        <v>#REF!</v>
      </c>
      <c r="P153" s="66" t="e">
        <f t="shared" si="37"/>
        <v>#REF!</v>
      </c>
      <c r="Q153" s="66" t="e">
        <f t="shared" si="37"/>
        <v>#REF!</v>
      </c>
      <c r="R153" s="66" t="e">
        <f t="shared" si="33"/>
        <v>#REF!</v>
      </c>
      <c r="S153" s="66"/>
      <c r="T153" s="66"/>
      <c r="U153" s="66" t="e">
        <f t="shared" si="38"/>
        <v>#REF!</v>
      </c>
      <c r="V153" s="66" t="e">
        <f t="shared" si="38"/>
        <v>#REF!</v>
      </c>
      <c r="W153" s="66" t="e">
        <f t="shared" si="38"/>
        <v>#REF!</v>
      </c>
      <c r="X153" s="66" t="e">
        <f t="shared" si="38"/>
        <v>#REF!</v>
      </c>
      <c r="AH153" s="147" t="s">
        <v>168</v>
      </c>
      <c r="AI153" s="148" t="s">
        <v>660</v>
      </c>
      <c r="AJ153" s="160"/>
      <c r="AK153" s="160"/>
      <c r="AL153" s="149"/>
      <c r="AM153" s="150"/>
      <c r="AN153" s="150"/>
      <c r="AO153" s="151"/>
      <c r="AP153" s="146">
        <f>AP154</f>
        <v>0</v>
      </c>
      <c r="AQ153" s="146">
        <f t="shared" si="39"/>
        <v>0</v>
      </c>
      <c r="AR153" s="146">
        <f t="shared" si="39"/>
        <v>0</v>
      </c>
      <c r="AS153" s="245"/>
      <c r="AT153" s="245"/>
      <c r="AU153" s="146">
        <f t="shared" si="39"/>
        <v>0</v>
      </c>
      <c r="AX153" s="147" t="s">
        <v>168</v>
      </c>
      <c r="AY153" s="148" t="s">
        <v>660</v>
      </c>
      <c r="AZ153" s="160"/>
      <c r="BA153" s="160"/>
      <c r="BB153" s="149"/>
      <c r="BC153" s="189"/>
      <c r="BD153" s="189"/>
      <c r="BE153" s="190"/>
      <c r="BF153" s="187">
        <f>BF154</f>
        <v>0</v>
      </c>
    </row>
    <row r="154" spans="1:58">
      <c r="A154" s="122">
        <v>1</v>
      </c>
      <c r="B154" s="31"/>
      <c r="C154" s="30" t="s">
        <v>685</v>
      </c>
      <c r="D154" s="30"/>
      <c r="E154" s="30"/>
      <c r="F154" s="33" t="s">
        <v>807</v>
      </c>
      <c r="G154" s="33" t="s">
        <v>18</v>
      </c>
      <c r="H154" s="33"/>
      <c r="I154" s="67">
        <v>1</v>
      </c>
      <c r="J154" s="33"/>
      <c r="K154" s="69" t="e">
        <f>+GETPIVOTDATA("PPEF 2010 ",#REF!,"No. Ramo",8,"IPP","S","PP",231,"UR","F00")</f>
        <v>#REF!</v>
      </c>
      <c r="L154" s="69" t="e">
        <f>+GETPIVOTDATA("Ampliación Neta DIP ",#REF!,"No. Ramo",8,"IPP","S","PP",231,"UR","F00")</f>
        <v>#REF!</v>
      </c>
      <c r="M154" s="69" t="e">
        <f>+GETPIVOTDATA("Recorte SHCP ",#REF!,"No. Ramo",8,"IPP","S","PP",231,"UR","F00")</f>
        <v>#REF!</v>
      </c>
      <c r="N154" s="69" t="e">
        <f>+GETPIVOTDATA("PEF 2010 ",#REF!,"No. Ramo",8,"IPP","S","PP",231,"UR","F00")</f>
        <v>#REF!</v>
      </c>
      <c r="O154" s="69" t="e">
        <f>+GETPIVOTDATA("PPEF 2011 ",#REF!,"No. Ramo",8,"IPP","S","PP",231,"UR","F00")</f>
        <v>#REF!</v>
      </c>
      <c r="P154" s="69" t="e">
        <f>+GETPIVOTDATA("Reducción ",#REF!,"No. Ramo",8,"IPP","S","PP",231,"UR","F00")</f>
        <v>#REF!</v>
      </c>
      <c r="Q154" s="69" t="e">
        <f>+GETPIVOTDATA("Ampliación ",#REF!,"No. Ramo",8,"IPP","S","PP",231,"UR","F00")</f>
        <v>#REF!</v>
      </c>
      <c r="R154" s="69" t="e">
        <f t="shared" si="33"/>
        <v>#REF!</v>
      </c>
      <c r="S154" s="69"/>
      <c r="T154" s="69"/>
      <c r="U154" s="69" t="e">
        <f>+$I154*O154</f>
        <v>#REF!</v>
      </c>
      <c r="V154" s="69" t="e">
        <f>+$I154*P154</f>
        <v>#REF!</v>
      </c>
      <c r="W154" s="69" t="e">
        <f>+$I154*Q154</f>
        <v>#REF!</v>
      </c>
      <c r="X154" s="69" t="e">
        <f>+$I154*R154</f>
        <v>#REF!</v>
      </c>
      <c r="AH154" s="152"/>
      <c r="AI154" s="157" t="s">
        <v>685</v>
      </c>
      <c r="AJ154" s="158"/>
      <c r="AK154" s="158"/>
      <c r="AL154" s="150"/>
      <c r="AM154" s="150"/>
      <c r="AN154" s="150"/>
      <c r="AO154" s="151"/>
      <c r="AP154" s="146"/>
      <c r="AQ154" s="146"/>
      <c r="AR154" s="146"/>
      <c r="AS154" s="245"/>
      <c r="AT154" s="245"/>
      <c r="AU154" s="146"/>
      <c r="AX154" s="152"/>
      <c r="AY154" s="157" t="s">
        <v>685</v>
      </c>
      <c r="AZ154" s="158"/>
      <c r="BA154" s="158"/>
      <c r="BB154" s="189"/>
      <c r="BC154" s="189"/>
      <c r="BD154" s="189"/>
      <c r="BE154" s="190"/>
      <c r="BF154" s="187">
        <f>+AU154</f>
        <v>0</v>
      </c>
    </row>
    <row r="155" spans="1:58">
      <c r="A155" s="122">
        <v>1</v>
      </c>
      <c r="B155" s="26"/>
      <c r="C155" s="27" t="s">
        <v>686</v>
      </c>
      <c r="D155" s="27"/>
      <c r="E155" s="27"/>
      <c r="F155" s="61"/>
      <c r="G155" s="61"/>
      <c r="H155" s="61"/>
      <c r="I155" s="62"/>
      <c r="J155" s="61"/>
      <c r="K155" s="63" t="e">
        <f>+K156+K185+K187</f>
        <v>#REF!</v>
      </c>
      <c r="L155" s="63" t="e">
        <f t="shared" ref="L155:R155" si="40">+L156+L185+L187</f>
        <v>#REF!</v>
      </c>
      <c r="M155" s="63" t="e">
        <f t="shared" si="40"/>
        <v>#REF!</v>
      </c>
      <c r="N155" s="63" t="e">
        <f t="shared" si="40"/>
        <v>#REF!</v>
      </c>
      <c r="O155" s="63" t="e">
        <f t="shared" si="40"/>
        <v>#REF!</v>
      </c>
      <c r="P155" s="63" t="e">
        <f t="shared" si="40"/>
        <v>#REF!</v>
      </c>
      <c r="Q155" s="63" t="e">
        <f t="shared" si="40"/>
        <v>#REF!</v>
      </c>
      <c r="R155" s="63" t="e">
        <f t="shared" si="40"/>
        <v>#REF!</v>
      </c>
      <c r="S155" s="63"/>
      <c r="T155" s="63"/>
      <c r="U155" s="63" t="e">
        <f>+U156+U185+U187</f>
        <v>#REF!</v>
      </c>
      <c r="V155" s="63" t="e">
        <f>+V156+V185+V187</f>
        <v>#REF!</v>
      </c>
      <c r="W155" s="63" t="e">
        <f>+W156+W185+W187</f>
        <v>#REF!</v>
      </c>
      <c r="X155" s="63" t="e">
        <f>+X156+X185+X187</f>
        <v>#REF!</v>
      </c>
      <c r="AH155" s="147"/>
      <c r="AI155" s="148" t="s">
        <v>1365</v>
      </c>
      <c r="AJ155" s="160"/>
      <c r="AK155" s="160"/>
      <c r="AL155" s="149"/>
      <c r="AM155" s="150"/>
      <c r="AN155" s="150"/>
      <c r="AO155" s="151"/>
      <c r="AP155" s="146">
        <f t="shared" ref="AP155:AU155" si="41">AP156+AP185+AP187</f>
        <v>0</v>
      </c>
      <c r="AQ155" s="146">
        <f t="shared" si="41"/>
        <v>0</v>
      </c>
      <c r="AR155" s="146">
        <f t="shared" si="41"/>
        <v>0</v>
      </c>
      <c r="AS155" s="245"/>
      <c r="AT155" s="245"/>
      <c r="AU155" s="146">
        <f t="shared" si="41"/>
        <v>0</v>
      </c>
      <c r="AX155" s="147"/>
      <c r="AY155" s="148" t="s">
        <v>1365</v>
      </c>
      <c r="AZ155" s="160"/>
      <c r="BA155" s="160"/>
      <c r="BB155" s="149"/>
      <c r="BC155" s="189"/>
      <c r="BD155" s="189"/>
      <c r="BE155" s="190"/>
      <c r="BF155" s="187">
        <f>BF156+BF185+BF187</f>
        <v>0</v>
      </c>
    </row>
    <row r="156" spans="1:58">
      <c r="A156" s="122">
        <v>1</v>
      </c>
      <c r="B156" s="28" t="s">
        <v>168</v>
      </c>
      <c r="C156" s="29" t="s">
        <v>660</v>
      </c>
      <c r="D156" s="29"/>
      <c r="E156" s="29"/>
      <c r="F156" s="28"/>
      <c r="G156" s="28"/>
      <c r="H156" s="28"/>
      <c r="I156" s="65"/>
      <c r="J156" s="28"/>
      <c r="K156" s="66" t="e">
        <f>+K158+K160+K167+K169+K184</f>
        <v>#REF!</v>
      </c>
      <c r="L156" s="66" t="e">
        <f t="shared" ref="L156:R156" si="42">+L158+L160+L167+L169+L184</f>
        <v>#REF!</v>
      </c>
      <c r="M156" s="66" t="e">
        <f t="shared" si="42"/>
        <v>#REF!</v>
      </c>
      <c r="N156" s="66" t="e">
        <f t="shared" si="42"/>
        <v>#REF!</v>
      </c>
      <c r="O156" s="66" t="e">
        <f t="shared" si="42"/>
        <v>#REF!</v>
      </c>
      <c r="P156" s="66" t="e">
        <f t="shared" si="42"/>
        <v>#REF!</v>
      </c>
      <c r="Q156" s="66" t="e">
        <f t="shared" si="42"/>
        <v>#REF!</v>
      </c>
      <c r="R156" s="66" t="e">
        <f t="shared" si="42"/>
        <v>#REF!</v>
      </c>
      <c r="S156" s="66"/>
      <c r="T156" s="66"/>
      <c r="U156" s="66" t="e">
        <f>+U158+U160+U167+U169+U184</f>
        <v>#REF!</v>
      </c>
      <c r="V156" s="66" t="e">
        <f>+V158+V160+V167+V169+V184</f>
        <v>#REF!</v>
      </c>
      <c r="W156" s="66" t="e">
        <f>+W158+W160+W167+W169+W184</f>
        <v>#REF!</v>
      </c>
      <c r="X156" s="66" t="e">
        <f>+X158+X160+X167+X169+X184</f>
        <v>#REF!</v>
      </c>
      <c r="AH156" s="147" t="s">
        <v>168</v>
      </c>
      <c r="AI156" s="148" t="s">
        <v>660</v>
      </c>
      <c r="AJ156" s="160"/>
      <c r="AK156" s="160"/>
      <c r="AL156" s="149"/>
      <c r="AM156" s="150"/>
      <c r="AN156" s="150"/>
      <c r="AO156" s="151"/>
      <c r="AP156" s="146">
        <f>AP157+AP159+AP168+AP184</f>
        <v>0</v>
      </c>
      <c r="AQ156" s="146">
        <f>AQ157+AQ159+AQ168+AQ184</f>
        <v>0</v>
      </c>
      <c r="AR156" s="146">
        <f>AR157+AR159+AR168+AR184</f>
        <v>0</v>
      </c>
      <c r="AS156" s="245"/>
      <c r="AT156" s="245"/>
      <c r="AU156" s="146">
        <f>AU157+AU159+AU168+AU184</f>
        <v>0</v>
      </c>
      <c r="AX156" s="147" t="s">
        <v>168</v>
      </c>
      <c r="AY156" s="148" t="s">
        <v>660</v>
      </c>
      <c r="AZ156" s="160"/>
      <c r="BA156" s="160"/>
      <c r="BB156" s="149"/>
      <c r="BC156" s="189"/>
      <c r="BD156" s="189"/>
      <c r="BE156" s="190"/>
      <c r="BF156" s="187">
        <f>BF157+BF159+BF168+BF184</f>
        <v>0</v>
      </c>
    </row>
    <row r="157" spans="1:58">
      <c r="A157" s="122">
        <v>1</v>
      </c>
      <c r="B157" s="28"/>
      <c r="C157" s="30" t="s">
        <v>947</v>
      </c>
      <c r="D157" s="29"/>
      <c r="E157" s="29"/>
      <c r="F157" s="28"/>
      <c r="G157" s="28"/>
      <c r="H157" s="28"/>
      <c r="I157" s="65"/>
      <c r="J157" s="28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AH157" s="147"/>
      <c r="AI157" s="157" t="s">
        <v>947</v>
      </c>
      <c r="AJ157" s="160"/>
      <c r="AK157" s="160"/>
      <c r="AL157" s="149"/>
      <c r="AM157" s="150"/>
      <c r="AN157" s="150"/>
      <c r="AO157" s="151"/>
      <c r="AP157" s="146">
        <f>AP158</f>
        <v>0</v>
      </c>
      <c r="AQ157" s="146">
        <f>AQ158</f>
        <v>0</v>
      </c>
      <c r="AR157" s="146">
        <f>AR158</f>
        <v>0</v>
      </c>
      <c r="AS157" s="245"/>
      <c r="AT157" s="245"/>
      <c r="AU157" s="146">
        <f>AU158</f>
        <v>0</v>
      </c>
      <c r="AX157" s="147"/>
      <c r="AY157" s="157" t="s">
        <v>947</v>
      </c>
      <c r="AZ157" s="160"/>
      <c r="BA157" s="160"/>
      <c r="BB157" s="149"/>
      <c r="BC157" s="189"/>
      <c r="BD157" s="189"/>
      <c r="BE157" s="190"/>
      <c r="BF157" s="187">
        <f>BF158</f>
        <v>0</v>
      </c>
    </row>
    <row r="158" spans="1:58">
      <c r="A158" s="122">
        <v>1</v>
      </c>
      <c r="B158" s="31"/>
      <c r="C158" s="100" t="s">
        <v>689</v>
      </c>
      <c r="D158" s="30"/>
      <c r="E158" s="30"/>
      <c r="F158" s="33" t="s">
        <v>808</v>
      </c>
      <c r="G158" s="33">
        <v>412</v>
      </c>
      <c r="H158" s="33"/>
      <c r="I158" s="67">
        <v>1</v>
      </c>
      <c r="J158" s="33"/>
      <c r="K158" s="69" t="e">
        <f>+GETPIVOTDATA("PPEF 2010 ",#REF!,"No. Ramo",8,"IPP","S","PP",232,"UR",412)</f>
        <v>#REF!</v>
      </c>
      <c r="L158" s="69" t="e">
        <f>+GETPIVOTDATA("Ampliación Neta DIP ",#REF!,"No. Ramo",8,"IPP","S","PP",232,"UR",412)</f>
        <v>#REF!</v>
      </c>
      <c r="M158" s="69" t="e">
        <f>+GETPIVOTDATA("Recorte SHCP ",#REF!,"No. Ramo",8,"IPP","S","PP",232,"UR",412)</f>
        <v>#REF!</v>
      </c>
      <c r="N158" s="69" t="e">
        <f>+GETPIVOTDATA("PEF 2010 ",#REF!,"No. Ramo",8,"IPP","S","PP",232,"UR",412)</f>
        <v>#REF!</v>
      </c>
      <c r="O158" s="69" t="e">
        <f>+GETPIVOTDATA("PPEF 2011 ",#REF!,"No. Ramo",8,"IPP","S","PP",232,"UR",412)</f>
        <v>#REF!</v>
      </c>
      <c r="P158" s="69" t="e">
        <f>+GETPIVOTDATA("Reducción ",#REF!,"No. Ramo",8,"IPP","S","PP",232,"UR",412)</f>
        <v>#REF!</v>
      </c>
      <c r="Q158" s="69" t="e">
        <f>+GETPIVOTDATA("Ampliación ",#REF!,"No. Ramo",8,"IPP","S","PP",232,"UR",412)</f>
        <v>#REF!</v>
      </c>
      <c r="R158" s="69" t="e">
        <f>O158+Q158-P158</f>
        <v>#REF!</v>
      </c>
      <c r="S158" s="69"/>
      <c r="T158" s="69"/>
      <c r="U158" s="69" t="e">
        <f>+$I158*O158</f>
        <v>#REF!</v>
      </c>
      <c r="V158" s="69" t="e">
        <f>+$I158*P158</f>
        <v>#REF!</v>
      </c>
      <c r="W158" s="69" t="e">
        <f>+$I158*Q158</f>
        <v>#REF!</v>
      </c>
      <c r="X158" s="69" t="e">
        <f>+$I158*R158</f>
        <v>#REF!</v>
      </c>
      <c r="AH158" s="152"/>
      <c r="AI158" s="156"/>
      <c r="AJ158" s="154" t="s">
        <v>689</v>
      </c>
      <c r="AK158" s="158"/>
      <c r="AL158" s="150"/>
      <c r="AM158" s="150"/>
      <c r="AN158" s="150"/>
      <c r="AO158" s="151"/>
      <c r="AP158" s="146"/>
      <c r="AQ158" s="146"/>
      <c r="AR158" s="146"/>
      <c r="AS158" s="245"/>
      <c r="AT158" s="245"/>
      <c r="AU158" s="146"/>
      <c r="AX158" s="152"/>
      <c r="AY158" s="191"/>
      <c r="AZ158" s="154" t="s">
        <v>689</v>
      </c>
      <c r="BA158" s="158"/>
      <c r="BB158" s="189"/>
      <c r="BC158" s="189"/>
      <c r="BD158" s="189"/>
      <c r="BE158" s="190"/>
      <c r="BF158" s="187">
        <f>+AU158</f>
        <v>0</v>
      </c>
    </row>
    <row r="159" spans="1:58">
      <c r="A159" s="122">
        <v>1</v>
      </c>
      <c r="B159" s="28"/>
      <c r="C159" s="30" t="s">
        <v>948</v>
      </c>
      <c r="D159" s="29"/>
      <c r="E159" s="29"/>
      <c r="F159" s="28"/>
      <c r="G159" s="28"/>
      <c r="H159" s="28"/>
      <c r="I159" s="65"/>
      <c r="J159" s="28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AH159" s="147"/>
      <c r="AI159" s="157" t="s">
        <v>948</v>
      </c>
      <c r="AJ159" s="160"/>
      <c r="AK159" s="160"/>
      <c r="AL159" s="149"/>
      <c r="AM159" s="150"/>
      <c r="AN159" s="150"/>
      <c r="AO159" s="151"/>
      <c r="AP159" s="146">
        <f>AP160+AP165+AP166+AP167</f>
        <v>0</v>
      </c>
      <c r="AQ159" s="146">
        <f>AQ160+AQ165+AQ166+AQ167</f>
        <v>0</v>
      </c>
      <c r="AR159" s="146">
        <f>AR160+AR165+AR166+AR167</f>
        <v>0</v>
      </c>
      <c r="AS159" s="245"/>
      <c r="AT159" s="245"/>
      <c r="AU159" s="146">
        <f>AU160+AU165+AU166+AU167</f>
        <v>0</v>
      </c>
      <c r="AX159" s="147"/>
      <c r="AY159" s="157" t="s">
        <v>948</v>
      </c>
      <c r="AZ159" s="160"/>
      <c r="BA159" s="160"/>
      <c r="BB159" s="149"/>
      <c r="BC159" s="189"/>
      <c r="BD159" s="189"/>
      <c r="BE159" s="190"/>
      <c r="BF159" s="187">
        <f>BF160+BF165+BF166+BF167</f>
        <v>0</v>
      </c>
    </row>
    <row r="160" spans="1:58">
      <c r="A160" s="122">
        <v>1</v>
      </c>
      <c r="B160" s="31"/>
      <c r="C160" s="100" t="s">
        <v>687</v>
      </c>
      <c r="D160" s="30"/>
      <c r="E160" s="30"/>
      <c r="F160" s="33" t="s">
        <v>808</v>
      </c>
      <c r="G160" s="33">
        <v>211</v>
      </c>
      <c r="H160" s="33"/>
      <c r="I160" s="67">
        <v>1</v>
      </c>
      <c r="J160" s="33"/>
      <c r="K160" s="69" t="e">
        <f>+GETPIVOTDATA("PPEF 2010 ",#REF!,"No. Ramo",8,"IPP","S","PP",232,"UR",211)</f>
        <v>#REF!</v>
      </c>
      <c r="L160" s="69" t="e">
        <f>+GETPIVOTDATA("Ampliación Neta DIP ",#REF!,"No. Ramo",8,"IPP","S","PP",232,"UR",211)</f>
        <v>#REF!</v>
      </c>
      <c r="M160" s="69" t="e">
        <f>+GETPIVOTDATA("Recorte SHCP ",#REF!,"No. Ramo",8,"IPP","S","PP",232,"UR",211)</f>
        <v>#REF!</v>
      </c>
      <c r="N160" s="69" t="e">
        <f>+GETPIVOTDATA("PEF 2010 ",#REF!,"No. Ramo",8,"IPP","S","PP",232,"UR",211)</f>
        <v>#REF!</v>
      </c>
      <c r="O160" s="69" t="e">
        <f>+GETPIVOTDATA("PPEF 2011 ",#REF!,"No. Ramo",8,"IPP","S","PP",232,"UR",211)</f>
        <v>#REF!</v>
      </c>
      <c r="P160" s="69" t="e">
        <f>+GETPIVOTDATA("Reducción ",#REF!,"No. Ramo",8,"IPP","S","PP",232,"UR",211)</f>
        <v>#REF!</v>
      </c>
      <c r="Q160" s="69" t="e">
        <f>+GETPIVOTDATA("Ampliación ",#REF!,"No. Ramo",8,"IPP","S","PP",232,"UR",211)</f>
        <v>#REF!</v>
      </c>
      <c r="R160" s="69" t="e">
        <f>O160+Q160-P160</f>
        <v>#REF!</v>
      </c>
      <c r="S160" s="69"/>
      <c r="T160" s="69"/>
      <c r="U160" s="69" t="e">
        <f>+$I160*O160</f>
        <v>#REF!</v>
      </c>
      <c r="V160" s="69" t="e">
        <f>+$I160*P160</f>
        <v>#REF!</v>
      </c>
      <c r="W160" s="69" t="e">
        <f>+$I160*Q160</f>
        <v>#REF!</v>
      </c>
      <c r="X160" s="69" t="e">
        <f>+$I160*R160</f>
        <v>#REF!</v>
      </c>
      <c r="AH160" s="152"/>
      <c r="AI160" s="156"/>
      <c r="AJ160" s="154" t="s">
        <v>687</v>
      </c>
      <c r="AK160" s="158"/>
      <c r="AL160" s="150"/>
      <c r="AM160" s="150"/>
      <c r="AN160" s="150"/>
      <c r="AO160" s="151"/>
      <c r="AP160" s="146">
        <f>SUM(AP161:AP164)</f>
        <v>0</v>
      </c>
      <c r="AQ160" s="146">
        <f>SUM(AQ161:AQ164)</f>
        <v>0</v>
      </c>
      <c r="AR160" s="146">
        <f>SUM(AR161:AR164)</f>
        <v>0</v>
      </c>
      <c r="AS160" s="245"/>
      <c r="AT160" s="245"/>
      <c r="AU160" s="146">
        <f>SUM(AU161:AU164)</f>
        <v>0</v>
      </c>
      <c r="AX160" s="152"/>
      <c r="AY160" s="191"/>
      <c r="AZ160" s="154" t="s">
        <v>687</v>
      </c>
      <c r="BA160" s="158"/>
      <c r="BB160" s="189"/>
      <c r="BC160" s="189"/>
      <c r="BD160" s="189"/>
      <c r="BE160" s="190"/>
      <c r="BF160" s="187">
        <f>SUM(BF161:BF164)</f>
        <v>0</v>
      </c>
    </row>
    <row r="161" spans="1:58">
      <c r="A161" s="122">
        <v>1</v>
      </c>
      <c r="B161" s="31"/>
      <c r="C161" s="101" t="s">
        <v>967</v>
      </c>
      <c r="D161" s="30"/>
      <c r="E161" s="30"/>
      <c r="F161" s="33"/>
      <c r="G161" s="33"/>
      <c r="H161" s="33"/>
      <c r="I161" s="67"/>
      <c r="J161" s="33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AH161" s="152"/>
      <c r="AI161" s="156"/>
      <c r="AJ161" s="150"/>
      <c r="AK161" s="154" t="s">
        <v>941</v>
      </c>
      <c r="AL161" s="155"/>
      <c r="AM161" s="150"/>
      <c r="AN161" s="150"/>
      <c r="AO161" s="151"/>
      <c r="AP161" s="146"/>
      <c r="AQ161" s="146"/>
      <c r="AR161" s="146"/>
      <c r="AS161" s="245"/>
      <c r="AT161" s="245"/>
      <c r="AU161" s="146"/>
      <c r="AX161" s="152"/>
      <c r="AY161" s="191"/>
      <c r="AZ161" s="189"/>
      <c r="BA161" s="154" t="s">
        <v>941</v>
      </c>
      <c r="BB161" s="155"/>
      <c r="BC161" s="189"/>
      <c r="BD161" s="189"/>
      <c r="BE161" s="190"/>
      <c r="BF161" s="187">
        <f t="shared" ref="BF161:BF167" si="43">+AU161</f>
        <v>0</v>
      </c>
    </row>
    <row r="162" spans="1:58">
      <c r="A162" s="122">
        <v>1</v>
      </c>
      <c r="B162" s="31"/>
      <c r="C162" s="101" t="s">
        <v>968</v>
      </c>
      <c r="D162" s="30"/>
      <c r="E162" s="30"/>
      <c r="F162" s="33"/>
      <c r="G162" s="33"/>
      <c r="H162" s="33"/>
      <c r="I162" s="67"/>
      <c r="J162" s="33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AH162" s="152"/>
      <c r="AI162" s="156"/>
      <c r="AJ162" s="150"/>
      <c r="AK162" s="154" t="s">
        <v>914</v>
      </c>
      <c r="AL162" s="155"/>
      <c r="AM162" s="150"/>
      <c r="AN162" s="150"/>
      <c r="AO162" s="151"/>
      <c r="AP162" s="146"/>
      <c r="AQ162" s="146"/>
      <c r="AR162" s="146"/>
      <c r="AS162" s="245"/>
      <c r="AT162" s="245"/>
      <c r="AU162" s="146"/>
      <c r="AX162" s="152"/>
      <c r="AY162" s="191"/>
      <c r="AZ162" s="189"/>
      <c r="BA162" s="154" t="s">
        <v>914</v>
      </c>
      <c r="BB162" s="155"/>
      <c r="BC162" s="189"/>
      <c r="BD162" s="189"/>
      <c r="BE162" s="190"/>
      <c r="BF162" s="187">
        <f t="shared" si="43"/>
        <v>0</v>
      </c>
    </row>
    <row r="163" spans="1:58">
      <c r="A163" s="122">
        <v>1</v>
      </c>
      <c r="B163" s="31"/>
      <c r="C163" s="101" t="s">
        <v>969</v>
      </c>
      <c r="D163" s="30"/>
      <c r="E163" s="30"/>
      <c r="F163" s="33"/>
      <c r="G163" s="33"/>
      <c r="H163" s="33"/>
      <c r="I163" s="67"/>
      <c r="J163" s="33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AH163" s="152"/>
      <c r="AI163" s="156"/>
      <c r="AJ163" s="150"/>
      <c r="AK163" s="154" t="s">
        <v>1359</v>
      </c>
      <c r="AL163" s="155"/>
      <c r="AM163" s="150"/>
      <c r="AN163" s="150"/>
      <c r="AO163" s="151"/>
      <c r="AP163" s="146"/>
      <c r="AQ163" s="146"/>
      <c r="AR163" s="146"/>
      <c r="AS163" s="245"/>
      <c r="AT163" s="245"/>
      <c r="AU163" s="146"/>
      <c r="AX163" s="152"/>
      <c r="AY163" s="191"/>
      <c r="AZ163" s="189"/>
      <c r="BA163" s="154" t="s">
        <v>1359</v>
      </c>
      <c r="BB163" s="155"/>
      <c r="BC163" s="189"/>
      <c r="BD163" s="189"/>
      <c r="BE163" s="190"/>
      <c r="BF163" s="187">
        <f t="shared" si="43"/>
        <v>0</v>
      </c>
    </row>
    <row r="164" spans="1:58">
      <c r="A164" s="122">
        <v>1</v>
      </c>
      <c r="B164" s="31"/>
      <c r="C164" s="101" t="s">
        <v>970</v>
      </c>
      <c r="D164" s="30"/>
      <c r="E164" s="30"/>
      <c r="F164" s="33"/>
      <c r="G164" s="33"/>
      <c r="H164" s="33"/>
      <c r="I164" s="67"/>
      <c r="J164" s="33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AH164" s="152"/>
      <c r="AI164" s="156"/>
      <c r="AJ164" s="150"/>
      <c r="AK164" s="154" t="s">
        <v>1360</v>
      </c>
      <c r="AL164" s="155"/>
      <c r="AM164" s="150"/>
      <c r="AN164" s="150"/>
      <c r="AO164" s="151"/>
      <c r="AP164" s="146"/>
      <c r="AQ164" s="146"/>
      <c r="AR164" s="146"/>
      <c r="AS164" s="245"/>
      <c r="AT164" s="245"/>
      <c r="AU164" s="146"/>
      <c r="AX164" s="152"/>
      <c r="AY164" s="191"/>
      <c r="AZ164" s="189"/>
      <c r="BA164" s="154" t="s">
        <v>1360</v>
      </c>
      <c r="BB164" s="155"/>
      <c r="BC164" s="189"/>
      <c r="BD164" s="189"/>
      <c r="BE164" s="190"/>
      <c r="BF164" s="187">
        <f t="shared" si="43"/>
        <v>0</v>
      </c>
    </row>
    <row r="165" spans="1:58">
      <c r="A165" s="122">
        <v>1</v>
      </c>
      <c r="B165" s="28"/>
      <c r="C165" s="100" t="s">
        <v>955</v>
      </c>
      <c r="D165" s="29"/>
      <c r="E165" s="29"/>
      <c r="F165" s="28"/>
      <c r="G165" s="28"/>
      <c r="H165" s="28"/>
      <c r="I165" s="65"/>
      <c r="J165" s="28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AH165" s="147"/>
      <c r="AI165" s="156"/>
      <c r="AJ165" s="392" t="s">
        <v>955</v>
      </c>
      <c r="AK165" s="403"/>
      <c r="AL165" s="403"/>
      <c r="AM165" s="403"/>
      <c r="AN165" s="403"/>
      <c r="AO165" s="404"/>
      <c r="AP165" s="146"/>
      <c r="AQ165" s="146"/>
      <c r="AR165" s="146"/>
      <c r="AS165" s="245"/>
      <c r="AT165" s="245"/>
      <c r="AU165" s="146"/>
      <c r="AX165" s="147"/>
      <c r="AY165" s="191"/>
      <c r="AZ165" s="392" t="s">
        <v>955</v>
      </c>
      <c r="BA165" s="399"/>
      <c r="BB165" s="399"/>
      <c r="BC165" s="399"/>
      <c r="BD165" s="399"/>
      <c r="BE165" s="400"/>
      <c r="BF165" s="187">
        <f t="shared" si="43"/>
        <v>0</v>
      </c>
    </row>
    <row r="166" spans="1:58">
      <c r="A166" s="122">
        <v>1</v>
      </c>
      <c r="B166" s="28"/>
      <c r="C166" s="100" t="s">
        <v>956</v>
      </c>
      <c r="D166" s="29"/>
      <c r="E166" s="29"/>
      <c r="F166" s="28"/>
      <c r="G166" s="28"/>
      <c r="H166" s="28"/>
      <c r="I166" s="65"/>
      <c r="J166" s="28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AH166" s="147"/>
      <c r="AI166" s="156"/>
      <c r="AJ166" s="154" t="s">
        <v>956</v>
      </c>
      <c r="AK166" s="160"/>
      <c r="AL166" s="149"/>
      <c r="AM166" s="150"/>
      <c r="AN166" s="150"/>
      <c r="AO166" s="151"/>
      <c r="AP166" s="146"/>
      <c r="AQ166" s="146"/>
      <c r="AR166" s="146"/>
      <c r="AS166" s="245"/>
      <c r="AT166" s="245"/>
      <c r="AU166" s="146"/>
      <c r="AX166" s="147"/>
      <c r="AY166" s="191"/>
      <c r="AZ166" s="154" t="s">
        <v>956</v>
      </c>
      <c r="BA166" s="160"/>
      <c r="BB166" s="149"/>
      <c r="BC166" s="189"/>
      <c r="BD166" s="189"/>
      <c r="BE166" s="190"/>
      <c r="BF166" s="187">
        <f t="shared" si="43"/>
        <v>0</v>
      </c>
    </row>
    <row r="167" spans="1:58">
      <c r="A167" s="122">
        <v>1</v>
      </c>
      <c r="B167" s="28"/>
      <c r="C167" s="100" t="s">
        <v>674</v>
      </c>
      <c r="D167" s="29"/>
      <c r="E167" s="29"/>
      <c r="F167" s="33" t="s">
        <v>799</v>
      </c>
      <c r="G167" s="33">
        <v>310</v>
      </c>
      <c r="H167" s="33"/>
      <c r="I167" s="67">
        <v>1</v>
      </c>
      <c r="J167" s="67">
        <v>0.4</v>
      </c>
      <c r="K167" s="75" t="e">
        <f>+GETPIVOTDATA("PPEF 2010 ",#REF!,"No. Ramo",8,"IPP","S","PP",230,"UR",310)</f>
        <v>#REF!</v>
      </c>
      <c r="L167" s="75" t="e">
        <f>+GETPIVOTDATA("Ampliación Neta DIP ",#REF!,"No. Ramo",8,"IPP","S","PP",230,"UR",310)</f>
        <v>#REF!</v>
      </c>
      <c r="M167" s="75" t="e">
        <f>+GETPIVOTDATA("Recorte SHCP ",#REF!,"No. Ramo",8,"IPP","S","PP",230,"UR",310)</f>
        <v>#REF!</v>
      </c>
      <c r="N167" s="75" t="e">
        <f>+GETPIVOTDATA("PEF 2010 ",#REF!,"No. Ramo",8,"IPP","S","PP",230,"UR",310)</f>
        <v>#REF!</v>
      </c>
      <c r="O167" s="75" t="e">
        <f>+GETPIVOTDATA("PPEF 2011 ",#REF!,"No. Ramo",8,"IPP","S","PP",230,"UR",310)*$J167</f>
        <v>#REF!</v>
      </c>
      <c r="P167" s="75" t="e">
        <f>+GETPIVOTDATA("Reducción ",#REF!,"No. Ramo",8,"IPP","S","PP",230,"UR",310)</f>
        <v>#REF!</v>
      </c>
      <c r="Q167" s="75" t="e">
        <f>+GETPIVOTDATA("Ampliación ",#REF!,"No. Ramo",8,"IPP","S","PP",230,"UR",310)</f>
        <v>#REF!</v>
      </c>
      <c r="R167" s="69" t="e">
        <f>O167+Q167-P167</f>
        <v>#REF!</v>
      </c>
      <c r="S167" s="69"/>
      <c r="T167" s="69"/>
      <c r="U167" s="69" t="e">
        <f>+$I167*O167</f>
        <v>#REF!</v>
      </c>
      <c r="V167" s="69" t="e">
        <f>+$I167*P167</f>
        <v>#REF!</v>
      </c>
      <c r="W167" s="69" t="e">
        <f>+$I167*Q167</f>
        <v>#REF!</v>
      </c>
      <c r="X167" s="69" t="e">
        <f>+$I167*R167</f>
        <v>#REF!</v>
      </c>
      <c r="AH167" s="147"/>
      <c r="AI167" s="156"/>
      <c r="AJ167" s="154" t="s">
        <v>674</v>
      </c>
      <c r="AK167" s="160"/>
      <c r="AL167" s="150"/>
      <c r="AM167" s="150"/>
      <c r="AN167" s="150"/>
      <c r="AO167" s="151"/>
      <c r="AP167" s="146"/>
      <c r="AQ167" s="146"/>
      <c r="AR167" s="146"/>
      <c r="AS167" s="245"/>
      <c r="AT167" s="245"/>
      <c r="AU167" s="146"/>
      <c r="AX167" s="147"/>
      <c r="AY167" s="191"/>
      <c r="AZ167" s="154" t="s">
        <v>674</v>
      </c>
      <c r="BA167" s="160"/>
      <c r="BB167" s="189"/>
      <c r="BC167" s="189"/>
      <c r="BD167" s="189"/>
      <c r="BE167" s="190"/>
      <c r="BF167" s="187">
        <f t="shared" si="43"/>
        <v>0</v>
      </c>
    </row>
    <row r="168" spans="1:58">
      <c r="A168" s="122">
        <v>1</v>
      </c>
      <c r="B168" s="28"/>
      <c r="C168" s="30" t="s">
        <v>949</v>
      </c>
      <c r="D168" s="29"/>
      <c r="E168" s="29"/>
      <c r="F168" s="28"/>
      <c r="G168" s="28"/>
      <c r="H168" s="28"/>
      <c r="I168" s="65"/>
      <c r="J168" s="28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AH168" s="147"/>
      <c r="AI168" s="157" t="s">
        <v>949</v>
      </c>
      <c r="AJ168" s="160"/>
      <c r="AK168" s="160"/>
      <c r="AL168" s="150"/>
      <c r="AM168" s="150"/>
      <c r="AN168" s="150"/>
      <c r="AO168" s="151"/>
      <c r="AP168" s="146">
        <f t="shared" ref="AP168:AU168" si="44">AP169</f>
        <v>0</v>
      </c>
      <c r="AQ168" s="146">
        <f t="shared" si="44"/>
        <v>0</v>
      </c>
      <c r="AR168" s="146">
        <f t="shared" si="44"/>
        <v>0</v>
      </c>
      <c r="AS168" s="245"/>
      <c r="AT168" s="245"/>
      <c r="AU168" s="146">
        <f t="shared" si="44"/>
        <v>0</v>
      </c>
      <c r="AX168" s="147"/>
      <c r="AY168" s="157" t="s">
        <v>949</v>
      </c>
      <c r="AZ168" s="160"/>
      <c r="BA168" s="160"/>
      <c r="BB168" s="189"/>
      <c r="BC168" s="189"/>
      <c r="BD168" s="189"/>
      <c r="BE168" s="190"/>
      <c r="BF168" s="187">
        <f>BF169</f>
        <v>0</v>
      </c>
    </row>
    <row r="169" spans="1:58">
      <c r="A169" s="122">
        <v>1</v>
      </c>
      <c r="B169" s="31"/>
      <c r="C169" s="100" t="s">
        <v>688</v>
      </c>
      <c r="D169" s="30"/>
      <c r="E169" s="30"/>
      <c r="F169" s="33" t="s">
        <v>808</v>
      </c>
      <c r="G169" s="33" t="s">
        <v>18</v>
      </c>
      <c r="H169" s="33"/>
      <c r="I169" s="67">
        <v>1</v>
      </c>
      <c r="J169" s="67">
        <v>0.97122738861235891</v>
      </c>
      <c r="K169" s="69" t="e">
        <f>+GETPIVOTDATA("PPEF 2010 ",#REF!,"No. Ramo",8,"IPP","S","PP",232,"UR","F00")*$J169</f>
        <v>#REF!</v>
      </c>
      <c r="L169" s="69" t="e">
        <f>+GETPIVOTDATA("Ampliación Neta DIP ",#REF!,"No. Ramo",8,"IPP","S","PP",232,"UR","F00")*$J169</f>
        <v>#REF!</v>
      </c>
      <c r="M169" s="69" t="e">
        <f>+GETPIVOTDATA("Recorte SHCP ",#REF!,"No. Ramo",8,"IPP","S","PP",232,"UR","F00")*$J169</f>
        <v>#REF!</v>
      </c>
      <c r="N169" s="69" t="e">
        <f>+GETPIVOTDATA("PEF 2010 ",#REF!,"No. Ramo",8,"IPP","S","PP",232,"UR","F00")*$J169</f>
        <v>#REF!</v>
      </c>
      <c r="O169" s="69" t="e">
        <f>+GETPIVOTDATA("PPEF 2011 ",#REF!,"No. Ramo",8,"IPP","S","PP",232,"UR","F00")*$J169</f>
        <v>#REF!</v>
      </c>
      <c r="P169" s="69" t="e">
        <f>+GETPIVOTDATA("Reducción ",#REF!,"No. Ramo",8,"IPP","S","PP",232,"UR","F00")*$J169</f>
        <v>#REF!</v>
      </c>
      <c r="Q169" s="69" t="e">
        <f>+GETPIVOTDATA("Ampliación ",#REF!,"No. Ramo",8,"IPP","S","PP",232,"UR","F00")*$J169</f>
        <v>#REF!</v>
      </c>
      <c r="R169" s="69" t="e">
        <f>O169+Q169-P169</f>
        <v>#REF!</v>
      </c>
      <c r="S169" s="69"/>
      <c r="T169" s="69"/>
      <c r="U169" s="69" t="e">
        <f>+$I169*O169</f>
        <v>#REF!</v>
      </c>
      <c r="V169" s="69" t="e">
        <f>+$I169*P169</f>
        <v>#REF!</v>
      </c>
      <c r="W169" s="69" t="e">
        <f>+$I169*Q169</f>
        <v>#REF!</v>
      </c>
      <c r="X169" s="69" t="e">
        <f>+$I169*R169</f>
        <v>#REF!</v>
      </c>
      <c r="AH169" s="152"/>
      <c r="AI169" s="156"/>
      <c r="AJ169" s="154" t="s">
        <v>688</v>
      </c>
      <c r="AK169" s="158"/>
      <c r="AL169" s="150"/>
      <c r="AM169" s="150"/>
      <c r="AN169" s="150"/>
      <c r="AO169" s="151"/>
      <c r="AP169" s="146">
        <f>AP170+AP171+AP172+AP173+AP178+AP179+AP180+AP181+AP182+AP183</f>
        <v>0</v>
      </c>
      <c r="AQ169" s="146">
        <f>AQ170+AQ171+AQ172+AQ173+AQ178+AQ179+AQ180+AQ181+AQ182+AQ183</f>
        <v>0</v>
      </c>
      <c r="AR169" s="146">
        <f>AR170+AR171+AR172+AR173+AR178+AR179+AR180+AR181+AR182+AR183</f>
        <v>0</v>
      </c>
      <c r="AS169" s="245"/>
      <c r="AT169" s="245"/>
      <c r="AU169" s="146">
        <f>AU170+AU171+AU172+AU173+AU178+AU179+AU180+AU181+AU182+AU183</f>
        <v>0</v>
      </c>
      <c r="AX169" s="152"/>
      <c r="AY169" s="191"/>
      <c r="AZ169" s="154" t="s">
        <v>688</v>
      </c>
      <c r="BA169" s="158"/>
      <c r="BB169" s="189"/>
      <c r="BC169" s="189"/>
      <c r="BD169" s="189"/>
      <c r="BE169" s="190"/>
      <c r="BF169" s="187">
        <f>BF170+BF171+BF172+BF173+BF178+BF179+BF180+BF181+BF182+BF183</f>
        <v>0</v>
      </c>
    </row>
    <row r="170" spans="1:58">
      <c r="A170" s="122">
        <v>1</v>
      </c>
      <c r="B170" s="31"/>
      <c r="C170" s="102" t="s">
        <v>952</v>
      </c>
      <c r="D170" s="30"/>
      <c r="E170" s="30"/>
      <c r="F170" s="33"/>
      <c r="G170" s="33"/>
      <c r="H170" s="33"/>
      <c r="I170" s="67"/>
      <c r="J170" s="67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AH170" s="152"/>
      <c r="AI170" s="156"/>
      <c r="AJ170" s="150"/>
      <c r="AK170" s="154" t="s">
        <v>952</v>
      </c>
      <c r="AL170" s="155"/>
      <c r="AM170" s="150"/>
      <c r="AN170" s="150"/>
      <c r="AO170" s="151"/>
      <c r="AP170" s="146"/>
      <c r="AQ170" s="146"/>
      <c r="AR170" s="146"/>
      <c r="AS170" s="245"/>
      <c r="AT170" s="245"/>
      <c r="AU170" s="146"/>
      <c r="AX170" s="152"/>
      <c r="AY170" s="191"/>
      <c r="AZ170" s="189"/>
      <c r="BA170" s="154" t="s">
        <v>952</v>
      </c>
      <c r="BB170" s="155"/>
      <c r="BC170" s="189"/>
      <c r="BD170" s="189"/>
      <c r="BE170" s="190"/>
      <c r="BF170" s="187">
        <f>+AU170</f>
        <v>0</v>
      </c>
    </row>
    <row r="171" spans="1:58">
      <c r="A171" s="122">
        <v>1</v>
      </c>
      <c r="B171" s="28"/>
      <c r="C171" s="102" t="s">
        <v>951</v>
      </c>
      <c r="D171" s="29"/>
      <c r="E171" s="29"/>
      <c r="F171" s="28"/>
      <c r="G171" s="28"/>
      <c r="H171" s="28"/>
      <c r="I171" s="65"/>
      <c r="J171" s="28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AH171" s="147"/>
      <c r="AI171" s="156"/>
      <c r="AJ171" s="150"/>
      <c r="AK171" s="154" t="s">
        <v>951</v>
      </c>
      <c r="AL171" s="149"/>
      <c r="AM171" s="150"/>
      <c r="AN171" s="150"/>
      <c r="AO171" s="151"/>
      <c r="AP171" s="146"/>
      <c r="AQ171" s="146"/>
      <c r="AR171" s="146"/>
      <c r="AS171" s="245"/>
      <c r="AT171" s="245"/>
      <c r="AU171" s="146"/>
      <c r="AX171" s="147"/>
      <c r="AY171" s="191"/>
      <c r="AZ171" s="189"/>
      <c r="BA171" s="154" t="s">
        <v>951</v>
      </c>
      <c r="BB171" s="149"/>
      <c r="BC171" s="189"/>
      <c r="BD171" s="189"/>
      <c r="BE171" s="190"/>
      <c r="BF171" s="187">
        <f>+AU171</f>
        <v>0</v>
      </c>
    </row>
    <row r="172" spans="1:58">
      <c r="A172" s="122">
        <v>1</v>
      </c>
      <c r="B172" s="28"/>
      <c r="C172" s="102" t="s">
        <v>973</v>
      </c>
      <c r="D172" s="29"/>
      <c r="E172" s="29"/>
      <c r="F172" s="28"/>
      <c r="G172" s="28"/>
      <c r="H172" s="28"/>
      <c r="I172" s="65"/>
      <c r="J172" s="28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AH172" s="147"/>
      <c r="AI172" s="156"/>
      <c r="AJ172" s="150"/>
      <c r="AK172" s="154" t="s">
        <v>973</v>
      </c>
      <c r="AL172" s="149"/>
      <c r="AM172" s="150"/>
      <c r="AN172" s="150"/>
      <c r="AO172" s="151"/>
      <c r="AP172" s="146"/>
      <c r="AQ172" s="146"/>
      <c r="AR172" s="146"/>
      <c r="AS172" s="245"/>
      <c r="AT172" s="245"/>
      <c r="AU172" s="146"/>
      <c r="AX172" s="147"/>
      <c r="AY172" s="191"/>
      <c r="AZ172" s="189"/>
      <c r="BA172" s="154" t="s">
        <v>973</v>
      </c>
      <c r="BB172" s="149"/>
      <c r="BC172" s="189"/>
      <c r="BD172" s="189"/>
      <c r="BE172" s="190"/>
      <c r="BF172" s="187">
        <f>+AU172</f>
        <v>0</v>
      </c>
    </row>
    <row r="173" spans="1:58">
      <c r="A173" s="122">
        <v>1</v>
      </c>
      <c r="B173" s="28"/>
      <c r="C173" s="102" t="s">
        <v>974</v>
      </c>
      <c r="D173" s="29"/>
      <c r="E173" s="29"/>
      <c r="F173" s="28"/>
      <c r="G173" s="28"/>
      <c r="H173" s="28"/>
      <c r="I173" s="65"/>
      <c r="J173" s="28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AH173" s="147"/>
      <c r="AI173" s="156"/>
      <c r="AJ173" s="150"/>
      <c r="AK173" s="154" t="s">
        <v>974</v>
      </c>
      <c r="AL173" s="149"/>
      <c r="AM173" s="150"/>
      <c r="AN173" s="150"/>
      <c r="AO173" s="151"/>
      <c r="AP173" s="146">
        <f>SUM(AP174:AP177)</f>
        <v>0</v>
      </c>
      <c r="AQ173" s="146">
        <f>SUM(AQ174:AQ177)</f>
        <v>0</v>
      </c>
      <c r="AR173" s="146">
        <f>SUM(AR174:AR177)</f>
        <v>0</v>
      </c>
      <c r="AS173" s="245"/>
      <c r="AT173" s="245"/>
      <c r="AU173" s="146">
        <f>SUM(AU174:AU177)</f>
        <v>0</v>
      </c>
      <c r="AX173" s="147"/>
      <c r="AY173" s="191"/>
      <c r="AZ173" s="189"/>
      <c r="BA173" s="154" t="s">
        <v>974</v>
      </c>
      <c r="BB173" s="149"/>
      <c r="BC173" s="189"/>
      <c r="BD173" s="189"/>
      <c r="BE173" s="190"/>
      <c r="BF173" s="187">
        <f>SUM(BF174:BF177)</f>
        <v>0</v>
      </c>
    </row>
    <row r="174" spans="1:58">
      <c r="A174" s="122">
        <v>1</v>
      </c>
      <c r="B174" s="28"/>
      <c r="C174" s="102" t="s">
        <v>975</v>
      </c>
      <c r="D174" s="29"/>
      <c r="E174" s="29"/>
      <c r="F174" s="28"/>
      <c r="G174" s="28"/>
      <c r="H174" s="28"/>
      <c r="I174" s="65"/>
      <c r="J174" s="28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AH174" s="147"/>
      <c r="AI174" s="156"/>
      <c r="AJ174" s="150"/>
      <c r="AK174" s="150"/>
      <c r="AL174" s="154" t="s">
        <v>1361</v>
      </c>
      <c r="AM174" s="150"/>
      <c r="AN174" s="150"/>
      <c r="AO174" s="151"/>
      <c r="AP174" s="146"/>
      <c r="AQ174" s="146"/>
      <c r="AR174" s="146"/>
      <c r="AS174" s="245"/>
      <c r="AT174" s="245"/>
      <c r="AU174" s="146"/>
      <c r="AX174" s="147"/>
      <c r="AY174" s="191"/>
      <c r="AZ174" s="189"/>
      <c r="BA174" s="189"/>
      <c r="BB174" s="154" t="s">
        <v>1361</v>
      </c>
      <c r="BC174" s="189"/>
      <c r="BD174" s="189"/>
      <c r="BE174" s="190"/>
      <c r="BF174" s="187">
        <f t="shared" ref="BF174:BF184" si="45">+AU174</f>
        <v>0</v>
      </c>
    </row>
    <row r="175" spans="1:58">
      <c r="A175" s="122">
        <v>1</v>
      </c>
      <c r="B175" s="28"/>
      <c r="C175" s="102" t="s">
        <v>976</v>
      </c>
      <c r="D175" s="29"/>
      <c r="E175" s="29"/>
      <c r="F175" s="28"/>
      <c r="G175" s="28"/>
      <c r="H175" s="28"/>
      <c r="I175" s="65"/>
      <c r="J175" s="28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AH175" s="147"/>
      <c r="AI175" s="156"/>
      <c r="AJ175" s="150"/>
      <c r="AK175" s="150"/>
      <c r="AL175" s="154" t="s">
        <v>1362</v>
      </c>
      <c r="AM175" s="150"/>
      <c r="AN175" s="150"/>
      <c r="AO175" s="151"/>
      <c r="AP175" s="146"/>
      <c r="AQ175" s="146"/>
      <c r="AR175" s="146"/>
      <c r="AS175" s="245"/>
      <c r="AT175" s="245"/>
      <c r="AU175" s="146"/>
      <c r="AX175" s="147"/>
      <c r="AY175" s="191"/>
      <c r="AZ175" s="189"/>
      <c r="BA175" s="189"/>
      <c r="BB175" s="154" t="s">
        <v>1362</v>
      </c>
      <c r="BC175" s="189"/>
      <c r="BD175" s="189"/>
      <c r="BE175" s="190"/>
      <c r="BF175" s="187">
        <f t="shared" si="45"/>
        <v>0</v>
      </c>
    </row>
    <row r="176" spans="1:58">
      <c r="A176" s="122">
        <v>1</v>
      </c>
      <c r="B176" s="28"/>
      <c r="C176" s="102" t="s">
        <v>996</v>
      </c>
      <c r="D176" s="29"/>
      <c r="E176" s="29"/>
      <c r="F176" s="28"/>
      <c r="G176" s="28"/>
      <c r="H176" s="28"/>
      <c r="I176" s="65"/>
      <c r="J176" s="28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AH176" s="147"/>
      <c r="AI176" s="156"/>
      <c r="AJ176" s="150"/>
      <c r="AK176" s="150"/>
      <c r="AL176" s="154" t="s">
        <v>1363</v>
      </c>
      <c r="AM176" s="150"/>
      <c r="AN176" s="150"/>
      <c r="AO176" s="151"/>
      <c r="AP176" s="146"/>
      <c r="AQ176" s="146"/>
      <c r="AR176" s="146"/>
      <c r="AS176" s="245"/>
      <c r="AT176" s="245"/>
      <c r="AU176" s="146"/>
      <c r="AX176" s="147"/>
      <c r="AY176" s="191"/>
      <c r="AZ176" s="189"/>
      <c r="BA176" s="189"/>
      <c r="BB176" s="154" t="s">
        <v>1363</v>
      </c>
      <c r="BC176" s="189"/>
      <c r="BD176" s="189"/>
      <c r="BE176" s="190"/>
      <c r="BF176" s="187">
        <f t="shared" si="45"/>
        <v>0</v>
      </c>
    </row>
    <row r="177" spans="1:58">
      <c r="A177" s="122">
        <v>1</v>
      </c>
      <c r="B177" s="28"/>
      <c r="C177" s="102" t="s">
        <v>977</v>
      </c>
      <c r="D177" s="29"/>
      <c r="E177" s="29"/>
      <c r="F177" s="28"/>
      <c r="G177" s="28"/>
      <c r="H177" s="28"/>
      <c r="I177" s="65"/>
      <c r="J177" s="28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AH177" s="147"/>
      <c r="AI177" s="156"/>
      <c r="AJ177" s="150"/>
      <c r="AK177" s="150"/>
      <c r="AL177" s="154" t="s">
        <v>1364</v>
      </c>
      <c r="AM177" s="150"/>
      <c r="AN177" s="150"/>
      <c r="AO177" s="151"/>
      <c r="AP177" s="146"/>
      <c r="AQ177" s="146"/>
      <c r="AR177" s="146"/>
      <c r="AS177" s="245"/>
      <c r="AT177" s="245"/>
      <c r="AU177" s="146"/>
      <c r="AX177" s="147"/>
      <c r="AY177" s="191"/>
      <c r="AZ177" s="189"/>
      <c r="BA177" s="189"/>
      <c r="BB177" s="154" t="s">
        <v>1364</v>
      </c>
      <c r="BC177" s="189"/>
      <c r="BD177" s="189"/>
      <c r="BE177" s="190"/>
      <c r="BF177" s="187">
        <f t="shared" si="45"/>
        <v>0</v>
      </c>
    </row>
    <row r="178" spans="1:58">
      <c r="A178" s="122">
        <v>1</v>
      </c>
      <c r="B178" s="28"/>
      <c r="C178" s="102" t="s">
        <v>978</v>
      </c>
      <c r="D178" s="29"/>
      <c r="E178" s="29"/>
      <c r="F178" s="28"/>
      <c r="G178" s="28"/>
      <c r="H178" s="28"/>
      <c r="I178" s="65"/>
      <c r="J178" s="28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AH178" s="147"/>
      <c r="AI178" s="156"/>
      <c r="AJ178" s="150"/>
      <c r="AK178" s="154" t="s">
        <v>978</v>
      </c>
      <c r="AL178" s="149"/>
      <c r="AM178" s="150"/>
      <c r="AN178" s="150"/>
      <c r="AO178" s="151"/>
      <c r="AP178" s="146"/>
      <c r="AQ178" s="146"/>
      <c r="AR178" s="146"/>
      <c r="AS178" s="245"/>
      <c r="AT178" s="245"/>
      <c r="AU178" s="146"/>
      <c r="AX178" s="147"/>
      <c r="AY178" s="191"/>
      <c r="AZ178" s="189"/>
      <c r="BA178" s="154" t="s">
        <v>978</v>
      </c>
      <c r="BB178" s="149"/>
      <c r="BC178" s="189"/>
      <c r="BD178" s="189"/>
      <c r="BE178" s="190"/>
      <c r="BF178" s="187">
        <f t="shared" si="45"/>
        <v>0</v>
      </c>
    </row>
    <row r="179" spans="1:58">
      <c r="A179" s="122">
        <v>1</v>
      </c>
      <c r="B179" s="28"/>
      <c r="C179" s="102" t="s">
        <v>979</v>
      </c>
      <c r="D179" s="29"/>
      <c r="E179" s="29"/>
      <c r="F179" s="28"/>
      <c r="G179" s="28"/>
      <c r="H179" s="28"/>
      <c r="I179" s="65"/>
      <c r="J179" s="28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AH179" s="147"/>
      <c r="AI179" s="156"/>
      <c r="AJ179" s="150"/>
      <c r="AK179" s="154" t="s">
        <v>979</v>
      </c>
      <c r="AL179" s="149"/>
      <c r="AM179" s="150"/>
      <c r="AN179" s="150"/>
      <c r="AO179" s="151"/>
      <c r="AP179" s="146"/>
      <c r="AQ179" s="146"/>
      <c r="AR179" s="146"/>
      <c r="AS179" s="245"/>
      <c r="AT179" s="245"/>
      <c r="AU179" s="146"/>
      <c r="AX179" s="147"/>
      <c r="AY179" s="191"/>
      <c r="AZ179" s="189"/>
      <c r="BA179" s="154" t="s">
        <v>979</v>
      </c>
      <c r="BB179" s="149"/>
      <c r="BC179" s="189"/>
      <c r="BD179" s="189"/>
      <c r="BE179" s="190"/>
      <c r="BF179" s="187">
        <f t="shared" si="45"/>
        <v>0</v>
      </c>
    </row>
    <row r="180" spans="1:58">
      <c r="A180" s="122">
        <v>1</v>
      </c>
      <c r="B180" s="28"/>
      <c r="C180" s="102" t="s">
        <v>980</v>
      </c>
      <c r="D180" s="29"/>
      <c r="E180" s="29"/>
      <c r="F180" s="28"/>
      <c r="G180" s="28"/>
      <c r="H180" s="28"/>
      <c r="I180" s="65"/>
      <c r="J180" s="28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AH180" s="147"/>
      <c r="AI180" s="156"/>
      <c r="AJ180" s="150"/>
      <c r="AK180" s="154" t="s">
        <v>980</v>
      </c>
      <c r="AL180" s="149"/>
      <c r="AM180" s="150"/>
      <c r="AN180" s="150"/>
      <c r="AO180" s="151"/>
      <c r="AP180" s="146"/>
      <c r="AQ180" s="146"/>
      <c r="AR180" s="146"/>
      <c r="AS180" s="245"/>
      <c r="AT180" s="245"/>
      <c r="AU180" s="146"/>
      <c r="AX180" s="147"/>
      <c r="AY180" s="191"/>
      <c r="AZ180" s="189"/>
      <c r="BA180" s="154" t="s">
        <v>980</v>
      </c>
      <c r="BB180" s="149"/>
      <c r="BC180" s="189"/>
      <c r="BD180" s="189"/>
      <c r="BE180" s="190"/>
      <c r="BF180" s="187">
        <f t="shared" si="45"/>
        <v>0</v>
      </c>
    </row>
    <row r="181" spans="1:58">
      <c r="A181" s="122">
        <v>1</v>
      </c>
      <c r="B181" s="28"/>
      <c r="C181" s="102" t="s">
        <v>981</v>
      </c>
      <c r="D181" s="29"/>
      <c r="E181" s="29"/>
      <c r="F181" s="28"/>
      <c r="G181" s="28"/>
      <c r="H181" s="28"/>
      <c r="I181" s="65"/>
      <c r="J181" s="28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AH181" s="147"/>
      <c r="AI181" s="156"/>
      <c r="AJ181" s="150"/>
      <c r="AK181" s="154" t="s">
        <v>981</v>
      </c>
      <c r="AL181" s="149"/>
      <c r="AM181" s="150"/>
      <c r="AN181" s="150"/>
      <c r="AO181" s="151"/>
      <c r="AP181" s="146"/>
      <c r="AQ181" s="146"/>
      <c r="AR181" s="146"/>
      <c r="AS181" s="245"/>
      <c r="AT181" s="245"/>
      <c r="AU181" s="146"/>
      <c r="AX181" s="147"/>
      <c r="AY181" s="191"/>
      <c r="AZ181" s="189"/>
      <c r="BA181" s="154" t="s">
        <v>981</v>
      </c>
      <c r="BB181" s="149"/>
      <c r="BC181" s="189"/>
      <c r="BD181" s="189"/>
      <c r="BE181" s="190"/>
      <c r="BF181" s="187">
        <f t="shared" si="45"/>
        <v>0</v>
      </c>
    </row>
    <row r="182" spans="1:58">
      <c r="A182" s="122">
        <v>1</v>
      </c>
      <c r="B182" s="31"/>
      <c r="C182" s="102" t="s">
        <v>982</v>
      </c>
      <c r="D182" s="30"/>
      <c r="E182" s="30"/>
      <c r="F182" s="33"/>
      <c r="G182" s="33"/>
      <c r="H182" s="33"/>
      <c r="I182" s="67"/>
      <c r="J182" s="67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AH182" s="152"/>
      <c r="AI182" s="156"/>
      <c r="AJ182" s="150"/>
      <c r="AK182" s="154" t="s">
        <v>982</v>
      </c>
      <c r="AL182" s="155"/>
      <c r="AM182" s="150"/>
      <c r="AN182" s="150"/>
      <c r="AO182" s="151"/>
      <c r="AP182" s="146"/>
      <c r="AQ182" s="146"/>
      <c r="AR182" s="146"/>
      <c r="AS182" s="245"/>
      <c r="AT182" s="245"/>
      <c r="AU182" s="146"/>
      <c r="AX182" s="152"/>
      <c r="AY182" s="191"/>
      <c r="AZ182" s="189"/>
      <c r="BA182" s="154" t="s">
        <v>982</v>
      </c>
      <c r="BB182" s="155"/>
      <c r="BC182" s="189"/>
      <c r="BD182" s="189"/>
      <c r="BE182" s="190"/>
      <c r="BF182" s="187">
        <f t="shared" si="45"/>
        <v>0</v>
      </c>
    </row>
    <row r="183" spans="1:58">
      <c r="A183" s="122">
        <v>1</v>
      </c>
      <c r="B183" s="31"/>
      <c r="C183" s="102" t="s">
        <v>903</v>
      </c>
      <c r="D183" s="30"/>
      <c r="E183" s="30"/>
      <c r="F183" s="33"/>
      <c r="G183" s="33"/>
      <c r="H183" s="33"/>
      <c r="I183" s="67"/>
      <c r="J183" s="67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AH183" s="152"/>
      <c r="AI183" s="156"/>
      <c r="AJ183" s="150"/>
      <c r="AK183" s="154" t="s">
        <v>903</v>
      </c>
      <c r="AL183" s="155"/>
      <c r="AM183" s="150"/>
      <c r="AN183" s="150"/>
      <c r="AO183" s="151"/>
      <c r="AP183" s="146"/>
      <c r="AQ183" s="146"/>
      <c r="AR183" s="146"/>
      <c r="AS183" s="245"/>
      <c r="AT183" s="245"/>
      <c r="AU183" s="146"/>
      <c r="AX183" s="152"/>
      <c r="AY183" s="191"/>
      <c r="AZ183" s="189"/>
      <c r="BA183" s="154" t="s">
        <v>903</v>
      </c>
      <c r="BB183" s="155"/>
      <c r="BC183" s="189"/>
      <c r="BD183" s="189"/>
      <c r="BE183" s="190"/>
      <c r="BF183" s="187">
        <f t="shared" si="45"/>
        <v>0</v>
      </c>
    </row>
    <row r="184" spans="1:58">
      <c r="A184" s="122">
        <v>1</v>
      </c>
      <c r="B184" s="31"/>
      <c r="C184" s="30" t="s">
        <v>983</v>
      </c>
      <c r="D184" s="30"/>
      <c r="E184" s="30"/>
      <c r="F184" s="33" t="s">
        <v>945</v>
      </c>
      <c r="G184" s="33" t="s">
        <v>13</v>
      </c>
      <c r="H184" s="33"/>
      <c r="I184" s="67">
        <v>1</v>
      </c>
      <c r="J184" s="67"/>
      <c r="K184" s="69" t="e">
        <f>+GETPIVOTDATA("PPEF 2010 ",#REF!,"No. Ramo",8,"IPP","G","PP",1,"UR","B00")*65.6957991250357%+GETPIVOTDATA("PPEF 2010 ",#REF!,"No. Ramo",8,"IPP","K","PP",24,"UR","B00")+GETPIVOTDATA("PPEF 2010 ",#REF!,"No. Ramo",8,"IPP","M","PP",1,"UR","B00")*4.4757612086105%+GETPIVOTDATA("PPEF 2010 ",#REF!,"No. Ramo",8,"IPP","P","PP",1,"UR","B00")+GETPIVOTDATA("PPEF 2010 ",#REF!,"No. Ramo",8,"IPP","R","PP",3,"UR","B00")+GETPIVOTDATA("PPEF 2010 ",#REF!,"No. Ramo",8,"IPP","S","PP",232,"UR","B00")+GETPIVOTDATA("PPEF 2010 ",#REF!,"No. Ramo",8,"IPP","U","PP",2,"UR","B00")</f>
        <v>#REF!</v>
      </c>
      <c r="L184" s="69" t="e">
        <f>+GETPIVOTDATA("Ampliación Neta DIP ",#REF!,"No. Ramo",8,"IPP","G","PP",1,"UR","B00")*65.6957991250357%+GETPIVOTDATA("Ampliación Neta DIP ",#REF!,"No. Ramo",8,"IPP","K","PP",24,"UR","B00")+GETPIVOTDATA("Ampliación Neta DIP ",#REF!,"No. Ramo",8,"IPP","M","PP",1,"UR","B00")*4.4757612086105%+GETPIVOTDATA("Ampliación Neta DIP ",#REF!,"No. Ramo",8,"IPP","P","PP",1,"UR","B00")+GETPIVOTDATA("Ampliación Neta DIP ",#REF!,"No. Ramo",8,"IPP","R","PP",3,"UR","B00")+GETPIVOTDATA("Ampliación Neta DIP ",#REF!,"No. Ramo",8,"IPP","S","PP",232,"UR","B00")+GETPIVOTDATA("Ampliación Neta DIP ",#REF!,"No. Ramo",8,"IPP","U","PP",2,"UR","B00")</f>
        <v>#REF!</v>
      </c>
      <c r="M184" s="69" t="e">
        <f>+GETPIVOTDATA("Recorte SHCP ",#REF!,"No. Ramo",8,"IPP","G","PP",1,"UR","B00")*65.6957991250357%+GETPIVOTDATA("Recorte SHCP ",#REF!,"No. Ramo",8,"IPP","K","PP",24,"UR","B00")+GETPIVOTDATA("Recorte SHCP ",#REF!,"No. Ramo",8,"IPP","M","PP",1,"UR","B00")*4.4757612086105%+GETPIVOTDATA("Recorte SHCP ",#REF!,"No. Ramo",8,"IPP","P","PP",1,"UR","B00")+GETPIVOTDATA("Recorte SHCP ",#REF!,"No. Ramo",8,"IPP","R","PP",3,"UR","B00")+GETPIVOTDATA("Recorte SHCP ",#REF!,"No. Ramo",8,"IPP","S","PP",232,"UR","B00")+GETPIVOTDATA("Recorte SHCP ",#REF!,"No. Ramo",8,"IPP","U","PP",2,"UR","B00")</f>
        <v>#REF!</v>
      </c>
      <c r="N184" s="69" t="e">
        <f>+GETPIVOTDATA("PEF 2010 ",#REF!,"No. Ramo",8,"IPP","G","PP",1,"UR","B00")*65.6957991250357%+GETPIVOTDATA("PEF 2010 ",#REF!,"No. Ramo",8,"IPP","K","PP",24,"UR","B00")+GETPIVOTDATA("PEF 2010 ",#REF!,"No. Ramo",8,"IPP","M","PP",1,"UR","B00")*4.4757612086105%+GETPIVOTDATA("PEF 2010 ",#REF!,"No. Ramo",8,"IPP","P","PP",1,"UR","B00")+GETPIVOTDATA("PEF 2010 ",#REF!,"No. Ramo",8,"IPP","R","PP",3,"UR","B00")+GETPIVOTDATA("PEF 2010 ",#REF!,"No. Ramo",8,"IPP","S","PP",232,"UR","B00")+GETPIVOTDATA("PEF 2010 ",#REF!,"No. Ramo",8,"IPP","U","PP",2,"UR","B00")</f>
        <v>#REF!</v>
      </c>
      <c r="O184" s="69" t="e">
        <f>+GETPIVOTDATA("PPEF 2011 ",#REF!,"No. Ramo",8,"IPP","K","PP",24,"UR","B00")+GETPIVOTDATA("PPEF 2011 ",#REF!,"No. Ramo",8,"IPP","M","PP",1,"UR","B00")*4.4757612086105%+GETPIVOTDATA("PPEF 2011 ",#REF!,"No. Ramo",8,"IPP","P","PP",1,"UR","B00")+GETPIVOTDATA("PPEF 2011 ",#REF!,"No. Ramo",8,"IPP","R","PP",3,"UR","B00")+GETPIVOTDATA("PPEF 2011 ",#REF!,"No. Ramo",8,"IPP","S","PP",232,"UR","B00")+GETPIVOTDATA("PPEF 2011 ",#REF!,"No. Ramo",8,"IPP","U","PP",2,"UR","B00")+GETPIVOTDATA("PPEF 2011 ",#REF!,"No. Ramo",8,"IPP","G","PP",1,"UR","B00")*65.6957991250357%</f>
        <v>#REF!</v>
      </c>
      <c r="P184" s="69" t="e">
        <f>+GETPIVOTDATA("Reducción ",#REF!,"No. Ramo",8,"IPP","G","PP",1,"UR","B00")*65.6957991250357%+GETPIVOTDATA("Reducción ",#REF!,"No. Ramo",8,"IPP","K","PP",24,"UR","B00")+GETPIVOTDATA("Reducción ",#REF!,"No. Ramo",8,"IPP","M","PP",1,"UR","B00")*4.4757612086105%+GETPIVOTDATA("Reducción ",#REF!,"No. Ramo",8,"IPP","P","PP",1,"UR","B00")+GETPIVOTDATA("Reducción ",#REF!,"No. Ramo",8,"IPP","R","PP",3,"UR","B00")+GETPIVOTDATA("Reducción ",#REF!,"No. Ramo",8,"IPP","S","PP",232,"UR","B00")+GETPIVOTDATA("Reducción ",#REF!,"No. Ramo",8,"IPP","U","PP",2,"UR","B00")</f>
        <v>#REF!</v>
      </c>
      <c r="Q184" s="69" t="e">
        <f>+GETPIVOTDATA("Ampliación ",#REF!,"No. Ramo",8,"IPP","G","PP",1,"UR","B00")*65.6957991250357%+GETPIVOTDATA("Ampliación ",#REF!,"No. Ramo",8,"IPP","K","PP",24,"UR","B00")+GETPIVOTDATA("Ampliación ",#REF!,"No. Ramo",8,"IPP","M","PP",1,"UR","B00")*4.4757612086105%+GETPIVOTDATA("Ampliación ",#REF!,"No. Ramo",8,"IPP","P","PP",1,"UR","B00")+GETPIVOTDATA("Ampliación ",#REF!,"No. Ramo",8,"IPP","R","PP",3,"UR","B00")+GETPIVOTDATA("Ampliación ",#REF!,"No. Ramo",8,"IPP","S","PP",232,"UR","B00")+GETPIVOTDATA("Ampliación ",#REF!,"No. Ramo",8,"IPP","U","PP",2,"UR","B00")</f>
        <v>#REF!</v>
      </c>
      <c r="R184" s="69" t="e">
        <f t="shared" ref="R184:R192" si="46">O184+Q184-P184</f>
        <v>#REF!</v>
      </c>
      <c r="S184" s="69"/>
      <c r="T184" s="69"/>
      <c r="U184" s="69" t="e">
        <f>+$I184*O184</f>
        <v>#REF!</v>
      </c>
      <c r="V184" s="69" t="e">
        <f>+$I184*P184</f>
        <v>#REF!</v>
      </c>
      <c r="W184" s="69" t="e">
        <f>+$I184*Q184</f>
        <v>#REF!</v>
      </c>
      <c r="X184" s="69" t="e">
        <f>+$I184*R184</f>
        <v>#REF!</v>
      </c>
      <c r="AH184" s="152"/>
      <c r="AI184" s="157" t="s">
        <v>983</v>
      </c>
      <c r="AJ184" s="158"/>
      <c r="AK184" s="158"/>
      <c r="AL184" s="155"/>
      <c r="AM184" s="150"/>
      <c r="AN184" s="150"/>
      <c r="AO184" s="151"/>
      <c r="AP184" s="146"/>
      <c r="AQ184" s="146"/>
      <c r="AR184" s="146"/>
      <c r="AS184" s="245"/>
      <c r="AT184" s="245"/>
      <c r="AU184" s="146"/>
      <c r="AX184" s="152"/>
      <c r="AY184" s="157" t="s">
        <v>983</v>
      </c>
      <c r="AZ184" s="158"/>
      <c r="BA184" s="158"/>
      <c r="BB184" s="155"/>
      <c r="BC184" s="189"/>
      <c r="BD184" s="189"/>
      <c r="BE184" s="190"/>
      <c r="BF184" s="187">
        <f t="shared" si="45"/>
        <v>0</v>
      </c>
    </row>
    <row r="185" spans="1:58">
      <c r="B185" s="28" t="s">
        <v>168</v>
      </c>
      <c r="C185" s="29" t="s">
        <v>682</v>
      </c>
      <c r="D185" s="29"/>
      <c r="E185" s="29"/>
      <c r="F185" s="28"/>
      <c r="G185" s="28"/>
      <c r="H185" s="28"/>
      <c r="I185" s="65"/>
      <c r="J185" s="28"/>
      <c r="K185" s="66" t="e">
        <f t="shared" ref="K185:Q185" si="47">+K186</f>
        <v>#REF!</v>
      </c>
      <c r="L185" s="66" t="e">
        <f t="shared" si="47"/>
        <v>#REF!</v>
      </c>
      <c r="M185" s="66" t="e">
        <f t="shared" si="47"/>
        <v>#REF!</v>
      </c>
      <c r="N185" s="66" t="e">
        <f t="shared" si="47"/>
        <v>#REF!</v>
      </c>
      <c r="O185" s="66" t="e">
        <f t="shared" si="47"/>
        <v>#REF!</v>
      </c>
      <c r="P185" s="66" t="e">
        <f t="shared" si="47"/>
        <v>#REF!</v>
      </c>
      <c r="Q185" s="66" t="e">
        <f t="shared" si="47"/>
        <v>#REF!</v>
      </c>
      <c r="R185" s="66" t="e">
        <f t="shared" si="46"/>
        <v>#REF!</v>
      </c>
      <c r="S185" s="66"/>
      <c r="T185" s="66"/>
      <c r="U185" s="66" t="e">
        <f>+U186</f>
        <v>#REF!</v>
      </c>
      <c r="V185" s="66" t="e">
        <f>+V186</f>
        <v>#REF!</v>
      </c>
      <c r="W185" s="66" t="e">
        <f>+W186</f>
        <v>#REF!</v>
      </c>
      <c r="X185" s="66" t="e">
        <f>+X186</f>
        <v>#REF!</v>
      </c>
      <c r="AH185" s="147" t="s">
        <v>168</v>
      </c>
      <c r="AI185" s="148" t="s">
        <v>682</v>
      </c>
      <c r="AJ185" s="160"/>
      <c r="AK185" s="160"/>
      <c r="AL185" s="149"/>
      <c r="AM185" s="150"/>
      <c r="AN185" s="150"/>
      <c r="AO185" s="151"/>
      <c r="AP185" s="146">
        <f t="shared" ref="AP185:AU185" si="48">AP186</f>
        <v>0</v>
      </c>
      <c r="AQ185" s="146">
        <f t="shared" si="48"/>
        <v>0</v>
      </c>
      <c r="AR185" s="146">
        <f t="shared" si="48"/>
        <v>0</v>
      </c>
      <c r="AS185" s="245"/>
      <c r="AT185" s="245"/>
      <c r="AU185" s="146">
        <f t="shared" si="48"/>
        <v>0</v>
      </c>
      <c r="AX185" s="147" t="s">
        <v>168</v>
      </c>
      <c r="AY185" s="148" t="s">
        <v>682</v>
      </c>
      <c r="AZ185" s="160"/>
      <c r="BA185" s="160"/>
      <c r="BB185" s="149"/>
      <c r="BC185" s="189"/>
      <c r="BD185" s="189"/>
      <c r="BE185" s="190"/>
      <c r="BF185" s="187">
        <f>BF186</f>
        <v>0</v>
      </c>
    </row>
    <row r="186" spans="1:58">
      <c r="B186" s="31"/>
      <c r="C186" s="30" t="s">
        <v>295</v>
      </c>
      <c r="D186" s="30"/>
      <c r="E186" s="30"/>
      <c r="F186" s="33" t="s">
        <v>810</v>
      </c>
      <c r="G186" s="33">
        <v>311</v>
      </c>
      <c r="H186" s="33"/>
      <c r="I186" s="67">
        <v>1</v>
      </c>
      <c r="J186" s="33"/>
      <c r="K186" s="69" t="e">
        <f>+GETPIVOTDATA("PPEF 2010 ",#REF!,"No. Ramo",15,"IPP","S","PP",203,"UR",311)</f>
        <v>#REF!</v>
      </c>
      <c r="L186" s="69" t="e">
        <f>+GETPIVOTDATA("Ampliación Neta DIP ",#REF!,"No. Ramo",15,"IPP","S","PP",203,"UR",311)</f>
        <v>#REF!</v>
      </c>
      <c r="M186" s="69" t="e">
        <f>+GETPIVOTDATA("Recorte SHCP ",#REF!,"No. Ramo",15,"IPP","S","PP",203,"UR",311)</f>
        <v>#REF!</v>
      </c>
      <c r="N186" s="69" t="e">
        <f>+GETPIVOTDATA("PEF 2010 ",#REF!,"No. Ramo",15,"IPP","S","PP",203,"UR",311)</f>
        <v>#REF!</v>
      </c>
      <c r="O186" s="69" t="e">
        <f>+GETPIVOTDATA("PPEF 2011 ",#REF!,"No. Ramo",15,"IPP","S","PP",203,"UR",311)</f>
        <v>#REF!</v>
      </c>
      <c r="P186" s="69" t="e">
        <f>+GETPIVOTDATA("Reducción ",#REF!,"No. Ramo",15,"IPP","S","PP",203,"UR",311)</f>
        <v>#REF!</v>
      </c>
      <c r="Q186" s="69" t="e">
        <f>+GETPIVOTDATA("Ampliación ",#REF!,"No. Ramo",15,"IPP","S","PP",203,"UR",311)</f>
        <v>#REF!</v>
      </c>
      <c r="R186" s="69" t="e">
        <f t="shared" si="46"/>
        <v>#REF!</v>
      </c>
      <c r="S186" s="69"/>
      <c r="T186" s="69"/>
      <c r="U186" s="69" t="e">
        <f>+$I186*O186</f>
        <v>#REF!</v>
      </c>
      <c r="V186" s="69" t="e">
        <f>+$I186*P186</f>
        <v>#REF!</v>
      </c>
      <c r="W186" s="69" t="e">
        <f>+$I186*Q186</f>
        <v>#REF!</v>
      </c>
      <c r="X186" s="69" t="e">
        <f>+$I186*R186</f>
        <v>#REF!</v>
      </c>
      <c r="AH186" s="152"/>
      <c r="AI186" s="157" t="s">
        <v>295</v>
      </c>
      <c r="AJ186" s="158"/>
      <c r="AK186" s="158"/>
      <c r="AL186" s="150"/>
      <c r="AM186" s="150"/>
      <c r="AN186" s="150"/>
      <c r="AO186" s="151"/>
      <c r="AP186" s="146"/>
      <c r="AQ186" s="146"/>
      <c r="AR186" s="146"/>
      <c r="AS186" s="245"/>
      <c r="AT186" s="245"/>
      <c r="AU186" s="146"/>
      <c r="AX186" s="152"/>
      <c r="AY186" s="157" t="s">
        <v>295</v>
      </c>
      <c r="AZ186" s="158"/>
      <c r="BA186" s="158"/>
      <c r="BB186" s="189"/>
      <c r="BC186" s="189"/>
      <c r="BD186" s="189"/>
      <c r="BE186" s="190"/>
      <c r="BF186" s="187">
        <f>+AU186</f>
        <v>0</v>
      </c>
    </row>
    <row r="187" spans="1:58">
      <c r="B187" s="28" t="s">
        <v>168</v>
      </c>
      <c r="C187" s="29" t="s">
        <v>690</v>
      </c>
      <c r="D187" s="29"/>
      <c r="E187" s="29"/>
      <c r="F187" s="28"/>
      <c r="G187" s="28"/>
      <c r="H187" s="28"/>
      <c r="I187" s="65"/>
      <c r="J187" s="28"/>
      <c r="K187" s="66" t="e">
        <f t="shared" ref="K187:Q187" si="49">+K188</f>
        <v>#REF!</v>
      </c>
      <c r="L187" s="66" t="e">
        <f t="shared" si="49"/>
        <v>#REF!</v>
      </c>
      <c r="M187" s="66" t="e">
        <f t="shared" si="49"/>
        <v>#REF!</v>
      </c>
      <c r="N187" s="66" t="e">
        <f t="shared" si="49"/>
        <v>#REF!</v>
      </c>
      <c r="O187" s="66" t="e">
        <f t="shared" si="49"/>
        <v>#REF!</v>
      </c>
      <c r="P187" s="66" t="e">
        <f t="shared" si="49"/>
        <v>#REF!</v>
      </c>
      <c r="Q187" s="66" t="e">
        <f t="shared" si="49"/>
        <v>#REF!</v>
      </c>
      <c r="R187" s="66" t="e">
        <f t="shared" si="46"/>
        <v>#REF!</v>
      </c>
      <c r="S187" s="66"/>
      <c r="T187" s="66"/>
      <c r="U187" s="66" t="e">
        <f>+U188</f>
        <v>#REF!</v>
      </c>
      <c r="V187" s="66" t="e">
        <f>+V188</f>
        <v>#REF!</v>
      </c>
      <c r="W187" s="66" t="e">
        <f>+W188</f>
        <v>#REF!</v>
      </c>
      <c r="X187" s="66" t="e">
        <f>+X188</f>
        <v>#REF!</v>
      </c>
      <c r="AH187" s="147" t="s">
        <v>168</v>
      </c>
      <c r="AI187" s="148" t="s">
        <v>690</v>
      </c>
      <c r="AJ187" s="160"/>
      <c r="AK187" s="160"/>
      <c r="AL187" s="150"/>
      <c r="AM187" s="150"/>
      <c r="AN187" s="150"/>
      <c r="AO187" s="151"/>
      <c r="AP187" s="146">
        <f>AP188</f>
        <v>0</v>
      </c>
      <c r="AQ187" s="146">
        <f>AQ188</f>
        <v>0</v>
      </c>
      <c r="AR187" s="146">
        <f>AR188</f>
        <v>0</v>
      </c>
      <c r="AS187" s="245"/>
      <c r="AT187" s="245"/>
      <c r="AU187" s="146">
        <f>AU188</f>
        <v>0</v>
      </c>
      <c r="AX187" s="147" t="s">
        <v>168</v>
      </c>
      <c r="AY187" s="148" t="s">
        <v>690</v>
      </c>
      <c r="AZ187" s="160"/>
      <c r="BA187" s="160"/>
      <c r="BB187" s="189"/>
      <c r="BC187" s="189"/>
      <c r="BD187" s="189"/>
      <c r="BE187" s="190"/>
      <c r="BF187" s="187">
        <f>BF188</f>
        <v>0</v>
      </c>
    </row>
    <row r="188" spans="1:58">
      <c r="B188" s="31"/>
      <c r="C188" s="30" t="s">
        <v>691</v>
      </c>
      <c r="D188" s="30"/>
      <c r="E188" s="30"/>
      <c r="F188" s="33" t="s">
        <v>811</v>
      </c>
      <c r="G188" s="33" t="s">
        <v>372</v>
      </c>
      <c r="H188" s="33"/>
      <c r="I188" s="67">
        <v>1</v>
      </c>
      <c r="J188" s="33"/>
      <c r="K188" s="69" t="e">
        <f>+GETPIVOTDATA("PPEF 2010 ",#REF!,"No. Ramo",20,"IPP","S","PP",57,"UR","VZG")</f>
        <v>#REF!</v>
      </c>
      <c r="L188" s="69" t="e">
        <f>+GETPIVOTDATA("Ampliación Neta DIP ",#REF!,"No. Ramo",20,"IPP","S","PP",57,"UR","VZG")</f>
        <v>#REF!</v>
      </c>
      <c r="M188" s="69" t="e">
        <f>+GETPIVOTDATA("Recorte SHCP ",#REF!,"No. Ramo",20,"IPP","S","PP",57,"UR","VZG")</f>
        <v>#REF!</v>
      </c>
      <c r="N188" s="69" t="e">
        <f>+GETPIVOTDATA("PEF 2010 ",#REF!,"No. Ramo",20,"IPP","S","PP",57,"UR","VZG")</f>
        <v>#REF!</v>
      </c>
      <c r="O188" s="69" t="e">
        <f>+GETPIVOTDATA("PPEF 2011 ",#REF!,"No. Ramo",20,"IPP","S","PP",57,"UR","VZG")</f>
        <v>#REF!</v>
      </c>
      <c r="P188" s="69" t="e">
        <f>+GETPIVOTDATA("Reducción ",#REF!,"No. Ramo",20,"IPP","S","PP",57,"UR","VZG")</f>
        <v>#REF!</v>
      </c>
      <c r="Q188" s="69" t="e">
        <f>+GETPIVOTDATA("Ampliación ",#REF!,"No. Ramo",20,"IPP","S","PP",57,"UR","VZG")</f>
        <v>#REF!</v>
      </c>
      <c r="R188" s="69" t="e">
        <f t="shared" si="46"/>
        <v>#REF!</v>
      </c>
      <c r="S188" s="69"/>
      <c r="T188" s="69"/>
      <c r="U188" s="69" t="e">
        <f>+$I188*O188</f>
        <v>#REF!</v>
      </c>
      <c r="V188" s="69" t="e">
        <f>+$I188*P188</f>
        <v>#REF!</v>
      </c>
      <c r="W188" s="69" t="e">
        <f>+$I188*Q188</f>
        <v>#REF!</v>
      </c>
      <c r="X188" s="69" t="e">
        <f>+$I188*R188</f>
        <v>#REF!</v>
      </c>
      <c r="AH188" s="152"/>
      <c r="AI188" s="157" t="s">
        <v>691</v>
      </c>
      <c r="AJ188" s="158"/>
      <c r="AK188" s="158"/>
      <c r="AL188" s="150"/>
      <c r="AM188" s="150"/>
      <c r="AN188" s="150"/>
      <c r="AO188" s="151"/>
      <c r="AP188" s="146"/>
      <c r="AQ188" s="146"/>
      <c r="AR188" s="146"/>
      <c r="AS188" s="245"/>
      <c r="AT188" s="245"/>
      <c r="AU188" s="146"/>
      <c r="AX188" s="152"/>
      <c r="AY188" s="157" t="s">
        <v>691</v>
      </c>
      <c r="AZ188" s="158"/>
      <c r="BA188" s="158"/>
      <c r="BB188" s="189"/>
      <c r="BC188" s="189"/>
      <c r="BD188" s="189"/>
      <c r="BE188" s="190"/>
      <c r="BF188" s="187">
        <f>+AU188</f>
        <v>0</v>
      </c>
    </row>
    <row r="189" spans="1:58">
      <c r="A189" s="122">
        <v>1</v>
      </c>
      <c r="B189" s="26"/>
      <c r="C189" s="27" t="s">
        <v>692</v>
      </c>
      <c r="D189" s="27"/>
      <c r="E189" s="27"/>
      <c r="F189" s="61"/>
      <c r="G189" s="61"/>
      <c r="H189" s="61"/>
      <c r="I189" s="62"/>
      <c r="J189" s="61"/>
      <c r="K189" s="63" t="e">
        <f t="shared" ref="K189:Q189" si="50">+K190+K215+K218+K220</f>
        <v>#REF!</v>
      </c>
      <c r="L189" s="63" t="e">
        <f t="shared" si="50"/>
        <v>#REF!</v>
      </c>
      <c r="M189" s="63" t="e">
        <f t="shared" si="50"/>
        <v>#REF!</v>
      </c>
      <c r="N189" s="63" t="e">
        <f t="shared" si="50"/>
        <v>#REF!</v>
      </c>
      <c r="O189" s="63" t="e">
        <f t="shared" si="50"/>
        <v>#REF!</v>
      </c>
      <c r="P189" s="63" t="e">
        <f t="shared" si="50"/>
        <v>#REF!</v>
      </c>
      <c r="Q189" s="63" t="e">
        <f t="shared" si="50"/>
        <v>#REF!</v>
      </c>
      <c r="R189" s="63" t="e">
        <f t="shared" si="46"/>
        <v>#REF!</v>
      </c>
      <c r="S189" s="63"/>
      <c r="T189" s="63"/>
      <c r="U189" s="63" t="e">
        <f>+U190+U215+U218+U220</f>
        <v>#REF!</v>
      </c>
      <c r="V189" s="63" t="e">
        <f>+V190+V215+V218+V220</f>
        <v>#REF!</v>
      </c>
      <c r="W189" s="63" t="e">
        <f>+W190+W215+W218+W220</f>
        <v>#REF!</v>
      </c>
      <c r="X189" s="63" t="e">
        <f>+X190+X215+X218+X220</f>
        <v>#REF!</v>
      </c>
      <c r="Y189" s="82" t="e">
        <f>3940.3-X189/1000000</f>
        <v>#REF!</v>
      </c>
      <c r="Z189" s="83"/>
      <c r="AH189" s="147"/>
      <c r="AI189" s="148" t="s">
        <v>692</v>
      </c>
      <c r="AJ189" s="160"/>
      <c r="AK189" s="160"/>
      <c r="AL189" s="149"/>
      <c r="AM189" s="150"/>
      <c r="AN189" s="150"/>
      <c r="AO189" s="151"/>
      <c r="AP189" s="146">
        <f>AP190+AP215+AP218+AP220</f>
        <v>0</v>
      </c>
      <c r="AQ189" s="146">
        <f>AQ190+AQ215+AQ218+AQ220</f>
        <v>0</v>
      </c>
      <c r="AR189" s="146">
        <f>AR190+AR215+AR218+AR220</f>
        <v>0</v>
      </c>
      <c r="AS189" s="245"/>
      <c r="AT189" s="245"/>
      <c r="AU189" s="146">
        <f>AU190+AU215+AU218+AU220</f>
        <v>0</v>
      </c>
      <c r="AX189" s="147"/>
      <c r="AY189" s="148" t="s">
        <v>692</v>
      </c>
      <c r="AZ189" s="160"/>
      <c r="BA189" s="160"/>
      <c r="BB189" s="149"/>
      <c r="BC189" s="189"/>
      <c r="BD189" s="189"/>
      <c r="BE189" s="190"/>
      <c r="BF189" s="187">
        <f>BF190+BF215+BF218+BF220</f>
        <v>0</v>
      </c>
    </row>
    <row r="190" spans="1:58">
      <c r="A190" s="122">
        <v>1</v>
      </c>
      <c r="B190" s="28" t="s">
        <v>168</v>
      </c>
      <c r="C190" s="29" t="s">
        <v>660</v>
      </c>
      <c r="D190" s="29"/>
      <c r="E190" s="29"/>
      <c r="F190" s="28"/>
      <c r="G190" s="28"/>
      <c r="H190" s="28"/>
      <c r="I190" s="65"/>
      <c r="J190" s="28"/>
      <c r="K190" s="66" t="e">
        <f t="shared" ref="K190:Q190" si="51">K191+K201+K212</f>
        <v>#REF!</v>
      </c>
      <c r="L190" s="66" t="e">
        <f t="shared" si="51"/>
        <v>#REF!</v>
      </c>
      <c r="M190" s="66" t="e">
        <f t="shared" si="51"/>
        <v>#REF!</v>
      </c>
      <c r="N190" s="66" t="e">
        <f t="shared" si="51"/>
        <v>#REF!</v>
      </c>
      <c r="O190" s="66" t="e">
        <f t="shared" si="51"/>
        <v>#REF!</v>
      </c>
      <c r="P190" s="66" t="e">
        <f t="shared" si="51"/>
        <v>#REF!</v>
      </c>
      <c r="Q190" s="66" t="e">
        <f t="shared" si="51"/>
        <v>#REF!</v>
      </c>
      <c r="R190" s="66" t="e">
        <f t="shared" si="46"/>
        <v>#REF!</v>
      </c>
      <c r="S190" s="66"/>
      <c r="T190" s="66"/>
      <c r="U190" s="66" t="e">
        <f>U191+U201+U212</f>
        <v>#REF!</v>
      </c>
      <c r="V190" s="66" t="e">
        <f>V191+V201+V212</f>
        <v>#REF!</v>
      </c>
      <c r="W190" s="66" t="e">
        <f>W191+W201+W212</f>
        <v>#REF!</v>
      </c>
      <c r="X190" s="66" t="e">
        <f>X191+X201+X212</f>
        <v>#REF!</v>
      </c>
      <c r="Z190" s="84"/>
      <c r="AH190" s="147" t="s">
        <v>168</v>
      </c>
      <c r="AI190" s="148" t="s">
        <v>660</v>
      </c>
      <c r="AJ190" s="160"/>
      <c r="AK190" s="160"/>
      <c r="AL190" s="149"/>
      <c r="AM190" s="150"/>
      <c r="AN190" s="150"/>
      <c r="AO190" s="151"/>
      <c r="AP190" s="146">
        <f t="shared" ref="AP190:AU190" si="52">AP191+AP201+AP212</f>
        <v>0</v>
      </c>
      <c r="AQ190" s="146">
        <f t="shared" si="52"/>
        <v>0</v>
      </c>
      <c r="AR190" s="146">
        <f t="shared" si="52"/>
        <v>0</v>
      </c>
      <c r="AS190" s="245"/>
      <c r="AT190" s="245"/>
      <c r="AU190" s="146">
        <f t="shared" si="52"/>
        <v>0</v>
      </c>
      <c r="AX190" s="147" t="s">
        <v>168</v>
      </c>
      <c r="AY190" s="148" t="s">
        <v>660</v>
      </c>
      <c r="AZ190" s="160"/>
      <c r="BA190" s="160"/>
      <c r="BB190" s="149"/>
      <c r="BC190" s="189"/>
      <c r="BD190" s="189"/>
      <c r="BE190" s="190"/>
      <c r="BF190" s="187">
        <f>BF191+BF201+BF212</f>
        <v>0</v>
      </c>
    </row>
    <row r="191" spans="1:58">
      <c r="A191" s="122">
        <v>1</v>
      </c>
      <c r="B191" s="31"/>
      <c r="C191" s="30"/>
      <c r="D191" s="30" t="s">
        <v>693</v>
      </c>
      <c r="E191" s="30"/>
      <c r="F191" s="33"/>
      <c r="G191" s="33"/>
      <c r="H191" s="33"/>
      <c r="I191" s="67"/>
      <c r="J191" s="33"/>
      <c r="K191" s="69" t="e">
        <f t="shared" ref="K191:Q191" si="53">+SUM(K192:K200)</f>
        <v>#REF!</v>
      </c>
      <c r="L191" s="69" t="e">
        <f t="shared" si="53"/>
        <v>#REF!</v>
      </c>
      <c r="M191" s="69" t="e">
        <f t="shared" si="53"/>
        <v>#REF!</v>
      </c>
      <c r="N191" s="69" t="e">
        <f t="shared" si="53"/>
        <v>#REF!</v>
      </c>
      <c r="O191" s="69" t="e">
        <f t="shared" si="53"/>
        <v>#REF!</v>
      </c>
      <c r="P191" s="69" t="e">
        <f t="shared" si="53"/>
        <v>#REF!</v>
      </c>
      <c r="Q191" s="69" t="e">
        <f t="shared" si="53"/>
        <v>#REF!</v>
      </c>
      <c r="R191" s="69" t="e">
        <f t="shared" si="46"/>
        <v>#REF!</v>
      </c>
      <c r="S191" s="69"/>
      <c r="T191" s="69"/>
      <c r="U191" s="69" t="e">
        <f>+SUM(U192:U200)</f>
        <v>#REF!</v>
      </c>
      <c r="V191" s="69" t="e">
        <f>+SUM(V192:V200)</f>
        <v>#REF!</v>
      </c>
      <c r="W191" s="69" t="e">
        <f>+SUM(W192:W200)</f>
        <v>#REF!</v>
      </c>
      <c r="X191" s="69" t="e">
        <f>+SUM(X192:X200)</f>
        <v>#REF!</v>
      </c>
      <c r="AH191" s="152"/>
      <c r="AI191" s="157" t="s">
        <v>693</v>
      </c>
      <c r="AJ191" s="150"/>
      <c r="AK191" s="158"/>
      <c r="AL191" s="155"/>
      <c r="AM191" s="150"/>
      <c r="AN191" s="150"/>
      <c r="AO191" s="151"/>
      <c r="AP191" s="146">
        <f t="shared" ref="AP191:AU191" si="54">AP192+AP193</f>
        <v>0</v>
      </c>
      <c r="AQ191" s="146">
        <f t="shared" si="54"/>
        <v>0</v>
      </c>
      <c r="AR191" s="146">
        <f t="shared" si="54"/>
        <v>0</v>
      </c>
      <c r="AS191" s="245"/>
      <c r="AT191" s="245"/>
      <c r="AU191" s="146">
        <f t="shared" si="54"/>
        <v>0</v>
      </c>
      <c r="AX191" s="152"/>
      <c r="AY191" s="157" t="s">
        <v>693</v>
      </c>
      <c r="AZ191" s="189"/>
      <c r="BA191" s="158"/>
      <c r="BB191" s="155"/>
      <c r="BC191" s="189"/>
      <c r="BD191" s="189"/>
      <c r="BE191" s="190"/>
      <c r="BF191" s="187">
        <f>BF192+BF193</f>
        <v>0</v>
      </c>
    </row>
    <row r="192" spans="1:58">
      <c r="A192" s="122">
        <v>1</v>
      </c>
      <c r="B192" s="31"/>
      <c r="C192" s="30"/>
      <c r="D192" s="100" t="s">
        <v>985</v>
      </c>
      <c r="E192" s="30"/>
      <c r="F192" s="33" t="s">
        <v>812</v>
      </c>
      <c r="G192" s="33">
        <v>413</v>
      </c>
      <c r="H192" s="33"/>
      <c r="I192" s="67">
        <v>1</v>
      </c>
      <c r="J192" s="67">
        <v>0.38717416941157334</v>
      </c>
      <c r="K192" s="69" t="e">
        <f>+GETPIVOTDATA("PPEF 2010 ",#REF!,"No. Ramo",8,"IPP","S","PP",233,"UR",413)*$J192</f>
        <v>#REF!</v>
      </c>
      <c r="L192" s="69" t="e">
        <f>+GETPIVOTDATA("Ampliación Neta DIP ",#REF!,"No. Ramo",8,"IPP","S","PP",233,"UR",413)*$J192</f>
        <v>#REF!</v>
      </c>
      <c r="M192" s="69" t="e">
        <f>+GETPIVOTDATA("Recorte SHCP ",#REF!,"No. Ramo",8,"IPP","S","PP",233,"UR",413)*$J192</f>
        <v>#REF!</v>
      </c>
      <c r="N192" s="69" t="e">
        <f>+GETPIVOTDATA("PEF 2010 ",#REF!,"No. Ramo",8,"IPP","S","PP",233,"UR",413)*$J192</f>
        <v>#REF!</v>
      </c>
      <c r="O192" s="69" t="e">
        <f>+GETPIVOTDATA("PPEF 2011 ",#REF!,"No. Ramo",8,"IPP","S","PP",233,"UR",413)*$J192</f>
        <v>#REF!</v>
      </c>
      <c r="P192" s="69" t="e">
        <f>+GETPIVOTDATA("Reducción ",#REF!,"No. Ramo",8,"IPP","S","PP",233,"UR",413)*$J192</f>
        <v>#REF!</v>
      </c>
      <c r="Q192" s="69" t="e">
        <f>+GETPIVOTDATA("Ampliación ",#REF!,"No. Ramo",8,"IPP","S","PP",233,"UR",413)*$J192</f>
        <v>#REF!</v>
      </c>
      <c r="R192" s="69" t="e">
        <f t="shared" si="46"/>
        <v>#REF!</v>
      </c>
      <c r="S192" s="69"/>
      <c r="T192" s="69"/>
      <c r="U192" s="69" t="e">
        <f>+$I192*O192</f>
        <v>#REF!</v>
      </c>
      <c r="V192" s="69" t="e">
        <f>+$I192*P192</f>
        <v>#REF!</v>
      </c>
      <c r="W192" s="69" t="e">
        <f>+$I192*Q192</f>
        <v>#REF!</v>
      </c>
      <c r="X192" s="69" t="e">
        <f>+$I192*R192</f>
        <v>#REF!</v>
      </c>
      <c r="AH192" s="152"/>
      <c r="AI192" s="156"/>
      <c r="AJ192" s="154" t="s">
        <v>985</v>
      </c>
      <c r="AK192" s="158"/>
      <c r="AL192" s="150"/>
      <c r="AM192" s="150"/>
      <c r="AN192" s="150"/>
      <c r="AO192" s="151"/>
      <c r="AP192" s="146"/>
      <c r="AQ192" s="146"/>
      <c r="AR192" s="146"/>
      <c r="AS192" s="245"/>
      <c r="AT192" s="245"/>
      <c r="AU192" s="146"/>
      <c r="AX192" s="152"/>
      <c r="AY192" s="191"/>
      <c r="AZ192" s="154" t="s">
        <v>985</v>
      </c>
      <c r="BA192" s="158"/>
      <c r="BB192" s="189"/>
      <c r="BC192" s="189"/>
      <c r="BD192" s="189"/>
      <c r="BE192" s="190"/>
      <c r="BF192" s="187">
        <f>+AU192</f>
        <v>0</v>
      </c>
    </row>
    <row r="193" spans="1:60" s="113" customFormat="1">
      <c r="A193" s="122">
        <v>1</v>
      </c>
      <c r="B193" s="31"/>
      <c r="C193" s="30"/>
      <c r="D193" s="100" t="s">
        <v>984</v>
      </c>
      <c r="E193" s="30"/>
      <c r="F193" s="33"/>
      <c r="G193" s="33"/>
      <c r="H193" s="33"/>
      <c r="I193" s="67"/>
      <c r="J193" s="67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/>
      <c r="Z193"/>
      <c r="AA193"/>
      <c r="AB193"/>
      <c r="AC193"/>
      <c r="AD193"/>
      <c r="AE193"/>
      <c r="AF193"/>
      <c r="AG193"/>
      <c r="AH193" s="152"/>
      <c r="AI193" s="156"/>
      <c r="AJ193" s="154" t="s">
        <v>984</v>
      </c>
      <c r="AK193" s="158"/>
      <c r="AL193" s="150"/>
      <c r="AM193" s="150"/>
      <c r="AN193" s="150"/>
      <c r="AO193" s="151"/>
      <c r="AP193" s="146">
        <f t="shared" ref="AP193:AU193" si="55">SUM(AP194:AP200)</f>
        <v>0</v>
      </c>
      <c r="AQ193" s="146">
        <f t="shared" si="55"/>
        <v>0</v>
      </c>
      <c r="AR193" s="146">
        <f t="shared" si="55"/>
        <v>0</v>
      </c>
      <c r="AS193" s="245"/>
      <c r="AT193" s="245"/>
      <c r="AU193" s="146">
        <f t="shared" si="55"/>
        <v>0</v>
      </c>
      <c r="AV193" s="195"/>
      <c r="AW193" s="195"/>
      <c r="AX193" s="152"/>
      <c r="AY193" s="191"/>
      <c r="AZ193" s="154" t="s">
        <v>984</v>
      </c>
      <c r="BA193" s="158"/>
      <c r="BB193" s="189"/>
      <c r="BC193" s="189"/>
      <c r="BD193" s="189"/>
      <c r="BE193" s="190"/>
      <c r="BF193" s="187">
        <f>SUM(BF194:BF200)</f>
        <v>0</v>
      </c>
      <c r="BG193" s="195"/>
      <c r="BH193" s="195"/>
    </row>
    <row r="194" spans="1:60" s="113" customFormat="1">
      <c r="A194" s="122">
        <v>1</v>
      </c>
      <c r="B194" s="111"/>
      <c r="C194" s="110"/>
      <c r="D194" s="116" t="s">
        <v>941</v>
      </c>
      <c r="E194" s="110"/>
      <c r="F194" s="80" t="s">
        <v>812</v>
      </c>
      <c r="G194" s="80">
        <v>413</v>
      </c>
      <c r="H194" s="80"/>
      <c r="I194" s="112"/>
      <c r="J194" s="112">
        <v>0</v>
      </c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AH194" s="152"/>
      <c r="AI194" s="156"/>
      <c r="AJ194" s="150"/>
      <c r="AK194" s="154" t="s">
        <v>941</v>
      </c>
      <c r="AL194" s="150"/>
      <c r="AM194" s="150"/>
      <c r="AN194" s="150"/>
      <c r="AO194" s="151"/>
      <c r="AP194" s="146"/>
      <c r="AQ194" s="146"/>
      <c r="AR194" s="146"/>
      <c r="AS194" s="245"/>
      <c r="AT194" s="245"/>
      <c r="AU194" s="146"/>
      <c r="AV194" s="195"/>
      <c r="AW194" s="195"/>
      <c r="AX194" s="152"/>
      <c r="AY194" s="191"/>
      <c r="AZ194" s="189"/>
      <c r="BA194" s="154" t="s">
        <v>941</v>
      </c>
      <c r="BB194" s="189"/>
      <c r="BC194" s="189"/>
      <c r="BD194" s="189"/>
      <c r="BE194" s="190"/>
      <c r="BF194" s="187">
        <f t="shared" ref="BF194:BF200" si="56">+AU194</f>
        <v>0</v>
      </c>
      <c r="BG194" s="195"/>
      <c r="BH194" s="195"/>
    </row>
    <row r="195" spans="1:60" s="113" customFormat="1">
      <c r="A195" s="122">
        <v>1</v>
      </c>
      <c r="B195" s="111"/>
      <c r="C195" s="110"/>
      <c r="D195" s="116" t="s">
        <v>986</v>
      </c>
      <c r="E195" s="110"/>
      <c r="F195" s="80" t="s">
        <v>812</v>
      </c>
      <c r="G195" s="80">
        <v>413</v>
      </c>
      <c r="H195" s="80"/>
      <c r="I195" s="112"/>
      <c r="J195" s="112">
        <v>0</v>
      </c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AH195" s="152"/>
      <c r="AI195" s="156"/>
      <c r="AJ195" s="150"/>
      <c r="AK195" s="154" t="s">
        <v>986</v>
      </c>
      <c r="AL195" s="150"/>
      <c r="AM195" s="150"/>
      <c r="AN195" s="150"/>
      <c r="AO195" s="151"/>
      <c r="AP195" s="146"/>
      <c r="AQ195" s="146"/>
      <c r="AR195" s="146"/>
      <c r="AS195" s="245"/>
      <c r="AT195" s="245"/>
      <c r="AU195" s="146"/>
      <c r="AV195" s="195"/>
      <c r="AW195" s="195"/>
      <c r="AX195" s="152"/>
      <c r="AY195" s="191"/>
      <c r="AZ195" s="189"/>
      <c r="BA195" s="154" t="s">
        <v>986</v>
      </c>
      <c r="BB195" s="189"/>
      <c r="BC195" s="189"/>
      <c r="BD195" s="189"/>
      <c r="BE195" s="190"/>
      <c r="BF195" s="187">
        <f t="shared" si="56"/>
        <v>0</v>
      </c>
      <c r="BG195" s="195"/>
      <c r="BH195" s="195"/>
    </row>
    <row r="196" spans="1:60">
      <c r="A196" s="122">
        <v>1</v>
      </c>
      <c r="B196" s="111"/>
      <c r="C196" s="110"/>
      <c r="D196" s="116" t="s">
        <v>943</v>
      </c>
      <c r="E196" s="110"/>
      <c r="F196" s="80" t="s">
        <v>812</v>
      </c>
      <c r="G196" s="80">
        <v>413</v>
      </c>
      <c r="H196" s="80"/>
      <c r="I196" s="112"/>
      <c r="J196" s="112">
        <v>0</v>
      </c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113"/>
      <c r="Z196" s="113"/>
      <c r="AA196" s="113"/>
      <c r="AB196" s="113"/>
      <c r="AC196" s="113"/>
      <c r="AD196" s="113"/>
      <c r="AE196" s="113"/>
      <c r="AF196" s="113"/>
      <c r="AG196" s="113"/>
      <c r="AH196" s="152"/>
      <c r="AI196" s="156"/>
      <c r="AJ196" s="150"/>
      <c r="AK196" s="154" t="s">
        <v>943</v>
      </c>
      <c r="AL196" s="150"/>
      <c r="AM196" s="150"/>
      <c r="AN196" s="150"/>
      <c r="AO196" s="151"/>
      <c r="AP196" s="146"/>
      <c r="AQ196" s="146"/>
      <c r="AR196" s="146"/>
      <c r="AS196" s="245"/>
      <c r="AT196" s="245"/>
      <c r="AU196" s="146"/>
      <c r="AX196" s="152"/>
      <c r="AY196" s="191"/>
      <c r="AZ196" s="189"/>
      <c r="BA196" s="154" t="s">
        <v>943</v>
      </c>
      <c r="BB196" s="189"/>
      <c r="BC196" s="189"/>
      <c r="BD196" s="189"/>
      <c r="BE196" s="190"/>
      <c r="BF196" s="187">
        <f t="shared" si="56"/>
        <v>0</v>
      </c>
    </row>
    <row r="197" spans="1:60">
      <c r="A197" s="122">
        <v>1</v>
      </c>
      <c r="B197" s="31"/>
      <c r="C197" s="30"/>
      <c r="D197" s="102" t="s">
        <v>694</v>
      </c>
      <c r="E197" s="30"/>
      <c r="F197" s="33" t="s">
        <v>812</v>
      </c>
      <c r="G197" s="33">
        <v>413</v>
      </c>
      <c r="H197" s="33"/>
      <c r="I197" s="67">
        <v>1</v>
      </c>
      <c r="J197" s="67">
        <v>0.10979626692692449</v>
      </c>
      <c r="K197" s="69" t="e">
        <f>+GETPIVOTDATA("PPEF 2010 ",#REF!,"No. Ramo",8,"IPP","S","PP",233,"UR",413)*$J197</f>
        <v>#REF!</v>
      </c>
      <c r="L197" s="69" t="e">
        <f>+GETPIVOTDATA("Ampliación Neta DIP ",#REF!,"No. Ramo",8,"IPP","S","PP",233,"UR",413)*$J197</f>
        <v>#REF!</v>
      </c>
      <c r="M197" s="69" t="e">
        <f>+GETPIVOTDATA("Recorte SHCP ",#REF!,"No. Ramo",8,"IPP","S","PP",233,"UR",413)*$J197</f>
        <v>#REF!</v>
      </c>
      <c r="N197" s="69" t="e">
        <f>+GETPIVOTDATA("PEF 2010 ",#REF!,"No. Ramo",8,"IPP","S","PP",233,"UR",413)*$J197</f>
        <v>#REF!</v>
      </c>
      <c r="O197" s="69" t="e">
        <f>+GETPIVOTDATA("PPEF 2011 ",#REF!,"No. Ramo",8,"IPP","S","PP",233,"UR",413)*$J197</f>
        <v>#REF!</v>
      </c>
      <c r="P197" s="69" t="e">
        <f>+GETPIVOTDATA("Reducción ",#REF!,"No. Ramo",8,"IPP","S","PP",233,"UR",413)*$J197</f>
        <v>#REF!</v>
      </c>
      <c r="Q197" s="69" t="e">
        <f>+GETPIVOTDATA("Ampliación ",#REF!,"No. Ramo",8,"IPP","S","PP",233,"UR",413)*$J197</f>
        <v>#REF!</v>
      </c>
      <c r="R197" s="69" t="e">
        <f>O197+Q197-P197</f>
        <v>#REF!</v>
      </c>
      <c r="S197" s="69"/>
      <c r="T197" s="69"/>
      <c r="U197" s="69" t="e">
        <f t="shared" ref="U197:X201" si="57">+$I197*O197</f>
        <v>#REF!</v>
      </c>
      <c r="V197" s="69" t="e">
        <f t="shared" si="57"/>
        <v>#REF!</v>
      </c>
      <c r="W197" s="69" t="e">
        <f t="shared" si="57"/>
        <v>#REF!</v>
      </c>
      <c r="X197" s="69" t="e">
        <f t="shared" si="57"/>
        <v>#REF!</v>
      </c>
      <c r="AH197" s="152"/>
      <c r="AI197" s="156"/>
      <c r="AJ197" s="150"/>
      <c r="AK197" s="154" t="s">
        <v>694</v>
      </c>
      <c r="AL197" s="150"/>
      <c r="AM197" s="150"/>
      <c r="AN197" s="150"/>
      <c r="AO197" s="151"/>
      <c r="AP197" s="146"/>
      <c r="AQ197" s="146"/>
      <c r="AR197" s="146"/>
      <c r="AS197" s="245"/>
      <c r="AT197" s="245"/>
      <c r="AU197" s="146"/>
      <c r="AX197" s="152"/>
      <c r="AY197" s="191"/>
      <c r="AZ197" s="189"/>
      <c r="BA197" s="154" t="s">
        <v>694</v>
      </c>
      <c r="BB197" s="189"/>
      <c r="BC197" s="189"/>
      <c r="BD197" s="189"/>
      <c r="BE197" s="190"/>
      <c r="BF197" s="187">
        <f t="shared" si="56"/>
        <v>0</v>
      </c>
    </row>
    <row r="198" spans="1:60">
      <c r="A198" s="122">
        <v>1</v>
      </c>
      <c r="B198" s="31"/>
      <c r="C198" s="30"/>
      <c r="D198" s="102" t="s">
        <v>668</v>
      </c>
      <c r="E198" s="30"/>
      <c r="F198" s="33" t="s">
        <v>812</v>
      </c>
      <c r="G198" s="33">
        <v>413</v>
      </c>
      <c r="H198" s="33"/>
      <c r="I198" s="67">
        <v>1</v>
      </c>
      <c r="J198" s="67">
        <v>0.10166321011752268</v>
      </c>
      <c r="K198" s="69" t="e">
        <f>+GETPIVOTDATA("PPEF 2010 ",#REF!,"No. Ramo",8,"IPP","S","PP",233,"UR",413)*$J198</f>
        <v>#REF!</v>
      </c>
      <c r="L198" s="69" t="e">
        <f>+GETPIVOTDATA("Ampliación Neta DIP ",#REF!,"No. Ramo",8,"IPP","S","PP",233,"UR",413)*$J198</f>
        <v>#REF!</v>
      </c>
      <c r="M198" s="69" t="e">
        <f>+GETPIVOTDATA("Recorte SHCP ",#REF!,"No. Ramo",8,"IPP","S","PP",233,"UR",413)*$J198</f>
        <v>#REF!</v>
      </c>
      <c r="N198" s="69" t="e">
        <f>+GETPIVOTDATA("PEF 2010 ",#REF!,"No. Ramo",8,"IPP","S","PP",233,"UR",413)*$J198</f>
        <v>#REF!</v>
      </c>
      <c r="O198" s="69" t="e">
        <f>+GETPIVOTDATA("PPEF 2011 ",#REF!,"No. Ramo",8,"IPP","S","PP",233,"UR",413)*$J198</f>
        <v>#REF!</v>
      </c>
      <c r="P198" s="69" t="e">
        <f>+GETPIVOTDATA("Reducción ",#REF!,"No. Ramo",8,"IPP","S","PP",233,"UR",413)*$J198</f>
        <v>#REF!</v>
      </c>
      <c r="Q198" s="69" t="e">
        <f>+GETPIVOTDATA("Ampliación ",#REF!,"No. Ramo",8,"IPP","S","PP",233,"UR",413)*$J198</f>
        <v>#REF!</v>
      </c>
      <c r="R198" s="69" t="e">
        <f>O198+Q198-P198</f>
        <v>#REF!</v>
      </c>
      <c r="S198" s="69"/>
      <c r="T198" s="69"/>
      <c r="U198" s="69" t="e">
        <f t="shared" si="57"/>
        <v>#REF!</v>
      </c>
      <c r="V198" s="69" t="e">
        <f t="shared" si="57"/>
        <v>#REF!</v>
      </c>
      <c r="W198" s="69" t="e">
        <f t="shared" si="57"/>
        <v>#REF!</v>
      </c>
      <c r="X198" s="69" t="e">
        <f t="shared" si="57"/>
        <v>#REF!</v>
      </c>
      <c r="AH198" s="152"/>
      <c r="AI198" s="156"/>
      <c r="AJ198" s="150"/>
      <c r="AK198" s="154" t="s">
        <v>668</v>
      </c>
      <c r="AL198" s="150"/>
      <c r="AM198" s="150"/>
      <c r="AN198" s="150"/>
      <c r="AO198" s="151"/>
      <c r="AP198" s="146"/>
      <c r="AQ198" s="146"/>
      <c r="AR198" s="146"/>
      <c r="AS198" s="245"/>
      <c r="AT198" s="245"/>
      <c r="AU198" s="146"/>
      <c r="AX198" s="152"/>
      <c r="AY198" s="191"/>
      <c r="AZ198" s="189"/>
      <c r="BA198" s="154" t="s">
        <v>668</v>
      </c>
      <c r="BB198" s="189"/>
      <c r="BC198" s="189"/>
      <c r="BD198" s="189"/>
      <c r="BE198" s="190"/>
      <c r="BF198" s="187">
        <f t="shared" si="56"/>
        <v>0</v>
      </c>
    </row>
    <row r="199" spans="1:60">
      <c r="A199" s="122">
        <v>1</v>
      </c>
      <c r="B199" s="31"/>
      <c r="C199" s="30"/>
      <c r="D199" s="102" t="s">
        <v>663</v>
      </c>
      <c r="E199" s="32"/>
      <c r="F199" s="33" t="s">
        <v>812</v>
      </c>
      <c r="G199" s="33">
        <v>413</v>
      </c>
      <c r="H199" s="76"/>
      <c r="I199" s="67">
        <v>1</v>
      </c>
      <c r="J199" s="81">
        <v>3.5378797120897892E-2</v>
      </c>
      <c r="K199" s="69" t="e">
        <f>+GETPIVOTDATA("PPEF 2010 ",#REF!,"No. Ramo",8,"IPP","S","PP",233,"UR",413)*$J199</f>
        <v>#REF!</v>
      </c>
      <c r="L199" s="69" t="e">
        <f>+GETPIVOTDATA("Ampliación Neta DIP ",#REF!,"No. Ramo",8,"IPP","S","PP",233,"UR",413)*$J199</f>
        <v>#REF!</v>
      </c>
      <c r="M199" s="69" t="e">
        <f>+GETPIVOTDATA("Recorte SHCP ",#REF!,"No. Ramo",8,"IPP","S","PP",233,"UR",413)*$J199</f>
        <v>#REF!</v>
      </c>
      <c r="N199" s="69" t="e">
        <f>+GETPIVOTDATA("PEF 2010 ",#REF!,"No. Ramo",8,"IPP","S","PP",233,"UR",413)*$J199</f>
        <v>#REF!</v>
      </c>
      <c r="O199" s="69" t="e">
        <f>+GETPIVOTDATA("PPEF 2011 ",#REF!,"No. Ramo",8,"IPP","S","PP",233,"UR",413)*$J199</f>
        <v>#REF!</v>
      </c>
      <c r="P199" s="69" t="e">
        <f>+GETPIVOTDATA("Reducción ",#REF!,"No. Ramo",8,"IPP","S","PP",233,"UR",413)*$J199</f>
        <v>#REF!</v>
      </c>
      <c r="Q199" s="69" t="e">
        <f>+GETPIVOTDATA("Ampliación ",#REF!,"No. Ramo",8,"IPP","S","PP",233,"UR",413)*$J199</f>
        <v>#REF!</v>
      </c>
      <c r="R199" s="69" t="e">
        <f>O199+Q199-P199</f>
        <v>#REF!</v>
      </c>
      <c r="S199" s="69"/>
      <c r="T199" s="69"/>
      <c r="U199" s="69" t="e">
        <f t="shared" si="57"/>
        <v>#REF!</v>
      </c>
      <c r="V199" s="69" t="e">
        <f t="shared" si="57"/>
        <v>#REF!</v>
      </c>
      <c r="W199" s="69" t="e">
        <f t="shared" si="57"/>
        <v>#REF!</v>
      </c>
      <c r="X199" s="69" t="e">
        <f t="shared" si="57"/>
        <v>#REF!</v>
      </c>
      <c r="AH199" s="152"/>
      <c r="AI199" s="156"/>
      <c r="AJ199" s="150"/>
      <c r="AK199" s="154" t="s">
        <v>663</v>
      </c>
      <c r="AL199" s="150"/>
      <c r="AM199" s="150"/>
      <c r="AN199" s="150"/>
      <c r="AO199" s="151"/>
      <c r="AP199" s="146"/>
      <c r="AQ199" s="146"/>
      <c r="AR199" s="146"/>
      <c r="AS199" s="245"/>
      <c r="AT199" s="245"/>
      <c r="AU199" s="146"/>
      <c r="AX199" s="152"/>
      <c r="AY199" s="191"/>
      <c r="AZ199" s="189"/>
      <c r="BA199" s="154" t="s">
        <v>663</v>
      </c>
      <c r="BB199" s="189"/>
      <c r="BC199" s="189"/>
      <c r="BD199" s="189"/>
      <c r="BE199" s="190"/>
      <c r="BF199" s="187">
        <f t="shared" si="56"/>
        <v>0</v>
      </c>
    </row>
    <row r="200" spans="1:60">
      <c r="A200" s="122">
        <v>1</v>
      </c>
      <c r="B200" s="31"/>
      <c r="C200" s="30"/>
      <c r="D200" s="102" t="s">
        <v>695</v>
      </c>
      <c r="E200" s="30"/>
      <c r="F200" s="33" t="s">
        <v>812</v>
      </c>
      <c r="G200" s="33">
        <v>413</v>
      </c>
      <c r="H200" s="33"/>
      <c r="I200" s="67">
        <v>1</v>
      </c>
      <c r="J200" s="67">
        <v>0.36598755642308162</v>
      </c>
      <c r="K200" s="69" t="e">
        <f>+GETPIVOTDATA("PPEF 2010 ",#REF!,"No. Ramo",8,"IPP","S","PP",233,"UR",413)*$J200</f>
        <v>#REF!</v>
      </c>
      <c r="L200" s="69" t="e">
        <f>+GETPIVOTDATA("Ampliación Neta DIP ",#REF!,"No. Ramo",8,"IPP","S","PP",233,"UR",413)*$J200</f>
        <v>#REF!</v>
      </c>
      <c r="M200" s="69" t="e">
        <f>+GETPIVOTDATA("Recorte SHCP ",#REF!,"No. Ramo",8,"IPP","S","PP",233,"UR",413)*$J200</f>
        <v>#REF!</v>
      </c>
      <c r="N200" s="69" t="e">
        <f>+GETPIVOTDATA("PEF 2010 ",#REF!,"No. Ramo",8,"IPP","S","PP",233,"UR",413)*$J200</f>
        <v>#REF!</v>
      </c>
      <c r="O200" s="69" t="e">
        <f>+GETPIVOTDATA("PPEF 2011 ",#REF!,"No. Ramo",8,"IPP","S","PP",233,"UR",413)*$J200</f>
        <v>#REF!</v>
      </c>
      <c r="P200" s="69" t="e">
        <f>+GETPIVOTDATA("Reducción ",#REF!,"No. Ramo",8,"IPP","S","PP",233,"UR",413)*$J200</f>
        <v>#REF!</v>
      </c>
      <c r="Q200" s="69" t="e">
        <f>+GETPIVOTDATA("Ampliación ",#REF!,"No. Ramo",8,"IPP","S","PP",233,"UR",413)*$J200</f>
        <v>#REF!</v>
      </c>
      <c r="R200" s="69" t="e">
        <f>O200+Q200-P200</f>
        <v>#REF!</v>
      </c>
      <c r="S200" s="69"/>
      <c r="T200" s="69"/>
      <c r="U200" s="69" t="e">
        <f t="shared" si="57"/>
        <v>#REF!</v>
      </c>
      <c r="V200" s="69" t="e">
        <f t="shared" si="57"/>
        <v>#REF!</v>
      </c>
      <c r="W200" s="69" t="e">
        <f t="shared" si="57"/>
        <v>#REF!</v>
      </c>
      <c r="X200" s="69" t="e">
        <f t="shared" si="57"/>
        <v>#REF!</v>
      </c>
      <c r="AH200" s="152"/>
      <c r="AI200" s="156"/>
      <c r="AJ200" s="150"/>
      <c r="AK200" s="154" t="s">
        <v>695</v>
      </c>
      <c r="AL200" s="150"/>
      <c r="AM200" s="150"/>
      <c r="AN200" s="150"/>
      <c r="AO200" s="151"/>
      <c r="AP200" s="146"/>
      <c r="AQ200" s="146"/>
      <c r="AR200" s="146"/>
      <c r="AS200" s="245"/>
      <c r="AT200" s="245"/>
      <c r="AU200" s="146"/>
      <c r="AX200" s="152"/>
      <c r="AY200" s="191"/>
      <c r="AZ200" s="189"/>
      <c r="BA200" s="154" t="s">
        <v>695</v>
      </c>
      <c r="BB200" s="189"/>
      <c r="BC200" s="189"/>
      <c r="BD200" s="189"/>
      <c r="BE200" s="190"/>
      <c r="BF200" s="187">
        <f t="shared" si="56"/>
        <v>0</v>
      </c>
    </row>
    <row r="201" spans="1:60">
      <c r="A201" s="122">
        <v>1</v>
      </c>
      <c r="B201" s="31"/>
      <c r="C201" s="30"/>
      <c r="D201" s="30" t="s">
        <v>696</v>
      </c>
      <c r="E201" s="30"/>
      <c r="F201" s="33" t="s">
        <v>812</v>
      </c>
      <c r="G201" s="33">
        <v>311</v>
      </c>
      <c r="H201" s="33"/>
      <c r="I201" s="67">
        <v>1</v>
      </c>
      <c r="J201" s="33"/>
      <c r="K201" s="69" t="e">
        <f>+GETPIVOTDATA("PPEF 2010 ",#REF!,"No. Ramo",8,"IPP","S","PP",233,"UR",311)</f>
        <v>#REF!</v>
      </c>
      <c r="L201" s="69" t="e">
        <f>+GETPIVOTDATA("Ampliación Neta DIP ",#REF!,"No. Ramo",8,"IPP","S","PP",233,"UR",311)</f>
        <v>#REF!</v>
      </c>
      <c r="M201" s="69" t="e">
        <f>+GETPIVOTDATA("Recorte SHCP ",#REF!,"No. Ramo",8,"IPP","S","PP",233,"UR",311)</f>
        <v>#REF!</v>
      </c>
      <c r="N201" s="69" t="e">
        <f>+GETPIVOTDATA("PEF 2010 ",#REF!,"No. Ramo",8,"IPP","S","PP",233,"UR",311)</f>
        <v>#REF!</v>
      </c>
      <c r="O201" s="69" t="e">
        <f>+GETPIVOTDATA("PPEF 2011 ",#REF!,"No. Ramo",8,"IPP","S","PP",233,"UR",311)</f>
        <v>#REF!</v>
      </c>
      <c r="P201" s="69" t="e">
        <f>+GETPIVOTDATA("Reducción ",#REF!,"No. Ramo",8,"IPP","S","PP",233,"UR",311)</f>
        <v>#REF!</v>
      </c>
      <c r="Q201" s="69" t="e">
        <f>+GETPIVOTDATA("Ampliación ",#REF!,"No. Ramo",8,"IPP","S","PP",233,"UR",311)</f>
        <v>#REF!</v>
      </c>
      <c r="R201" s="69" t="e">
        <f>O201+Q201-P201</f>
        <v>#REF!</v>
      </c>
      <c r="S201" s="69"/>
      <c r="T201" s="69"/>
      <c r="U201" s="69" t="e">
        <f t="shared" si="57"/>
        <v>#REF!</v>
      </c>
      <c r="V201" s="69" t="e">
        <f t="shared" si="57"/>
        <v>#REF!</v>
      </c>
      <c r="W201" s="69" t="e">
        <f t="shared" si="57"/>
        <v>#REF!</v>
      </c>
      <c r="X201" s="69" t="e">
        <f t="shared" si="57"/>
        <v>#REF!</v>
      </c>
      <c r="AH201" s="152"/>
      <c r="AI201" s="157" t="s">
        <v>696</v>
      </c>
      <c r="AJ201" s="150"/>
      <c r="AK201" s="158"/>
      <c r="AL201" s="150"/>
      <c r="AM201" s="150"/>
      <c r="AN201" s="150"/>
      <c r="AO201" s="151"/>
      <c r="AP201" s="146">
        <f>AP202+AP203</f>
        <v>0</v>
      </c>
      <c r="AQ201" s="146">
        <f>AQ202+AQ203</f>
        <v>0</v>
      </c>
      <c r="AR201" s="146">
        <f>AR202+AR203</f>
        <v>0</v>
      </c>
      <c r="AS201" s="245"/>
      <c r="AT201" s="245"/>
      <c r="AU201" s="146">
        <f>AU202+AU203</f>
        <v>0</v>
      </c>
      <c r="AX201" s="152"/>
      <c r="AY201" s="157" t="s">
        <v>696</v>
      </c>
      <c r="AZ201" s="189"/>
      <c r="BA201" s="158"/>
      <c r="BB201" s="189"/>
      <c r="BC201" s="189"/>
      <c r="BD201" s="189"/>
      <c r="BE201" s="190"/>
      <c r="BF201" s="187">
        <f>BF202+BF203</f>
        <v>0</v>
      </c>
    </row>
    <row r="202" spans="1:60">
      <c r="A202" s="122">
        <v>1</v>
      </c>
      <c r="B202" s="31"/>
      <c r="C202" s="30"/>
      <c r="D202" s="100" t="s">
        <v>989</v>
      </c>
      <c r="E202" s="30"/>
      <c r="F202" s="33"/>
      <c r="G202" s="33"/>
      <c r="H202" s="33"/>
      <c r="I202" s="67"/>
      <c r="J202" s="33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AH202" s="152"/>
      <c r="AI202" s="156"/>
      <c r="AJ202" s="154" t="s">
        <v>989</v>
      </c>
      <c r="AK202" s="158"/>
      <c r="AL202" s="155"/>
      <c r="AM202" s="150"/>
      <c r="AN202" s="150"/>
      <c r="AO202" s="151"/>
      <c r="AP202" s="146"/>
      <c r="AQ202" s="146"/>
      <c r="AR202" s="146"/>
      <c r="AS202" s="245"/>
      <c r="AT202" s="245"/>
      <c r="AU202" s="146"/>
      <c r="AX202" s="152"/>
      <c r="AY202" s="191"/>
      <c r="AZ202" s="154" t="s">
        <v>989</v>
      </c>
      <c r="BA202" s="158"/>
      <c r="BB202" s="155"/>
      <c r="BC202" s="189"/>
      <c r="BD202" s="189"/>
      <c r="BE202" s="190"/>
      <c r="BF202" s="187">
        <f>+AU202</f>
        <v>0</v>
      </c>
    </row>
    <row r="203" spans="1:60">
      <c r="A203" s="122">
        <v>1</v>
      </c>
      <c r="B203" s="31"/>
      <c r="C203" s="30"/>
      <c r="D203" s="100" t="s">
        <v>984</v>
      </c>
      <c r="E203" s="30"/>
      <c r="F203" s="33"/>
      <c r="G203" s="33"/>
      <c r="H203" s="33"/>
      <c r="I203" s="67"/>
      <c r="J203" s="33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AH203" s="152"/>
      <c r="AI203" s="156"/>
      <c r="AJ203" s="154" t="s">
        <v>984</v>
      </c>
      <c r="AK203" s="158"/>
      <c r="AL203" s="155"/>
      <c r="AM203" s="150"/>
      <c r="AN203" s="150"/>
      <c r="AO203" s="151"/>
      <c r="AP203" s="146">
        <f>SUM(AP204:AP208)</f>
        <v>0</v>
      </c>
      <c r="AQ203" s="146">
        <f>SUM(AQ204:AQ208)</f>
        <v>0</v>
      </c>
      <c r="AR203" s="146">
        <f>SUM(AR204:AR208)</f>
        <v>0</v>
      </c>
      <c r="AS203" s="245"/>
      <c r="AT203" s="245"/>
      <c r="AU203" s="146">
        <f>SUM(AU204:AU208)</f>
        <v>0</v>
      </c>
      <c r="AX203" s="152"/>
      <c r="AY203" s="191"/>
      <c r="AZ203" s="154" t="s">
        <v>984</v>
      </c>
      <c r="BA203" s="158"/>
      <c r="BB203" s="155"/>
      <c r="BC203" s="189"/>
      <c r="BD203" s="189"/>
      <c r="BE203" s="190"/>
      <c r="BF203" s="187">
        <f>SUM(BF204:BF208)</f>
        <v>0</v>
      </c>
    </row>
    <row r="204" spans="1:60">
      <c r="A204" s="122">
        <v>1</v>
      </c>
      <c r="B204" s="31"/>
      <c r="C204" s="30"/>
      <c r="D204" s="102" t="s">
        <v>913</v>
      </c>
      <c r="E204" s="30"/>
      <c r="F204" s="33"/>
      <c r="G204" s="33"/>
      <c r="H204" s="33"/>
      <c r="I204" s="67"/>
      <c r="J204" s="33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AH204" s="152"/>
      <c r="AI204" s="156"/>
      <c r="AJ204" s="150"/>
      <c r="AK204" s="154" t="s">
        <v>913</v>
      </c>
      <c r="AL204" s="155"/>
      <c r="AM204" s="150"/>
      <c r="AN204" s="150"/>
      <c r="AO204" s="151"/>
      <c r="AP204" s="146"/>
      <c r="AQ204" s="146"/>
      <c r="AR204" s="146"/>
      <c r="AS204" s="245"/>
      <c r="AT204" s="245"/>
      <c r="AU204" s="146"/>
      <c r="AX204" s="152"/>
      <c r="AY204" s="191"/>
      <c r="AZ204" s="189"/>
      <c r="BA204" s="154" t="s">
        <v>913</v>
      </c>
      <c r="BB204" s="155"/>
      <c r="BC204" s="189"/>
      <c r="BD204" s="189"/>
      <c r="BE204" s="190"/>
      <c r="BF204" s="187">
        <f>+AU204</f>
        <v>0</v>
      </c>
    </row>
    <row r="205" spans="1:60">
      <c r="A205" s="122">
        <v>1</v>
      </c>
      <c r="B205" s="31"/>
      <c r="C205" s="30"/>
      <c r="D205" s="102" t="s">
        <v>990</v>
      </c>
      <c r="E205" s="30"/>
      <c r="F205" s="33"/>
      <c r="G205" s="33"/>
      <c r="H205" s="33"/>
      <c r="I205" s="67"/>
      <c r="J205" s="33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AH205" s="152"/>
      <c r="AI205" s="156"/>
      <c r="AJ205" s="150"/>
      <c r="AK205" s="154" t="s">
        <v>990</v>
      </c>
      <c r="AL205" s="155"/>
      <c r="AM205" s="150"/>
      <c r="AN205" s="150"/>
      <c r="AO205" s="151"/>
      <c r="AP205" s="146"/>
      <c r="AQ205" s="146"/>
      <c r="AR205" s="146"/>
      <c r="AS205" s="245"/>
      <c r="AT205" s="245"/>
      <c r="AU205" s="146"/>
      <c r="AX205" s="152"/>
      <c r="AY205" s="191"/>
      <c r="AZ205" s="189"/>
      <c r="BA205" s="154" t="s">
        <v>990</v>
      </c>
      <c r="BB205" s="155"/>
      <c r="BC205" s="189"/>
      <c r="BD205" s="189"/>
      <c r="BE205" s="190"/>
      <c r="BF205" s="187">
        <f>+AU205</f>
        <v>0</v>
      </c>
    </row>
    <row r="206" spans="1:60">
      <c r="A206" s="122">
        <v>1</v>
      </c>
      <c r="B206" s="31"/>
      <c r="C206" s="30"/>
      <c r="D206" s="102" t="s">
        <v>943</v>
      </c>
      <c r="E206" s="30"/>
      <c r="F206" s="33"/>
      <c r="G206" s="33"/>
      <c r="H206" s="33"/>
      <c r="I206" s="67"/>
      <c r="J206" s="33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AH206" s="152"/>
      <c r="AI206" s="156"/>
      <c r="AJ206" s="150"/>
      <c r="AK206" s="154" t="s">
        <v>943</v>
      </c>
      <c r="AL206" s="155"/>
      <c r="AM206" s="150"/>
      <c r="AN206" s="150"/>
      <c r="AO206" s="151"/>
      <c r="AP206" s="146"/>
      <c r="AQ206" s="146"/>
      <c r="AR206" s="146"/>
      <c r="AS206" s="245"/>
      <c r="AT206" s="245"/>
      <c r="AU206" s="146"/>
      <c r="AX206" s="152"/>
      <c r="AY206" s="191"/>
      <c r="AZ206" s="189"/>
      <c r="BA206" s="154" t="s">
        <v>943</v>
      </c>
      <c r="BB206" s="155"/>
      <c r="BC206" s="189"/>
      <c r="BD206" s="189"/>
      <c r="BE206" s="190"/>
      <c r="BF206" s="187">
        <f>+AU206</f>
        <v>0</v>
      </c>
    </row>
    <row r="207" spans="1:60">
      <c r="A207" s="122">
        <v>1</v>
      </c>
      <c r="B207" s="31"/>
      <c r="C207" s="30"/>
      <c r="D207" s="102" t="s">
        <v>991</v>
      </c>
      <c r="E207" s="30"/>
      <c r="F207" s="33"/>
      <c r="G207" s="33"/>
      <c r="H207" s="33"/>
      <c r="I207" s="67"/>
      <c r="J207" s="33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AH207" s="152"/>
      <c r="AI207" s="156"/>
      <c r="AJ207" s="150"/>
      <c r="AK207" s="154" t="s">
        <v>991</v>
      </c>
      <c r="AL207" s="155"/>
      <c r="AM207" s="150"/>
      <c r="AN207" s="150"/>
      <c r="AO207" s="151"/>
      <c r="AP207" s="146"/>
      <c r="AQ207" s="146"/>
      <c r="AR207" s="146"/>
      <c r="AS207" s="245"/>
      <c r="AT207" s="245"/>
      <c r="AU207" s="146"/>
      <c r="AX207" s="152"/>
      <c r="AY207" s="191"/>
      <c r="AZ207" s="189"/>
      <c r="BA207" s="154" t="s">
        <v>991</v>
      </c>
      <c r="BB207" s="155"/>
      <c r="BC207" s="189"/>
      <c r="BD207" s="189"/>
      <c r="BE207" s="190"/>
      <c r="BF207" s="187">
        <f>+AU207</f>
        <v>0</v>
      </c>
    </row>
    <row r="208" spans="1:60">
      <c r="A208" s="122">
        <v>1</v>
      </c>
      <c r="B208" s="31"/>
      <c r="C208" s="30"/>
      <c r="D208" s="102" t="s">
        <v>992</v>
      </c>
      <c r="E208" s="30"/>
      <c r="F208" s="33"/>
      <c r="G208" s="33"/>
      <c r="H208" s="33"/>
      <c r="I208" s="67"/>
      <c r="J208" s="33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AH208" s="152"/>
      <c r="AI208" s="156"/>
      <c r="AJ208" s="150"/>
      <c r="AK208" s="154" t="s">
        <v>992</v>
      </c>
      <c r="AL208" s="155"/>
      <c r="AM208" s="150"/>
      <c r="AN208" s="150"/>
      <c r="AO208" s="151"/>
      <c r="AP208" s="146">
        <f>SUM(AP209:AP211)</f>
        <v>0</v>
      </c>
      <c r="AQ208" s="146">
        <f>SUM(AQ209:AQ211)</f>
        <v>0</v>
      </c>
      <c r="AR208" s="146">
        <f>SUM(AR209:AR211)</f>
        <v>0</v>
      </c>
      <c r="AS208" s="245"/>
      <c r="AT208" s="245"/>
      <c r="AU208" s="146">
        <f>SUM(AU209:AU211)</f>
        <v>0</v>
      </c>
      <c r="AX208" s="152"/>
      <c r="AY208" s="191"/>
      <c r="AZ208" s="189"/>
      <c r="BA208" s="154" t="s">
        <v>992</v>
      </c>
      <c r="BB208" s="155"/>
      <c r="BC208" s="189"/>
      <c r="BD208" s="189"/>
      <c r="BE208" s="190"/>
      <c r="BF208" s="187">
        <f>SUM(BF209:BF211)</f>
        <v>0</v>
      </c>
    </row>
    <row r="209" spans="1:58">
      <c r="A209" s="122">
        <v>1</v>
      </c>
      <c r="B209" s="31"/>
      <c r="C209" s="30"/>
      <c r="D209" s="115" t="s">
        <v>993</v>
      </c>
      <c r="E209" s="30"/>
      <c r="F209" s="33"/>
      <c r="G209" s="33"/>
      <c r="H209" s="33"/>
      <c r="I209" s="67"/>
      <c r="J209" s="33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AH209" s="152"/>
      <c r="AI209" s="156"/>
      <c r="AJ209" s="150"/>
      <c r="AK209" s="150"/>
      <c r="AL209" s="154" t="s">
        <v>993</v>
      </c>
      <c r="AM209" s="150"/>
      <c r="AN209" s="150"/>
      <c r="AO209" s="151"/>
      <c r="AP209" s="146"/>
      <c r="AQ209" s="146"/>
      <c r="AR209" s="146"/>
      <c r="AS209" s="245"/>
      <c r="AT209" s="245"/>
      <c r="AU209" s="146"/>
      <c r="AX209" s="152"/>
      <c r="AY209" s="191"/>
      <c r="AZ209" s="189"/>
      <c r="BA209" s="189"/>
      <c r="BB209" s="154" t="s">
        <v>993</v>
      </c>
      <c r="BC209" s="189"/>
      <c r="BD209" s="189"/>
      <c r="BE209" s="190"/>
      <c r="BF209" s="187">
        <f>+AU209</f>
        <v>0</v>
      </c>
    </row>
    <row r="210" spans="1:58">
      <c r="A210" s="122">
        <v>1</v>
      </c>
      <c r="B210" s="31"/>
      <c r="C210" s="30"/>
      <c r="D210" s="115" t="s">
        <v>994</v>
      </c>
      <c r="E210" s="30"/>
      <c r="F210" s="33"/>
      <c r="G210" s="33"/>
      <c r="H210" s="33"/>
      <c r="I210" s="67"/>
      <c r="J210" s="33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AH210" s="152"/>
      <c r="AI210" s="156"/>
      <c r="AJ210" s="150"/>
      <c r="AK210" s="150"/>
      <c r="AL210" s="154" t="s">
        <v>994</v>
      </c>
      <c r="AM210" s="150"/>
      <c r="AN210" s="150"/>
      <c r="AO210" s="151"/>
      <c r="AP210" s="146"/>
      <c r="AQ210" s="146"/>
      <c r="AR210" s="146"/>
      <c r="AS210" s="245"/>
      <c r="AT210" s="245"/>
      <c r="AU210" s="146"/>
      <c r="AX210" s="152"/>
      <c r="AY210" s="191"/>
      <c r="AZ210" s="189"/>
      <c r="BA210" s="189"/>
      <c r="BB210" s="154" t="s">
        <v>994</v>
      </c>
      <c r="BC210" s="189"/>
      <c r="BD210" s="189"/>
      <c r="BE210" s="190"/>
      <c r="BF210" s="187">
        <f>+AU210</f>
        <v>0</v>
      </c>
    </row>
    <row r="211" spans="1:58">
      <c r="A211" s="122">
        <v>1</v>
      </c>
      <c r="B211" s="31"/>
      <c r="C211" s="30"/>
      <c r="D211" s="115" t="s">
        <v>941</v>
      </c>
      <c r="E211" s="30"/>
      <c r="F211" s="33"/>
      <c r="G211" s="33"/>
      <c r="H211" s="33"/>
      <c r="I211" s="67"/>
      <c r="J211" s="33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AH211" s="152"/>
      <c r="AI211" s="156"/>
      <c r="AJ211" s="150"/>
      <c r="AK211" s="150"/>
      <c r="AL211" s="154" t="s">
        <v>941</v>
      </c>
      <c r="AM211" s="150"/>
      <c r="AN211" s="150"/>
      <c r="AO211" s="151"/>
      <c r="AP211" s="146"/>
      <c r="AQ211" s="146"/>
      <c r="AR211" s="146"/>
      <c r="AS211" s="245"/>
      <c r="AT211" s="245"/>
      <c r="AU211" s="146"/>
      <c r="AX211" s="152"/>
      <c r="AY211" s="191"/>
      <c r="AZ211" s="189"/>
      <c r="BA211" s="189"/>
      <c r="BB211" s="154" t="s">
        <v>941</v>
      </c>
      <c r="BC211" s="189"/>
      <c r="BD211" s="189"/>
      <c r="BE211" s="190"/>
      <c r="BF211" s="187">
        <f>+AU211</f>
        <v>0</v>
      </c>
    </row>
    <row r="212" spans="1:58">
      <c r="A212" s="122">
        <v>1</v>
      </c>
      <c r="B212" s="31"/>
      <c r="C212" s="30"/>
      <c r="D212" s="30" t="s">
        <v>697</v>
      </c>
      <c r="E212" s="30"/>
      <c r="F212" s="33" t="s">
        <v>812</v>
      </c>
      <c r="G212" s="33">
        <v>112</v>
      </c>
      <c r="H212" s="33"/>
      <c r="I212" s="67">
        <v>1</v>
      </c>
      <c r="J212" s="33"/>
      <c r="K212" s="69" t="e">
        <f>+GETPIVOTDATA("PPEF 2010 ",#REF!,"No. Ramo",8,"IPP","S","PP",233,"UR",112)</f>
        <v>#REF!</v>
      </c>
      <c r="L212" s="69" t="e">
        <f>+GETPIVOTDATA("Ampliación Neta DIP ",#REF!,"No. Ramo",8,"IPP","S","PP",233,"UR",112)</f>
        <v>#REF!</v>
      </c>
      <c r="M212" s="69" t="e">
        <f>+GETPIVOTDATA("Recorte SHCP ",#REF!,"No. Ramo",8,"IPP","S","PP",233,"UR",112)</f>
        <v>#REF!</v>
      </c>
      <c r="N212" s="69" t="e">
        <f>+GETPIVOTDATA("PEF 2010 ",#REF!,"No. Ramo",8,"IPP","S","PP",233,"UR",112)</f>
        <v>#REF!</v>
      </c>
      <c r="O212" s="69" t="e">
        <f>+GETPIVOTDATA("PPEF 2011 ",#REF!,"No. Ramo",8,"IPP","S","PP",233,"UR",112)</f>
        <v>#REF!</v>
      </c>
      <c r="P212" s="69" t="e">
        <f>+GETPIVOTDATA("Reducción ",#REF!,"No. Ramo",8,"IPP","S","PP",233,"UR",112)</f>
        <v>#REF!</v>
      </c>
      <c r="Q212" s="69" t="e">
        <f>+GETPIVOTDATA("Ampliación ",#REF!,"No. Ramo",8,"IPP","S","PP",233,"UR",112)</f>
        <v>#REF!</v>
      </c>
      <c r="R212" s="69" t="e">
        <f t="shared" ref="R212:R301" si="58">O212+Q212-P212</f>
        <v>#REF!</v>
      </c>
      <c r="S212" s="69"/>
      <c r="T212" s="69"/>
      <c r="U212" s="69" t="e">
        <f>+$I212*O212</f>
        <v>#REF!</v>
      </c>
      <c r="V212" s="69" t="e">
        <f>+$I212*P212</f>
        <v>#REF!</v>
      </c>
      <c r="W212" s="69" t="e">
        <f>+$I212*Q212</f>
        <v>#REF!</v>
      </c>
      <c r="X212" s="69" t="e">
        <f>+$I212*R212</f>
        <v>#REF!</v>
      </c>
      <c r="AH212" s="152"/>
      <c r="AI212" s="157" t="s">
        <v>697</v>
      </c>
      <c r="AJ212" s="150"/>
      <c r="AK212" s="158"/>
      <c r="AL212" s="150"/>
      <c r="AM212" s="150"/>
      <c r="AN212" s="150"/>
      <c r="AO212" s="151"/>
      <c r="AP212" s="146">
        <f>AP213+AP214</f>
        <v>0</v>
      </c>
      <c r="AQ212" s="146">
        <f>AQ213+AQ214</f>
        <v>0</v>
      </c>
      <c r="AR212" s="146">
        <f>AR213+AR214</f>
        <v>0</v>
      </c>
      <c r="AS212" s="245"/>
      <c r="AT212" s="245"/>
      <c r="AU212" s="146">
        <f>AU213+AU214</f>
        <v>0</v>
      </c>
      <c r="AX212" s="152"/>
      <c r="AY212" s="157" t="s">
        <v>697</v>
      </c>
      <c r="AZ212" s="189"/>
      <c r="BA212" s="158"/>
      <c r="BB212" s="189"/>
      <c r="BC212" s="189"/>
      <c r="BD212" s="189"/>
      <c r="BE212" s="190"/>
      <c r="BF212" s="187">
        <f>BF213+BF214</f>
        <v>0</v>
      </c>
    </row>
    <row r="213" spans="1:58">
      <c r="A213" s="122">
        <v>1</v>
      </c>
      <c r="B213" s="31"/>
      <c r="C213" s="30"/>
      <c r="D213" s="100" t="s">
        <v>987</v>
      </c>
      <c r="E213" s="30"/>
      <c r="F213" s="33"/>
      <c r="G213" s="33"/>
      <c r="H213" s="33"/>
      <c r="I213" s="67"/>
      <c r="J213" s="33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AH213" s="152"/>
      <c r="AI213" s="159"/>
      <c r="AJ213" s="154" t="s">
        <v>987</v>
      </c>
      <c r="AK213" s="158"/>
      <c r="AL213" s="155"/>
      <c r="AM213" s="150"/>
      <c r="AN213" s="150"/>
      <c r="AO213" s="151"/>
      <c r="AP213" s="146"/>
      <c r="AQ213" s="146"/>
      <c r="AR213" s="146"/>
      <c r="AS213" s="245"/>
      <c r="AT213" s="245"/>
      <c r="AU213" s="146"/>
      <c r="AX213" s="152"/>
      <c r="AY213" s="159"/>
      <c r="AZ213" s="154" t="s">
        <v>987</v>
      </c>
      <c r="BA213" s="158"/>
      <c r="BB213" s="155"/>
      <c r="BC213" s="189"/>
      <c r="BD213" s="189"/>
      <c r="BE213" s="190"/>
      <c r="BF213" s="187">
        <f>+AU213</f>
        <v>0</v>
      </c>
    </row>
    <row r="214" spans="1:58">
      <c r="A214" s="122">
        <v>1</v>
      </c>
      <c r="B214" s="31"/>
      <c r="C214" s="30"/>
      <c r="D214" s="100" t="s">
        <v>988</v>
      </c>
      <c r="E214" s="30"/>
      <c r="F214" s="33"/>
      <c r="G214" s="33"/>
      <c r="H214" s="33"/>
      <c r="I214" s="67"/>
      <c r="J214" s="33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AH214" s="152"/>
      <c r="AI214" s="159"/>
      <c r="AJ214" s="154" t="s">
        <v>988</v>
      </c>
      <c r="AK214" s="158"/>
      <c r="AL214" s="155"/>
      <c r="AM214" s="150"/>
      <c r="AN214" s="150"/>
      <c r="AO214" s="151"/>
      <c r="AP214" s="146"/>
      <c r="AQ214" s="146"/>
      <c r="AR214" s="146"/>
      <c r="AS214" s="245"/>
      <c r="AT214" s="245"/>
      <c r="AU214" s="146"/>
      <c r="AX214" s="152"/>
      <c r="AY214" s="159"/>
      <c r="AZ214" s="154" t="s">
        <v>988</v>
      </c>
      <c r="BA214" s="158"/>
      <c r="BB214" s="155"/>
      <c r="BC214" s="189"/>
      <c r="BD214" s="189"/>
      <c r="BE214" s="190"/>
      <c r="BF214" s="187">
        <f>+AU214</f>
        <v>0</v>
      </c>
    </row>
    <row r="215" spans="1:58">
      <c r="B215" s="28" t="s">
        <v>168</v>
      </c>
      <c r="C215" s="29" t="s">
        <v>698</v>
      </c>
      <c r="D215" s="29"/>
      <c r="E215" s="29"/>
      <c r="F215" s="28"/>
      <c r="G215" s="28"/>
      <c r="H215" s="28"/>
      <c r="I215" s="65"/>
      <c r="J215" s="28"/>
      <c r="K215" s="66" t="e">
        <f t="shared" ref="K215:Q215" si="59">+K216</f>
        <v>#REF!</v>
      </c>
      <c r="L215" s="66" t="e">
        <f t="shared" si="59"/>
        <v>#REF!</v>
      </c>
      <c r="M215" s="66" t="e">
        <f t="shared" si="59"/>
        <v>#REF!</v>
      </c>
      <c r="N215" s="66" t="e">
        <f t="shared" si="59"/>
        <v>#REF!</v>
      </c>
      <c r="O215" s="66" t="e">
        <f t="shared" si="59"/>
        <v>#REF!</v>
      </c>
      <c r="P215" s="66" t="e">
        <f t="shared" si="59"/>
        <v>#REF!</v>
      </c>
      <c r="Q215" s="66" t="e">
        <f t="shared" si="59"/>
        <v>#REF!</v>
      </c>
      <c r="R215" s="66" t="e">
        <f t="shared" si="58"/>
        <v>#REF!</v>
      </c>
      <c r="S215" s="66"/>
      <c r="T215" s="66"/>
      <c r="U215" s="66" t="e">
        <f>+U216</f>
        <v>#REF!</v>
      </c>
      <c r="V215" s="66" t="e">
        <f>+V216</f>
        <v>#REF!</v>
      </c>
      <c r="W215" s="66" t="e">
        <f>+W216</f>
        <v>#REF!</v>
      </c>
      <c r="X215" s="66" t="e">
        <f>+X216</f>
        <v>#REF!</v>
      </c>
      <c r="AH215" s="147" t="s">
        <v>168</v>
      </c>
      <c r="AI215" s="148" t="s">
        <v>698</v>
      </c>
      <c r="AJ215" s="160"/>
      <c r="AK215" s="160"/>
      <c r="AL215" s="149"/>
      <c r="AM215" s="150"/>
      <c r="AN215" s="150"/>
      <c r="AO215" s="151"/>
      <c r="AP215" s="146">
        <f>AP216+AP217</f>
        <v>0</v>
      </c>
      <c r="AQ215" s="146">
        <f>AQ216+AQ217</f>
        <v>0</v>
      </c>
      <c r="AR215" s="146">
        <f>AR216+AR217</f>
        <v>0</v>
      </c>
      <c r="AS215" s="245"/>
      <c r="AT215" s="245"/>
      <c r="AU215" s="146">
        <f>AU216+AU217</f>
        <v>0</v>
      </c>
      <c r="AX215" s="147" t="s">
        <v>168</v>
      </c>
      <c r="AY215" s="148" t="s">
        <v>698</v>
      </c>
      <c r="AZ215" s="160"/>
      <c r="BA215" s="160"/>
      <c r="BB215" s="149"/>
      <c r="BC215" s="189"/>
      <c r="BD215" s="189"/>
      <c r="BE215" s="190"/>
      <c r="BF215" s="187">
        <f>BF216+BF217</f>
        <v>0</v>
      </c>
    </row>
    <row r="216" spans="1:58">
      <c r="B216" s="31"/>
      <c r="C216" s="30" t="s">
        <v>699</v>
      </c>
      <c r="D216" s="30"/>
      <c r="E216" s="30"/>
      <c r="F216" s="33" t="s">
        <v>813</v>
      </c>
      <c r="G216" s="33">
        <v>311</v>
      </c>
      <c r="H216" s="33"/>
      <c r="I216" s="67">
        <v>1</v>
      </c>
      <c r="J216" s="33"/>
      <c r="K216" s="69" t="e">
        <f>+GETPIVOTDATA("PPEF 2010 ",#REF!,"No. Ramo",15,"IPP","F","PP",2,"UR",311)</f>
        <v>#REF!</v>
      </c>
      <c r="L216" s="69" t="e">
        <f>+GETPIVOTDATA("Ampliación Neta DIP ",#REF!,"No. Ramo",15,"IPP","F","PP",2,"UR",311)</f>
        <v>#REF!</v>
      </c>
      <c r="M216" s="69" t="e">
        <f>+GETPIVOTDATA("Recorte SHCP ",#REF!,"No. Ramo",15,"IPP","F","PP",2,"UR",311)</f>
        <v>#REF!</v>
      </c>
      <c r="N216" s="69" t="e">
        <f>+GETPIVOTDATA("PEF 2010 ",#REF!,"No. Ramo",15,"IPP","F","PP",2,"UR",311)</f>
        <v>#REF!</v>
      </c>
      <c r="O216" s="69" t="e">
        <f>+GETPIVOTDATA("PPEF 2011 ",#REF!,"No. Ramo",15,"IPP","F","PP",2,"UR",311)</f>
        <v>#REF!</v>
      </c>
      <c r="P216" s="69" t="e">
        <f>+GETPIVOTDATA("Reducción ",#REF!,"No. Ramo",15,"IPP","F","PP",2,"UR",311)</f>
        <v>#REF!</v>
      </c>
      <c r="Q216" s="69" t="e">
        <f>+GETPIVOTDATA("Ampliación ",#REF!,"No. Ramo",15,"IPP","F","PP",2,"UR",311)</f>
        <v>#REF!</v>
      </c>
      <c r="R216" s="69" t="e">
        <f t="shared" si="58"/>
        <v>#REF!</v>
      </c>
      <c r="S216" s="69"/>
      <c r="T216" s="69"/>
      <c r="U216" s="69" t="e">
        <f>+$I216*O216</f>
        <v>#REF!</v>
      </c>
      <c r="V216" s="69" t="e">
        <f>+$I216*P216</f>
        <v>#REF!</v>
      </c>
      <c r="W216" s="69" t="e">
        <f>+$I216*Q216</f>
        <v>#REF!</v>
      </c>
      <c r="X216" s="69" t="e">
        <f>+$I216*R216</f>
        <v>#REF!</v>
      </c>
      <c r="AH216" s="152"/>
      <c r="AI216" s="157" t="s">
        <v>699</v>
      </c>
      <c r="AJ216" s="158"/>
      <c r="AK216" s="158"/>
      <c r="AL216" s="150"/>
      <c r="AM216" s="150"/>
      <c r="AN216" s="150"/>
      <c r="AO216" s="151"/>
      <c r="AP216" s="146"/>
      <c r="AQ216" s="146"/>
      <c r="AR216" s="146"/>
      <c r="AS216" s="245"/>
      <c r="AT216" s="245"/>
      <c r="AU216" s="146"/>
      <c r="AX216" s="152"/>
      <c r="AY216" s="157" t="s">
        <v>699</v>
      </c>
      <c r="AZ216" s="158"/>
      <c r="BA216" s="158"/>
      <c r="BB216" s="189"/>
      <c r="BC216" s="189"/>
      <c r="BD216" s="189"/>
      <c r="BE216" s="190"/>
      <c r="BF216" s="187">
        <f>+AU216</f>
        <v>0</v>
      </c>
    </row>
    <row r="217" spans="1:58">
      <c r="B217" s="31"/>
      <c r="C217" s="30" t="s">
        <v>1034</v>
      </c>
      <c r="D217" s="30"/>
      <c r="E217" s="30"/>
      <c r="F217" s="33"/>
      <c r="G217" s="33"/>
      <c r="H217" s="33"/>
      <c r="I217" s="67"/>
      <c r="J217" s="33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AH217" s="152"/>
      <c r="AI217" s="157" t="s">
        <v>1034</v>
      </c>
      <c r="AJ217" s="158"/>
      <c r="AK217" s="158"/>
      <c r="AL217" s="150"/>
      <c r="AM217" s="150"/>
      <c r="AN217" s="150"/>
      <c r="AO217" s="151"/>
      <c r="AP217" s="146"/>
      <c r="AQ217" s="146"/>
      <c r="AR217" s="146"/>
      <c r="AS217" s="245"/>
      <c r="AT217" s="245"/>
      <c r="AU217" s="146"/>
      <c r="AX217" s="152"/>
      <c r="AY217" s="157" t="s">
        <v>1034</v>
      </c>
      <c r="AZ217" s="158"/>
      <c r="BA217" s="158"/>
      <c r="BB217" s="189"/>
      <c r="BC217" s="189"/>
      <c r="BD217" s="189"/>
      <c r="BE217" s="190"/>
      <c r="BF217" s="187">
        <f>+AU217</f>
        <v>0</v>
      </c>
    </row>
    <row r="218" spans="1:58">
      <c r="B218" s="28" t="s">
        <v>168</v>
      </c>
      <c r="C218" s="29" t="s">
        <v>700</v>
      </c>
      <c r="D218" s="29"/>
      <c r="E218" s="29"/>
      <c r="F218" s="28"/>
      <c r="G218" s="28"/>
      <c r="H218" s="28"/>
      <c r="I218" s="65"/>
      <c r="J218" s="28"/>
      <c r="K218" s="66" t="e">
        <f t="shared" ref="K218:Q218" si="60">+K219</f>
        <v>#REF!</v>
      </c>
      <c r="L218" s="66" t="e">
        <f t="shared" si="60"/>
        <v>#REF!</v>
      </c>
      <c r="M218" s="66" t="e">
        <f t="shared" si="60"/>
        <v>#REF!</v>
      </c>
      <c r="N218" s="66" t="e">
        <f t="shared" si="60"/>
        <v>#REF!</v>
      </c>
      <c r="O218" s="66" t="e">
        <f t="shared" si="60"/>
        <v>#REF!</v>
      </c>
      <c r="P218" s="66" t="e">
        <f t="shared" si="60"/>
        <v>#REF!</v>
      </c>
      <c r="Q218" s="66" t="e">
        <f t="shared" si="60"/>
        <v>#REF!</v>
      </c>
      <c r="R218" s="66" t="e">
        <f t="shared" si="58"/>
        <v>#REF!</v>
      </c>
      <c r="S218" s="66"/>
      <c r="T218" s="66"/>
      <c r="U218" s="66" t="e">
        <f>+U219</f>
        <v>#REF!</v>
      </c>
      <c r="V218" s="66" t="e">
        <f>+V219</f>
        <v>#REF!</v>
      </c>
      <c r="W218" s="66" t="e">
        <f>+W219</f>
        <v>#REF!</v>
      </c>
      <c r="X218" s="66" t="e">
        <f>+X219</f>
        <v>#REF!</v>
      </c>
      <c r="AH218" s="147" t="s">
        <v>168</v>
      </c>
      <c r="AI218" s="148" t="s">
        <v>700</v>
      </c>
      <c r="AJ218" s="160"/>
      <c r="AK218" s="160"/>
      <c r="AL218" s="150"/>
      <c r="AM218" s="150"/>
      <c r="AN218" s="150"/>
      <c r="AO218" s="151"/>
      <c r="AP218" s="146">
        <f t="shared" ref="AP218:AU218" si="61">AP219</f>
        <v>0</v>
      </c>
      <c r="AQ218" s="146">
        <f t="shared" si="61"/>
        <v>0</v>
      </c>
      <c r="AR218" s="146">
        <f t="shared" si="61"/>
        <v>0</v>
      </c>
      <c r="AS218" s="245"/>
      <c r="AT218" s="245"/>
      <c r="AU218" s="146">
        <f t="shared" si="61"/>
        <v>0</v>
      </c>
      <c r="AX218" s="147" t="s">
        <v>168</v>
      </c>
      <c r="AY218" s="148" t="s">
        <v>700</v>
      </c>
      <c r="AZ218" s="160"/>
      <c r="BA218" s="160"/>
      <c r="BB218" s="189"/>
      <c r="BC218" s="189"/>
      <c r="BD218" s="189"/>
      <c r="BE218" s="190"/>
      <c r="BF218" s="187">
        <f>BF219</f>
        <v>0</v>
      </c>
    </row>
    <row r="219" spans="1:58">
      <c r="B219" s="31"/>
      <c r="C219" s="30" t="s">
        <v>701</v>
      </c>
      <c r="D219" s="30"/>
      <c r="E219" s="30"/>
      <c r="F219" s="33" t="s">
        <v>814</v>
      </c>
      <c r="G219" s="33" t="s">
        <v>21</v>
      </c>
      <c r="H219" s="33"/>
      <c r="I219" s="67">
        <v>1</v>
      </c>
      <c r="J219" s="33"/>
      <c r="K219" s="69" t="e">
        <f>+GETPIVOTDATA("PPEF 2010 ",#REF!,"No. Ramo",20,"IPP","S","PP",70,"UR","D00")</f>
        <v>#REF!</v>
      </c>
      <c r="L219" s="69" t="e">
        <f>+GETPIVOTDATA("Ampliación Neta DIP ",#REF!,"No. Ramo",20,"IPP","S","PP",70,"UR","D00")</f>
        <v>#REF!</v>
      </c>
      <c r="M219" s="69" t="e">
        <f>+GETPIVOTDATA("Recorte SHCP ",#REF!,"No. Ramo",20,"IPP","S","PP",70,"UR","D00")</f>
        <v>#REF!</v>
      </c>
      <c r="N219" s="69" t="e">
        <f>+GETPIVOTDATA("PEF 2010 ",#REF!,"No. Ramo",20,"IPP","S","PP",70,"UR","D00")</f>
        <v>#REF!</v>
      </c>
      <c r="O219" s="69" t="e">
        <f>+GETPIVOTDATA("PPEF 2011 ",#REF!,"No. Ramo",20,"IPP","S","PP",70,"UR","D00")</f>
        <v>#REF!</v>
      </c>
      <c r="P219" s="69" t="e">
        <f>+GETPIVOTDATA("Reducción ",#REF!,"No. Ramo",20,"IPP","S","PP",70,"UR","D00")</f>
        <v>#REF!</v>
      </c>
      <c r="Q219" s="69" t="e">
        <f>+GETPIVOTDATA("Ampliación ",#REF!,"No. Ramo",20,"IPP","S","PP",70,"UR","D00")</f>
        <v>#REF!</v>
      </c>
      <c r="R219" s="69" t="e">
        <f t="shared" si="58"/>
        <v>#REF!</v>
      </c>
      <c r="S219" s="69"/>
      <c r="T219" s="69"/>
      <c r="U219" s="69" t="e">
        <f>+$I219*O219</f>
        <v>#REF!</v>
      </c>
      <c r="V219" s="69" t="e">
        <f>+$I219*P219</f>
        <v>#REF!</v>
      </c>
      <c r="W219" s="69" t="e">
        <f>+$I219*Q219</f>
        <v>#REF!</v>
      </c>
      <c r="X219" s="69" t="e">
        <f>+$I219*R219</f>
        <v>#REF!</v>
      </c>
      <c r="AH219" s="152"/>
      <c r="AI219" s="157" t="s">
        <v>701</v>
      </c>
      <c r="AJ219" s="158"/>
      <c r="AK219" s="158"/>
      <c r="AL219" s="150"/>
      <c r="AM219" s="150"/>
      <c r="AN219" s="150"/>
      <c r="AO219" s="151"/>
      <c r="AP219" s="146"/>
      <c r="AQ219" s="146"/>
      <c r="AR219" s="146"/>
      <c r="AS219" s="245"/>
      <c r="AT219" s="245"/>
      <c r="AU219" s="146"/>
      <c r="AX219" s="152"/>
      <c r="AY219" s="157" t="s">
        <v>701</v>
      </c>
      <c r="AZ219" s="158"/>
      <c r="BA219" s="158"/>
      <c r="BB219" s="189"/>
      <c r="BC219" s="189"/>
      <c r="BD219" s="189"/>
      <c r="BE219" s="190"/>
      <c r="BF219" s="187">
        <f>+AU219</f>
        <v>0</v>
      </c>
    </row>
    <row r="220" spans="1:58">
      <c r="B220" s="28" t="s">
        <v>168</v>
      </c>
      <c r="C220" s="29" t="s">
        <v>702</v>
      </c>
      <c r="D220" s="29"/>
      <c r="E220" s="29"/>
      <c r="F220" s="28"/>
      <c r="G220" s="28"/>
      <c r="H220" s="28"/>
      <c r="I220" s="65"/>
      <c r="J220" s="28"/>
      <c r="K220" s="66" t="e">
        <f t="shared" ref="K220:Q220" si="62">SUM(K221:K222)</f>
        <v>#REF!</v>
      </c>
      <c r="L220" s="66" t="e">
        <f t="shared" si="62"/>
        <v>#REF!</v>
      </c>
      <c r="M220" s="66" t="e">
        <f t="shared" si="62"/>
        <v>#REF!</v>
      </c>
      <c r="N220" s="66" t="e">
        <f t="shared" si="62"/>
        <v>#REF!</v>
      </c>
      <c r="O220" s="66" t="e">
        <f t="shared" si="62"/>
        <v>#REF!</v>
      </c>
      <c r="P220" s="66" t="e">
        <f t="shared" si="62"/>
        <v>#REF!</v>
      </c>
      <c r="Q220" s="66" t="e">
        <f t="shared" si="62"/>
        <v>#REF!</v>
      </c>
      <c r="R220" s="66" t="e">
        <f t="shared" si="58"/>
        <v>#REF!</v>
      </c>
      <c r="S220" s="66"/>
      <c r="T220" s="66"/>
      <c r="U220" s="66" t="e">
        <f>SUM(U221:U222)</f>
        <v>#REF!</v>
      </c>
      <c r="V220" s="66" t="e">
        <f>SUM(V221:V222)</f>
        <v>#REF!</v>
      </c>
      <c r="W220" s="66" t="e">
        <f>SUM(W221:W222)</f>
        <v>#REF!</v>
      </c>
      <c r="X220" s="66" t="e">
        <f>SUM(X221:X222)</f>
        <v>#REF!</v>
      </c>
      <c r="AH220" s="147" t="s">
        <v>168</v>
      </c>
      <c r="AI220" s="148" t="s">
        <v>702</v>
      </c>
      <c r="AJ220" s="160"/>
      <c r="AK220" s="160"/>
      <c r="AL220" s="150"/>
      <c r="AM220" s="150"/>
      <c r="AN220" s="150"/>
      <c r="AO220" s="151"/>
      <c r="AP220" s="146">
        <f t="shared" ref="AP220:AU220" si="63">AP221+AP222</f>
        <v>0</v>
      </c>
      <c r="AQ220" s="146">
        <f t="shared" si="63"/>
        <v>0</v>
      </c>
      <c r="AR220" s="146">
        <f t="shared" si="63"/>
        <v>0</v>
      </c>
      <c r="AS220" s="245"/>
      <c r="AT220" s="245"/>
      <c r="AU220" s="146">
        <f t="shared" si="63"/>
        <v>0</v>
      </c>
      <c r="AX220" s="147" t="s">
        <v>168</v>
      </c>
      <c r="AY220" s="148" t="s">
        <v>702</v>
      </c>
      <c r="AZ220" s="160"/>
      <c r="BA220" s="160"/>
      <c r="BB220" s="189"/>
      <c r="BC220" s="189"/>
      <c r="BD220" s="189"/>
      <c r="BE220" s="190"/>
      <c r="BF220" s="187">
        <f>BF221+BF222</f>
        <v>0</v>
      </c>
    </row>
    <row r="221" spans="1:58">
      <c r="B221" s="31"/>
      <c r="C221" s="30" t="s">
        <v>703</v>
      </c>
      <c r="D221" s="30"/>
      <c r="E221" s="30"/>
      <c r="F221" s="33" t="s">
        <v>815</v>
      </c>
      <c r="G221" s="33">
        <v>100</v>
      </c>
      <c r="H221" s="33"/>
      <c r="I221" s="67">
        <v>1</v>
      </c>
      <c r="J221" s="33"/>
      <c r="K221" s="69" t="e">
        <f>+GETPIVOTDATA("PPEF 2010 ",#REF!,"No. Ramo",40,"IPP","E","PP",2,"UR",100)+GETPIVOTDATA("PPEF 2010 ",#REF!,"No. Ramo",40,"IPP","E","PP",3,"UR",100)</f>
        <v>#REF!</v>
      </c>
      <c r="L221" s="69" t="e">
        <f>+GETPIVOTDATA("Ampliación Neta DIP ",#REF!,"No. Ramo",40,"IPP","E","PP",2,"UR",100)+GETPIVOTDATA("Ampliación Neta DIP ",#REF!,"No. Ramo",40,"IPP","E","PP",3,"UR",100)</f>
        <v>#REF!</v>
      </c>
      <c r="M221" s="69" t="e">
        <f>+GETPIVOTDATA("Recorte SHCP ",#REF!,"No. Ramo",40,"IPP","E","PP",2,"UR",100)+GETPIVOTDATA("Recorte SHCP ",#REF!,"No. Ramo",40,"IPP","E","PP",3,"UR",100)</f>
        <v>#REF!</v>
      </c>
      <c r="N221" s="69" t="e">
        <f>+GETPIVOTDATA("PEF 2010 ",#REF!,"No. Ramo",40,"IPP","E","PP",2,"UR",100)+GETPIVOTDATA("PEF 2010 ",#REF!,"No. Ramo",40,"IPP","E","PP",3,"UR",100)</f>
        <v>#REF!</v>
      </c>
      <c r="O221" s="69" t="e">
        <f>+GETPIVOTDATA("PPEF 2011 ",#REF!,"No. Ramo",40,"IPP","E","PP",2,"UR",100)+GETPIVOTDATA("PPEF 2011 ",#REF!,"No. Ramo",40,"IPP","E","PP",3,"UR",100)</f>
        <v>#REF!</v>
      </c>
      <c r="P221" s="69" t="e">
        <f>+GETPIVOTDATA("Reducción ",#REF!,"No. Ramo",40,"IPP","E","PP",2,"UR",100)+GETPIVOTDATA("Reducción ",#REF!,"No. Ramo",40,"IPP","E","PP",3,"UR",100)</f>
        <v>#REF!</v>
      </c>
      <c r="Q221" s="69" t="e">
        <f>+GETPIVOTDATA("Ampliación ",#REF!,"No. Ramo",40,"IPP","E","PP",2,"UR",100)+GETPIVOTDATA("Ampliación ",#REF!,"No. Ramo",40,"IPP","E","PP",3,"UR",100)</f>
        <v>#REF!</v>
      </c>
      <c r="R221" s="69" t="e">
        <f t="shared" si="58"/>
        <v>#REF!</v>
      </c>
      <c r="S221" s="69"/>
      <c r="T221" s="69"/>
      <c r="U221" s="69" t="e">
        <f t="shared" ref="U221:X222" si="64">+$I221*O221</f>
        <v>#REF!</v>
      </c>
      <c r="V221" s="69" t="e">
        <f t="shared" si="64"/>
        <v>#REF!</v>
      </c>
      <c r="W221" s="69" t="e">
        <f t="shared" si="64"/>
        <v>#REF!</v>
      </c>
      <c r="X221" s="69" t="e">
        <f t="shared" si="64"/>
        <v>#REF!</v>
      </c>
      <c r="AH221" s="152"/>
      <c r="AI221" s="157" t="s">
        <v>703</v>
      </c>
      <c r="AJ221" s="158"/>
      <c r="AK221" s="158"/>
      <c r="AL221" s="150"/>
      <c r="AM221" s="150"/>
      <c r="AN221" s="150"/>
      <c r="AO221" s="151"/>
      <c r="AP221" s="146"/>
      <c r="AQ221" s="146"/>
      <c r="AR221" s="146"/>
      <c r="AS221" s="245"/>
      <c r="AT221" s="245"/>
      <c r="AU221" s="146"/>
      <c r="AX221" s="152"/>
      <c r="AY221" s="157" t="s">
        <v>703</v>
      </c>
      <c r="AZ221" s="158"/>
      <c r="BA221" s="158"/>
      <c r="BB221" s="189"/>
      <c r="BC221" s="189"/>
      <c r="BD221" s="189"/>
      <c r="BE221" s="190"/>
      <c r="BF221" s="187">
        <f>+AU221</f>
        <v>0</v>
      </c>
    </row>
    <row r="222" spans="1:58">
      <c r="B222" s="31"/>
      <c r="C222" s="30" t="s">
        <v>500</v>
      </c>
      <c r="D222" s="30"/>
      <c r="E222" s="30"/>
      <c r="F222" s="33" t="s">
        <v>816</v>
      </c>
      <c r="G222" s="33">
        <v>100</v>
      </c>
      <c r="H222" s="33"/>
      <c r="I222" s="67">
        <v>1</v>
      </c>
      <c r="J222" s="33"/>
      <c r="K222" s="79" t="e">
        <f>+GETPIVOTDATA("PPEF 2010 ",#REF!,"No. Ramo",40,"IPP","E","PP",1,"UR",100)</f>
        <v>#REF!</v>
      </c>
      <c r="L222" s="79" t="e">
        <f>+GETPIVOTDATA("Ampliación Neta DIP ",#REF!,"No. Ramo",40,"IPP","E","PP",1,"UR",100)</f>
        <v>#REF!</v>
      </c>
      <c r="M222" s="79" t="e">
        <f>+GETPIVOTDATA("Recorte SHCP ",#REF!,"No. Ramo",40,"IPP","E","PP",1,"UR",100)</f>
        <v>#REF!</v>
      </c>
      <c r="N222" s="79" t="e">
        <f>+GETPIVOTDATA("PEF 2010 ",#REF!,"No. Ramo",40,"IPP","E","PP",1,"UR",100)</f>
        <v>#REF!</v>
      </c>
      <c r="O222" s="79" t="e">
        <f>+GETPIVOTDATA("PPEF 2011 ",#REF!,"No. Ramo",40,"IPP","E","PP",1,"UR",100)</f>
        <v>#REF!</v>
      </c>
      <c r="P222" s="79" t="e">
        <f>+GETPIVOTDATA("Reducción ",#REF!,"No. Ramo",40,"IPP","E","PP",1,"UR",100)</f>
        <v>#REF!</v>
      </c>
      <c r="Q222" s="79" t="e">
        <f>+GETPIVOTDATA("Ampliación ",#REF!,"No. Ramo",40,"IPP","E","PP",1,"UR",100)</f>
        <v>#REF!</v>
      </c>
      <c r="R222" s="69" t="e">
        <f t="shared" si="58"/>
        <v>#REF!</v>
      </c>
      <c r="S222" s="69"/>
      <c r="T222" s="69"/>
      <c r="U222" s="69" t="e">
        <f t="shared" si="64"/>
        <v>#REF!</v>
      </c>
      <c r="V222" s="69" t="e">
        <f t="shared" si="64"/>
        <v>#REF!</v>
      </c>
      <c r="W222" s="69" t="e">
        <f t="shared" si="64"/>
        <v>#REF!</v>
      </c>
      <c r="X222" s="79" t="e">
        <f t="shared" si="64"/>
        <v>#REF!</v>
      </c>
      <c r="AH222" s="152"/>
      <c r="AI222" s="157" t="s">
        <v>500</v>
      </c>
      <c r="AJ222" s="158"/>
      <c r="AK222" s="158"/>
      <c r="AL222" s="150"/>
      <c r="AM222" s="150"/>
      <c r="AN222" s="150"/>
      <c r="AO222" s="151"/>
      <c r="AP222" s="146"/>
      <c r="AQ222" s="146"/>
      <c r="AR222" s="146"/>
      <c r="AS222" s="245"/>
      <c r="AT222" s="245"/>
      <c r="AU222" s="146"/>
      <c r="AX222" s="152"/>
      <c r="AY222" s="157" t="s">
        <v>500</v>
      </c>
      <c r="AZ222" s="158"/>
      <c r="BA222" s="158"/>
      <c r="BB222" s="189"/>
      <c r="BC222" s="189"/>
      <c r="BD222" s="189"/>
      <c r="BE222" s="190"/>
      <c r="BF222" s="187">
        <f>+AU222</f>
        <v>0</v>
      </c>
    </row>
    <row r="223" spans="1:58">
      <c r="A223" s="122">
        <v>1</v>
      </c>
      <c r="B223" s="26"/>
      <c r="C223" s="27" t="s">
        <v>704</v>
      </c>
      <c r="D223" s="34"/>
      <c r="E223" s="34"/>
      <c r="F223" s="85"/>
      <c r="G223" s="85"/>
      <c r="H223" s="85"/>
      <c r="I223" s="86"/>
      <c r="J223" s="85"/>
      <c r="K223" s="63" t="e">
        <f t="shared" ref="K223:Q223" si="65">+K224</f>
        <v>#REF!</v>
      </c>
      <c r="L223" s="63" t="e">
        <f t="shared" si="65"/>
        <v>#REF!</v>
      </c>
      <c r="M223" s="63" t="e">
        <f t="shared" si="65"/>
        <v>#REF!</v>
      </c>
      <c r="N223" s="63" t="e">
        <f t="shared" si="65"/>
        <v>#REF!</v>
      </c>
      <c r="O223" s="63" t="e">
        <f t="shared" si="65"/>
        <v>#REF!</v>
      </c>
      <c r="P223" s="63" t="e">
        <f t="shared" si="65"/>
        <v>#REF!</v>
      </c>
      <c r="Q223" s="63" t="e">
        <f t="shared" si="65"/>
        <v>#REF!</v>
      </c>
      <c r="R223" s="63" t="e">
        <f t="shared" si="58"/>
        <v>#REF!</v>
      </c>
      <c r="S223" s="63"/>
      <c r="T223" s="63"/>
      <c r="U223" s="63" t="e">
        <f>+U224</f>
        <v>#REF!</v>
      </c>
      <c r="V223" s="63" t="e">
        <f>+V224</f>
        <v>#REF!</v>
      </c>
      <c r="W223" s="63" t="e">
        <f>+W224</f>
        <v>#REF!</v>
      </c>
      <c r="X223" s="63" t="e">
        <f>+X224</f>
        <v>#REF!</v>
      </c>
      <c r="AH223" s="147"/>
      <c r="AI223" s="148" t="s">
        <v>704</v>
      </c>
      <c r="AJ223" s="165"/>
      <c r="AK223" s="165"/>
      <c r="AL223" s="166"/>
      <c r="AM223" s="150"/>
      <c r="AN223" s="150"/>
      <c r="AO223" s="151"/>
      <c r="AP223" s="146">
        <f>AP224</f>
        <v>0</v>
      </c>
      <c r="AQ223" s="146">
        <f>AQ224</f>
        <v>0</v>
      </c>
      <c r="AR223" s="146">
        <f>AR224</f>
        <v>0</v>
      </c>
      <c r="AS223" s="245"/>
      <c r="AT223" s="245"/>
      <c r="AU223" s="146">
        <f>AU224</f>
        <v>0</v>
      </c>
      <c r="AX223" s="147"/>
      <c r="AY223" s="148" t="s">
        <v>704</v>
      </c>
      <c r="AZ223" s="165"/>
      <c r="BA223" s="165"/>
      <c r="BB223" s="166"/>
      <c r="BC223" s="189"/>
      <c r="BD223" s="189"/>
      <c r="BE223" s="190"/>
      <c r="BF223" s="187">
        <f>BF224</f>
        <v>0</v>
      </c>
    </row>
    <row r="224" spans="1:58">
      <c r="A224" s="122">
        <v>1</v>
      </c>
      <c r="B224" s="28" t="s">
        <v>168</v>
      </c>
      <c r="C224" s="29" t="s">
        <v>660</v>
      </c>
      <c r="D224" s="29"/>
      <c r="E224" s="29"/>
      <c r="F224" s="28"/>
      <c r="G224" s="28"/>
      <c r="H224" s="28"/>
      <c r="I224" s="65"/>
      <c r="J224" s="28"/>
      <c r="K224" s="66" t="e">
        <f t="shared" ref="K224:Q224" si="66">+K225+K228+K231+K235</f>
        <v>#REF!</v>
      </c>
      <c r="L224" s="66" t="e">
        <f t="shared" si="66"/>
        <v>#REF!</v>
      </c>
      <c r="M224" s="66" t="e">
        <f t="shared" si="66"/>
        <v>#REF!</v>
      </c>
      <c r="N224" s="66" t="e">
        <f t="shared" si="66"/>
        <v>#REF!</v>
      </c>
      <c r="O224" s="66" t="e">
        <f t="shared" si="66"/>
        <v>#REF!</v>
      </c>
      <c r="P224" s="66" t="e">
        <f t="shared" si="66"/>
        <v>#REF!</v>
      </c>
      <c r="Q224" s="66" t="e">
        <f t="shared" si="66"/>
        <v>#REF!</v>
      </c>
      <c r="R224" s="66" t="e">
        <f t="shared" si="58"/>
        <v>#REF!</v>
      </c>
      <c r="S224" s="66"/>
      <c r="T224" s="66"/>
      <c r="U224" s="66" t="e">
        <f>+U225+U228+U231+U235</f>
        <v>#REF!</v>
      </c>
      <c r="V224" s="66" t="e">
        <f>+V225+V228+V231+V235</f>
        <v>#REF!</v>
      </c>
      <c r="W224" s="66" t="e">
        <f>+W225+W228+W231+W235</f>
        <v>#REF!</v>
      </c>
      <c r="X224" s="66" t="e">
        <f>+X225+X228+X231+X235</f>
        <v>#REF!</v>
      </c>
      <c r="AH224" s="147" t="s">
        <v>168</v>
      </c>
      <c r="AI224" s="148" t="s">
        <v>660</v>
      </c>
      <c r="AJ224" s="160"/>
      <c r="AK224" s="160"/>
      <c r="AL224" s="149"/>
      <c r="AM224" s="150"/>
      <c r="AN224" s="150"/>
      <c r="AO224" s="151"/>
      <c r="AP224" s="146">
        <f>AP225+AP228+AP231+AP235</f>
        <v>0</v>
      </c>
      <c r="AQ224" s="146">
        <f>AQ225+AQ228+AQ231+AQ235</f>
        <v>0</v>
      </c>
      <c r="AR224" s="146">
        <f>AR225+AR228+AR231+AR235</f>
        <v>0</v>
      </c>
      <c r="AS224" s="245"/>
      <c r="AT224" s="245"/>
      <c r="AU224" s="146">
        <f>AU225+AU228+AU231+AU235</f>
        <v>0</v>
      </c>
      <c r="AX224" s="147" t="s">
        <v>168</v>
      </c>
      <c r="AY224" s="148" t="s">
        <v>660</v>
      </c>
      <c r="AZ224" s="160"/>
      <c r="BA224" s="160"/>
      <c r="BB224" s="149"/>
      <c r="BC224" s="189"/>
      <c r="BD224" s="189"/>
      <c r="BE224" s="190"/>
      <c r="BF224" s="187">
        <f>BF225+BF228+BF231+BF235</f>
        <v>0</v>
      </c>
    </row>
    <row r="225" spans="1:58">
      <c r="A225" s="122">
        <v>1</v>
      </c>
      <c r="B225" s="31"/>
      <c r="C225" s="30" t="s">
        <v>705</v>
      </c>
      <c r="D225" s="30"/>
      <c r="E225" s="30"/>
      <c r="F225" s="33" t="s">
        <v>817</v>
      </c>
      <c r="G225" s="33" t="s">
        <v>37</v>
      </c>
      <c r="H225" s="33"/>
      <c r="I225" s="67">
        <v>1</v>
      </c>
      <c r="J225" s="33"/>
      <c r="K225" s="69" t="e">
        <f>+GETPIVOTDATA("PPEF 2010 ",#REF!,"No. Ramo",8,"IPP","U","PP",17,"UR","G00")</f>
        <v>#REF!</v>
      </c>
      <c r="L225" s="69" t="e">
        <f>+GETPIVOTDATA("Ampliación Neta DIP ",#REF!,"No. Ramo",8,"IPP","U","PP",17,"UR","G00")</f>
        <v>#REF!</v>
      </c>
      <c r="M225" s="69" t="e">
        <f>+GETPIVOTDATA("Recorte SHCP ",#REF!,"No. Ramo",8,"IPP","U","PP",17,"UR","G00")</f>
        <v>#REF!</v>
      </c>
      <c r="N225" s="69" t="e">
        <f>+GETPIVOTDATA("PEF 2010 ",#REF!,"No. Ramo",8,"IPP","U","PP",17,"UR","G00")</f>
        <v>#REF!</v>
      </c>
      <c r="O225" s="69" t="e">
        <f>+GETPIVOTDATA("PPEF 2011 ",#REF!,"No. Ramo",8,"IPP","U","PP",17,"UR","G00")</f>
        <v>#REF!</v>
      </c>
      <c r="P225" s="69" t="e">
        <f>+GETPIVOTDATA("Reducción ",#REF!,"No. Ramo",8,"IPP","U","PP",17,"UR","G00")</f>
        <v>#REF!</v>
      </c>
      <c r="Q225" s="69" t="e">
        <f>+GETPIVOTDATA("Ampliación ",#REF!,"No. Ramo",8,"IPP","U","PP",17,"UR","G00")</f>
        <v>#REF!</v>
      </c>
      <c r="R225" s="69" t="e">
        <f t="shared" si="58"/>
        <v>#REF!</v>
      </c>
      <c r="S225" s="69"/>
      <c r="T225" s="69"/>
      <c r="U225" s="69" t="e">
        <f>+$I225*O225</f>
        <v>#REF!</v>
      </c>
      <c r="V225" s="69" t="e">
        <f>+$I225*P225</f>
        <v>#REF!</v>
      </c>
      <c r="W225" s="69" t="e">
        <f>+$I225*Q225</f>
        <v>#REF!</v>
      </c>
      <c r="X225" s="69" t="e">
        <f>+$I225*R225</f>
        <v>#REF!</v>
      </c>
      <c r="AH225" s="152"/>
      <c r="AI225" s="157" t="s">
        <v>705</v>
      </c>
      <c r="AJ225" s="158"/>
      <c r="AK225" s="158"/>
      <c r="AL225" s="150"/>
      <c r="AM225" s="150"/>
      <c r="AN225" s="150"/>
      <c r="AO225" s="151"/>
      <c r="AP225" s="146"/>
      <c r="AQ225" s="146"/>
      <c r="AR225" s="146"/>
      <c r="AS225" s="245"/>
      <c r="AT225" s="245"/>
      <c r="AU225" s="146"/>
      <c r="AX225" s="152"/>
      <c r="AY225" s="157" t="s">
        <v>705</v>
      </c>
      <c r="AZ225" s="158"/>
      <c r="BA225" s="158"/>
      <c r="BB225" s="189"/>
      <c r="BC225" s="189"/>
      <c r="BD225" s="189"/>
      <c r="BE225" s="190"/>
      <c r="BF225" s="187">
        <f>+AU225</f>
        <v>0</v>
      </c>
    </row>
    <row r="226" spans="1:58">
      <c r="A226" s="122">
        <v>1</v>
      </c>
      <c r="B226" s="31"/>
      <c r="C226" s="100" t="s">
        <v>941</v>
      </c>
      <c r="D226" s="30"/>
      <c r="E226" s="30"/>
      <c r="F226" s="33"/>
      <c r="G226" s="33"/>
      <c r="H226" s="33"/>
      <c r="I226" s="67"/>
      <c r="J226" s="33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AH226" s="152"/>
      <c r="AI226" s="159" t="s">
        <v>941</v>
      </c>
      <c r="AJ226" s="158"/>
      <c r="AK226" s="158"/>
      <c r="AL226" s="150"/>
      <c r="AM226" s="150"/>
      <c r="AN226" s="150"/>
      <c r="AO226" s="151"/>
      <c r="AP226" s="146"/>
      <c r="AQ226" s="146"/>
      <c r="AR226" s="146"/>
      <c r="AS226" s="245"/>
      <c r="AT226" s="245"/>
      <c r="AU226" s="146"/>
      <c r="AX226" s="152"/>
      <c r="AY226" s="159" t="s">
        <v>941</v>
      </c>
      <c r="AZ226" s="158"/>
      <c r="BA226" s="158"/>
      <c r="BB226" s="189"/>
      <c r="BC226" s="189"/>
      <c r="BD226" s="189"/>
      <c r="BE226" s="190"/>
      <c r="BF226" s="187">
        <f>+AU226</f>
        <v>0</v>
      </c>
    </row>
    <row r="227" spans="1:58">
      <c r="A227" s="122">
        <v>1</v>
      </c>
      <c r="B227" s="31"/>
      <c r="C227" s="100" t="s">
        <v>943</v>
      </c>
      <c r="D227" s="30"/>
      <c r="E227" s="30"/>
      <c r="F227" s="33"/>
      <c r="G227" s="33"/>
      <c r="H227" s="33"/>
      <c r="I227" s="67"/>
      <c r="J227" s="33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AH227" s="152"/>
      <c r="AI227" s="159" t="s">
        <v>943</v>
      </c>
      <c r="AJ227" s="158"/>
      <c r="AK227" s="158"/>
      <c r="AL227" s="150"/>
      <c r="AM227" s="150"/>
      <c r="AN227" s="150"/>
      <c r="AO227" s="151"/>
      <c r="AP227" s="146"/>
      <c r="AQ227" s="146"/>
      <c r="AR227" s="146"/>
      <c r="AS227" s="245"/>
      <c r="AT227" s="245"/>
      <c r="AU227" s="146"/>
      <c r="AX227" s="152"/>
      <c r="AY227" s="159" t="s">
        <v>943</v>
      </c>
      <c r="AZ227" s="158"/>
      <c r="BA227" s="158"/>
      <c r="BB227" s="189"/>
      <c r="BC227" s="189"/>
      <c r="BD227" s="189"/>
      <c r="BE227" s="190"/>
      <c r="BF227" s="187">
        <f>+AU227</f>
        <v>0</v>
      </c>
    </row>
    <row r="228" spans="1:58">
      <c r="A228" s="122">
        <v>1</v>
      </c>
      <c r="B228" s="31"/>
      <c r="C228" s="30" t="s">
        <v>706</v>
      </c>
      <c r="D228" s="30"/>
      <c r="E228" s="30"/>
      <c r="F228" s="33" t="s">
        <v>818</v>
      </c>
      <c r="G228" s="33" t="s">
        <v>18</v>
      </c>
      <c r="H228" s="33"/>
      <c r="I228" s="67">
        <v>1</v>
      </c>
      <c r="J228" s="87">
        <v>2.8772611387641089E-2</v>
      </c>
      <c r="K228" s="69" t="e">
        <f>+GETPIVOTDATA("PPEF 2010 ",#REF!,"No. Ramo",8,"IPP","S","PP",232,"UR","F00")*$J228+GETPIVOTDATA("PPEF 2010 ",#REF!,"No. Ramo",8,"IPP","E","PP",8,"UR","F00")</f>
        <v>#REF!</v>
      </c>
      <c r="L228" s="69" t="e">
        <f>+GETPIVOTDATA("Ampliación Neta DIP ",#REF!,"No. Ramo",8,"IPP","S","PP",232,"UR","F00")*$J228+GETPIVOTDATA("Ampliación Neta DIP ",#REF!,"No. Ramo",8,"IPP","E","PP",8,"UR","F00")</f>
        <v>#REF!</v>
      </c>
      <c r="M228" s="69" t="e">
        <f>+GETPIVOTDATA("Recorte SHCP ",#REF!,"No. Ramo",8,"IPP","S","PP",232,"UR","F00")*$J228+GETPIVOTDATA("Recorte SHCP ",#REF!,"No. Ramo",8,"IPP","E","PP",8,"UR","F00")</f>
        <v>#REF!</v>
      </c>
      <c r="N228" s="69" t="e">
        <f>+GETPIVOTDATA("PEF 2010 ",#REF!,"No. Ramo",8,"IPP","S","PP",232,"UR","F00")*$J228+GETPIVOTDATA("PEF 2010 ",#REF!,"No. Ramo",8,"IPP","E","PP",8,"UR","F00")</f>
        <v>#REF!</v>
      </c>
      <c r="O228" s="69" t="e">
        <f>+GETPIVOTDATA("PPEF 2011 ",#REF!,"No. Ramo",8,"IPP","S","PP",232,"UR","F00")*$J228+GETPIVOTDATA("PPEF 2011 ",#REF!,"No. Ramo",8,"IPP","E","PP",8,"UR","F00")</f>
        <v>#REF!</v>
      </c>
      <c r="P228" s="69" t="e">
        <f>+GETPIVOTDATA("Reducción ",#REF!,"No. Ramo",8,"IPP","S","PP",232,"UR","F00")*$J228+GETPIVOTDATA("Reducción ",#REF!,"No. Ramo",8,"IPP","E","PP",8,"UR","F00")</f>
        <v>#REF!</v>
      </c>
      <c r="Q228" s="69" t="e">
        <f>+GETPIVOTDATA("Ampliación ",#REF!,"No. Ramo",8,"IPP","S","PP",232,"UR","F00")*$J228+GETPIVOTDATA("Ampliación ",#REF!,"No. Ramo",8,"IPP","E","PP",8,"UR","F00")</f>
        <v>#REF!</v>
      </c>
      <c r="R228" s="69" t="e">
        <f t="shared" si="58"/>
        <v>#REF!</v>
      </c>
      <c r="S228" s="69"/>
      <c r="T228" s="69"/>
      <c r="U228" s="69" t="e">
        <f>+$I228*O228</f>
        <v>#REF!</v>
      </c>
      <c r="V228" s="69" t="e">
        <f>+$I228*P228</f>
        <v>#REF!</v>
      </c>
      <c r="W228" s="69" t="e">
        <f>+$I228*Q228</f>
        <v>#REF!</v>
      </c>
      <c r="X228" s="69" t="e">
        <f>+$I228*R228</f>
        <v>#REF!</v>
      </c>
      <c r="Y228" s="1"/>
      <c r="AH228" s="152"/>
      <c r="AI228" s="157" t="s">
        <v>706</v>
      </c>
      <c r="AJ228" s="158"/>
      <c r="AK228" s="158"/>
      <c r="AL228" s="150"/>
      <c r="AM228" s="150"/>
      <c r="AN228" s="150"/>
      <c r="AO228" s="151"/>
      <c r="AP228" s="146">
        <f>AP229+AP230</f>
        <v>0</v>
      </c>
      <c r="AQ228" s="146">
        <f>AQ229+AQ230</f>
        <v>0</v>
      </c>
      <c r="AR228" s="146">
        <f>AR229+AR230</f>
        <v>0</v>
      </c>
      <c r="AS228" s="245"/>
      <c r="AT228" s="245"/>
      <c r="AU228" s="146">
        <f>AU229+AU230</f>
        <v>0</v>
      </c>
      <c r="AX228" s="152"/>
      <c r="AY228" s="157" t="s">
        <v>706</v>
      </c>
      <c r="AZ228" s="158"/>
      <c r="BA228" s="158"/>
      <c r="BB228" s="189"/>
      <c r="BC228" s="189"/>
      <c r="BD228" s="189"/>
      <c r="BE228" s="190"/>
      <c r="BF228" s="187">
        <f>BF229+BF230</f>
        <v>0</v>
      </c>
    </row>
    <row r="229" spans="1:58">
      <c r="A229" s="122">
        <v>1</v>
      </c>
      <c r="B229" s="31"/>
      <c r="C229" s="100" t="s">
        <v>943</v>
      </c>
      <c r="D229" s="30"/>
      <c r="E229" s="30"/>
      <c r="F229" s="33"/>
      <c r="G229" s="33"/>
      <c r="H229" s="33"/>
      <c r="I229" s="67"/>
      <c r="J229" s="87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AH229" s="152"/>
      <c r="AI229" s="159" t="s">
        <v>943</v>
      </c>
      <c r="AJ229" s="158"/>
      <c r="AK229" s="158"/>
      <c r="AL229" s="150"/>
      <c r="AM229" s="150"/>
      <c r="AN229" s="150"/>
      <c r="AO229" s="151"/>
      <c r="AP229" s="146"/>
      <c r="AQ229" s="146"/>
      <c r="AR229" s="146"/>
      <c r="AS229" s="245"/>
      <c r="AT229" s="245"/>
      <c r="AU229" s="146"/>
      <c r="AX229" s="152"/>
      <c r="AY229" s="159" t="s">
        <v>943</v>
      </c>
      <c r="AZ229" s="158"/>
      <c r="BA229" s="158"/>
      <c r="BB229" s="189"/>
      <c r="BC229" s="189"/>
      <c r="BD229" s="189"/>
      <c r="BE229" s="190"/>
      <c r="BF229" s="187">
        <f>+AU229</f>
        <v>0</v>
      </c>
    </row>
    <row r="230" spans="1:58">
      <c r="A230" s="122">
        <v>1</v>
      </c>
      <c r="B230" s="31"/>
      <c r="C230" s="100" t="s">
        <v>941</v>
      </c>
      <c r="D230" s="30"/>
      <c r="E230" s="30"/>
      <c r="F230" s="33"/>
      <c r="G230" s="33"/>
      <c r="H230" s="33"/>
      <c r="I230" s="67"/>
      <c r="J230" s="87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AH230" s="152"/>
      <c r="AI230" s="159" t="s">
        <v>941</v>
      </c>
      <c r="AJ230" s="158"/>
      <c r="AK230" s="158"/>
      <c r="AL230" s="150"/>
      <c r="AM230" s="150"/>
      <c r="AN230" s="150"/>
      <c r="AO230" s="151"/>
      <c r="AP230" s="146"/>
      <c r="AQ230" s="146"/>
      <c r="AR230" s="146"/>
      <c r="AS230" s="245"/>
      <c r="AT230" s="245"/>
      <c r="AU230" s="146"/>
      <c r="AX230" s="152"/>
      <c r="AY230" s="159" t="s">
        <v>941</v>
      </c>
      <c r="AZ230" s="158"/>
      <c r="BA230" s="158"/>
      <c r="BB230" s="189"/>
      <c r="BC230" s="189"/>
      <c r="BD230" s="189"/>
      <c r="BE230" s="190"/>
      <c r="BF230" s="187">
        <f>+AU230</f>
        <v>0</v>
      </c>
    </row>
    <row r="231" spans="1:58">
      <c r="A231" s="122">
        <v>1</v>
      </c>
      <c r="B231" s="31"/>
      <c r="C231" s="30" t="s">
        <v>707</v>
      </c>
      <c r="D231" s="30"/>
      <c r="E231" s="30"/>
      <c r="F231" s="33" t="s">
        <v>819</v>
      </c>
      <c r="G231" s="33">
        <v>212</v>
      </c>
      <c r="H231" s="33"/>
      <c r="I231" s="67">
        <v>1</v>
      </c>
      <c r="J231" s="33"/>
      <c r="K231" s="69" t="e">
        <f>+GETPIVOTDATA("PPEF 2010 ",#REF!,"No. Ramo",8,"IPP","E","PP",9,"UR",212)</f>
        <v>#REF!</v>
      </c>
      <c r="L231" s="69" t="e">
        <f>+GETPIVOTDATA("Ampliación Neta DIP ",#REF!,"No. Ramo",8,"IPP","E","PP",9,"UR",212)</f>
        <v>#REF!</v>
      </c>
      <c r="M231" s="69" t="e">
        <f>+GETPIVOTDATA("Recorte SHCP ",#REF!,"No. Ramo",8,"IPP","E","PP",9,"UR",212)</f>
        <v>#REF!</v>
      </c>
      <c r="N231" s="69" t="e">
        <f>+GETPIVOTDATA("PEF 2010 ",#REF!,"No. Ramo",8,"IPP","E","PP",9,"UR",212)</f>
        <v>#REF!</v>
      </c>
      <c r="O231" s="69" t="e">
        <f>+GETPIVOTDATA("PPEF 2011 ",#REF!,"No. Ramo",8,"IPP","E","PP",9,"UR",212)</f>
        <v>#REF!</v>
      </c>
      <c r="P231" s="69" t="e">
        <f>+GETPIVOTDATA("Reducción ",#REF!,"No. Ramo",8,"IPP","E","PP",9,"UR",212)</f>
        <v>#REF!</v>
      </c>
      <c r="Q231" s="69" t="e">
        <f>+GETPIVOTDATA("Ampliación ",#REF!,"No. Ramo",8,"IPP","E","PP",9,"UR",212)</f>
        <v>#REF!</v>
      </c>
      <c r="R231" s="69" t="e">
        <f t="shared" si="58"/>
        <v>#REF!</v>
      </c>
      <c r="S231" s="69"/>
      <c r="T231" s="69"/>
      <c r="U231" s="69" t="e">
        <f>+$I231*O231</f>
        <v>#REF!</v>
      </c>
      <c r="V231" s="69" t="e">
        <f>+$I231*P231</f>
        <v>#REF!</v>
      </c>
      <c r="W231" s="69" t="e">
        <f>+$I231*Q231</f>
        <v>#REF!</v>
      </c>
      <c r="X231" s="69" t="e">
        <f>+$I231*R231</f>
        <v>#REF!</v>
      </c>
      <c r="AH231" s="152"/>
      <c r="AI231" s="157" t="s">
        <v>707</v>
      </c>
      <c r="AJ231" s="158"/>
      <c r="AK231" s="158"/>
      <c r="AL231" s="150"/>
      <c r="AM231" s="150"/>
      <c r="AN231" s="150"/>
      <c r="AO231" s="151"/>
      <c r="AP231" s="146">
        <f>AP232+AP233+AP234</f>
        <v>0</v>
      </c>
      <c r="AQ231" s="146">
        <f>AQ232+AQ233+AQ234</f>
        <v>0</v>
      </c>
      <c r="AR231" s="146">
        <f>AR232+AR233+AR234</f>
        <v>0</v>
      </c>
      <c r="AS231" s="245"/>
      <c r="AT231" s="245"/>
      <c r="AU231" s="146">
        <f>AU232+AU233+AU234</f>
        <v>0</v>
      </c>
      <c r="AX231" s="152"/>
      <c r="AY231" s="157" t="s">
        <v>707</v>
      </c>
      <c r="AZ231" s="158"/>
      <c r="BA231" s="158"/>
      <c r="BB231" s="189"/>
      <c r="BC231" s="189"/>
      <c r="BD231" s="189"/>
      <c r="BE231" s="190"/>
      <c r="BF231" s="187">
        <f>BF232+BF233+BF234</f>
        <v>0</v>
      </c>
    </row>
    <row r="232" spans="1:58">
      <c r="A232" s="122">
        <v>1</v>
      </c>
      <c r="B232" s="31"/>
      <c r="C232" s="99" t="s">
        <v>967</v>
      </c>
      <c r="D232" s="30"/>
      <c r="E232" s="30"/>
      <c r="F232" s="33"/>
      <c r="G232" s="33"/>
      <c r="H232" s="33"/>
      <c r="I232" s="67"/>
      <c r="J232" s="33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AH232" s="152"/>
      <c r="AI232" s="167" t="s">
        <v>967</v>
      </c>
      <c r="AJ232" s="158"/>
      <c r="AK232" s="158"/>
      <c r="AL232" s="150"/>
      <c r="AM232" s="150"/>
      <c r="AN232" s="150"/>
      <c r="AO232" s="151"/>
      <c r="AP232" s="146"/>
      <c r="AQ232" s="146"/>
      <c r="AR232" s="146"/>
      <c r="AS232" s="245"/>
      <c r="AT232" s="245"/>
      <c r="AU232" s="146"/>
      <c r="AX232" s="152"/>
      <c r="AY232" s="167" t="s">
        <v>967</v>
      </c>
      <c r="AZ232" s="158"/>
      <c r="BA232" s="158"/>
      <c r="BB232" s="189"/>
      <c r="BC232" s="189"/>
      <c r="BD232" s="189"/>
      <c r="BE232" s="190"/>
      <c r="BF232" s="187">
        <f>+AU232</f>
        <v>0</v>
      </c>
    </row>
    <row r="233" spans="1:58">
      <c r="A233" s="122">
        <v>1</v>
      </c>
      <c r="B233" s="31"/>
      <c r="C233" s="99" t="s">
        <v>995</v>
      </c>
      <c r="D233" s="30"/>
      <c r="E233" s="30"/>
      <c r="F233" s="33"/>
      <c r="G233" s="33"/>
      <c r="H233" s="33"/>
      <c r="I233" s="67"/>
      <c r="J233" s="33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AH233" s="152"/>
      <c r="AI233" s="167" t="s">
        <v>995</v>
      </c>
      <c r="AJ233" s="158"/>
      <c r="AK233" s="158"/>
      <c r="AL233" s="150"/>
      <c r="AM233" s="150"/>
      <c r="AN233" s="150"/>
      <c r="AO233" s="151"/>
      <c r="AP233" s="146"/>
      <c r="AQ233" s="146"/>
      <c r="AR233" s="146"/>
      <c r="AS233" s="245"/>
      <c r="AT233" s="245"/>
      <c r="AU233" s="146"/>
      <c r="AX233" s="152"/>
      <c r="AY233" s="167" t="s">
        <v>995</v>
      </c>
      <c r="AZ233" s="158"/>
      <c r="BA233" s="158"/>
      <c r="BB233" s="189"/>
      <c r="BC233" s="189"/>
      <c r="BD233" s="189"/>
      <c r="BE233" s="190"/>
      <c r="BF233" s="187">
        <f>+AU233</f>
        <v>0</v>
      </c>
    </row>
    <row r="234" spans="1:58">
      <c r="A234" s="122">
        <v>1</v>
      </c>
      <c r="B234" s="31"/>
      <c r="C234" s="99" t="s">
        <v>970</v>
      </c>
      <c r="D234" s="30"/>
      <c r="E234" s="30"/>
      <c r="F234" s="33"/>
      <c r="G234" s="33"/>
      <c r="H234" s="33"/>
      <c r="I234" s="67"/>
      <c r="J234" s="33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AH234" s="152"/>
      <c r="AI234" s="167" t="s">
        <v>970</v>
      </c>
      <c r="AJ234" s="158"/>
      <c r="AK234" s="158"/>
      <c r="AL234" s="150"/>
      <c r="AM234" s="150"/>
      <c r="AN234" s="150"/>
      <c r="AO234" s="151"/>
      <c r="AP234" s="146"/>
      <c r="AQ234" s="146"/>
      <c r="AR234" s="146"/>
      <c r="AS234" s="245"/>
      <c r="AT234" s="245"/>
      <c r="AU234" s="146"/>
      <c r="AX234" s="152"/>
      <c r="AY234" s="167" t="s">
        <v>970</v>
      </c>
      <c r="AZ234" s="158"/>
      <c r="BA234" s="158"/>
      <c r="BB234" s="189"/>
      <c r="BC234" s="189"/>
      <c r="BD234" s="189"/>
      <c r="BE234" s="190"/>
      <c r="BF234" s="187">
        <f>+AU234</f>
        <v>0</v>
      </c>
    </row>
    <row r="235" spans="1:58">
      <c r="A235" s="122">
        <v>1</v>
      </c>
      <c r="B235" s="31"/>
      <c r="C235" s="30" t="s">
        <v>708</v>
      </c>
      <c r="D235" s="30"/>
      <c r="E235" s="30"/>
      <c r="F235" s="33" t="s">
        <v>820</v>
      </c>
      <c r="G235" s="33">
        <v>210</v>
      </c>
      <c r="H235" s="33"/>
      <c r="I235" s="67">
        <v>1</v>
      </c>
      <c r="J235" s="33"/>
      <c r="K235" s="69" t="e">
        <f>+GETPIVOTDATA("PPEF 2010 ",#REF!,"No. Ramo",8,"IPP","E","PP",10,"UR",210)</f>
        <v>#REF!</v>
      </c>
      <c r="L235" s="69" t="e">
        <f>+GETPIVOTDATA("Ampliación Neta DIP ",#REF!,"No. Ramo",8,"IPP","E","PP",10,"UR",210)</f>
        <v>#REF!</v>
      </c>
      <c r="M235" s="69" t="e">
        <f>+GETPIVOTDATA("Recorte SHCP ",#REF!,"No. Ramo",8,"IPP","E","PP",10,"UR",210)</f>
        <v>#REF!</v>
      </c>
      <c r="N235" s="69" t="e">
        <f>+GETPIVOTDATA("PEF 2010 ",#REF!,"No. Ramo",8,"IPP","E","PP",10,"UR",210)</f>
        <v>#REF!</v>
      </c>
      <c r="O235" s="69" t="e">
        <f>+GETPIVOTDATA("PPEF 2011 ",#REF!,"No. Ramo",8,"IPP","E","PP",10,"UR",210)</f>
        <v>#REF!</v>
      </c>
      <c r="P235" s="69" t="e">
        <f>+GETPIVOTDATA("Reducción ",#REF!,"No. Ramo",8,"IPP","E","PP",10,"UR",210)</f>
        <v>#REF!</v>
      </c>
      <c r="Q235" s="69" t="e">
        <f>+GETPIVOTDATA("Ampliación ",#REF!,"No. Ramo",8,"IPP","E","PP",10,"UR",210)</f>
        <v>#REF!</v>
      </c>
      <c r="R235" s="69" t="e">
        <f t="shared" si="58"/>
        <v>#REF!</v>
      </c>
      <c r="S235" s="69"/>
      <c r="T235" s="69"/>
      <c r="U235" s="69" t="e">
        <f>+$I235*O235</f>
        <v>#REF!</v>
      </c>
      <c r="V235" s="69" t="e">
        <f>+$I235*P235</f>
        <v>#REF!</v>
      </c>
      <c r="W235" s="69" t="e">
        <f>+$I235*Q235</f>
        <v>#REF!</v>
      </c>
      <c r="X235" s="69" t="e">
        <f>+$I235*R235</f>
        <v>#REF!</v>
      </c>
      <c r="AH235" s="152"/>
      <c r="AI235" s="157" t="s">
        <v>708</v>
      </c>
      <c r="AJ235" s="158"/>
      <c r="AK235" s="158"/>
      <c r="AL235" s="150"/>
      <c r="AM235" s="150"/>
      <c r="AN235" s="150"/>
      <c r="AO235" s="151"/>
      <c r="AP235" s="146">
        <f>AP236+AP237</f>
        <v>0</v>
      </c>
      <c r="AQ235" s="146">
        <f>AQ236+AQ237</f>
        <v>0</v>
      </c>
      <c r="AR235" s="146">
        <f>AR236+AR237</f>
        <v>0</v>
      </c>
      <c r="AS235" s="245"/>
      <c r="AT235" s="245"/>
      <c r="AU235" s="146">
        <f>AU236+AU237</f>
        <v>0</v>
      </c>
      <c r="AX235" s="152"/>
      <c r="AY235" s="157" t="s">
        <v>708</v>
      </c>
      <c r="AZ235" s="158"/>
      <c r="BA235" s="158"/>
      <c r="BB235" s="189"/>
      <c r="BC235" s="189"/>
      <c r="BD235" s="189"/>
      <c r="BE235" s="190"/>
      <c r="BF235" s="187">
        <f>BF236+BF237</f>
        <v>0</v>
      </c>
    </row>
    <row r="236" spans="1:58">
      <c r="A236" s="122">
        <v>1</v>
      </c>
      <c r="B236" s="31"/>
      <c r="C236" s="99" t="s">
        <v>967</v>
      </c>
      <c r="D236" s="30"/>
      <c r="E236" s="30"/>
      <c r="F236" s="33"/>
      <c r="G236" s="33"/>
      <c r="H236" s="33"/>
      <c r="I236" s="67"/>
      <c r="J236" s="33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AH236" s="152"/>
      <c r="AI236" s="167" t="s">
        <v>967</v>
      </c>
      <c r="AJ236" s="158"/>
      <c r="AK236" s="158"/>
      <c r="AL236" s="150"/>
      <c r="AM236" s="150"/>
      <c r="AN236" s="150"/>
      <c r="AO236" s="151"/>
      <c r="AP236" s="146"/>
      <c r="AQ236" s="146"/>
      <c r="AR236" s="146"/>
      <c r="AS236" s="245"/>
      <c r="AT236" s="245"/>
      <c r="AU236" s="146"/>
      <c r="AX236" s="152"/>
      <c r="AY236" s="167" t="s">
        <v>967</v>
      </c>
      <c r="AZ236" s="158"/>
      <c r="BA236" s="158"/>
      <c r="BB236" s="189"/>
      <c r="BC236" s="189"/>
      <c r="BD236" s="189"/>
      <c r="BE236" s="190"/>
      <c r="BF236" s="187">
        <f>+AU236</f>
        <v>0</v>
      </c>
    </row>
    <row r="237" spans="1:58">
      <c r="A237" s="122">
        <v>1</v>
      </c>
      <c r="B237" s="31"/>
      <c r="C237" s="99" t="s">
        <v>960</v>
      </c>
      <c r="D237" s="30"/>
      <c r="E237" s="30"/>
      <c r="F237" s="33"/>
      <c r="G237" s="33"/>
      <c r="H237" s="33"/>
      <c r="I237" s="67"/>
      <c r="J237" s="33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AH237" s="152"/>
      <c r="AI237" s="167" t="s">
        <v>960</v>
      </c>
      <c r="AJ237" s="158"/>
      <c r="AK237" s="158"/>
      <c r="AL237" s="155"/>
      <c r="AM237" s="150"/>
      <c r="AN237" s="150"/>
      <c r="AO237" s="151"/>
      <c r="AP237" s="146"/>
      <c r="AQ237" s="146"/>
      <c r="AR237" s="146"/>
      <c r="AS237" s="245"/>
      <c r="AT237" s="245"/>
      <c r="AU237" s="146"/>
      <c r="AX237" s="152"/>
      <c r="AY237" s="167" t="s">
        <v>960</v>
      </c>
      <c r="AZ237" s="158"/>
      <c r="BA237" s="158"/>
      <c r="BB237" s="155"/>
      <c r="BC237" s="189"/>
      <c r="BD237" s="189"/>
      <c r="BE237" s="190"/>
      <c r="BF237" s="187">
        <f>+AU237</f>
        <v>0</v>
      </c>
    </row>
    <row r="238" spans="1:58">
      <c r="A238" s="122">
        <v>1</v>
      </c>
      <c r="B238" s="26"/>
      <c r="C238" s="27" t="s">
        <v>709</v>
      </c>
      <c r="D238" s="27"/>
      <c r="E238" s="27"/>
      <c r="F238" s="61"/>
      <c r="G238" s="61"/>
      <c r="H238" s="61"/>
      <c r="I238" s="62"/>
      <c r="J238" s="61"/>
      <c r="K238" s="63" t="e">
        <f t="shared" ref="K238:Q238" si="67">+K239+K265</f>
        <v>#REF!</v>
      </c>
      <c r="L238" s="63" t="e">
        <f t="shared" si="67"/>
        <v>#REF!</v>
      </c>
      <c r="M238" s="63" t="e">
        <f t="shared" si="67"/>
        <v>#REF!</v>
      </c>
      <c r="N238" s="63" t="e">
        <f t="shared" si="67"/>
        <v>#REF!</v>
      </c>
      <c r="O238" s="63" t="e">
        <f t="shared" si="67"/>
        <v>#REF!</v>
      </c>
      <c r="P238" s="63" t="e">
        <f t="shared" si="67"/>
        <v>#REF!</v>
      </c>
      <c r="Q238" s="63" t="e">
        <f t="shared" si="67"/>
        <v>#REF!</v>
      </c>
      <c r="R238" s="63" t="e">
        <f t="shared" si="58"/>
        <v>#REF!</v>
      </c>
      <c r="S238" s="63"/>
      <c r="T238" s="63"/>
      <c r="U238" s="63" t="e">
        <f>+U239+U265</f>
        <v>#REF!</v>
      </c>
      <c r="V238" s="63" t="e">
        <f>+V239+V265</f>
        <v>#REF!</v>
      </c>
      <c r="W238" s="63" t="e">
        <f>+W239+W265</f>
        <v>#REF!</v>
      </c>
      <c r="X238" s="63" t="e">
        <f>+X239+X265</f>
        <v>#REF!</v>
      </c>
      <c r="AH238" s="147"/>
      <c r="AI238" s="148" t="s">
        <v>709</v>
      </c>
      <c r="AJ238" s="160"/>
      <c r="AK238" s="160"/>
      <c r="AL238" s="149"/>
      <c r="AM238" s="150"/>
      <c r="AN238" s="150"/>
      <c r="AO238" s="151"/>
      <c r="AP238" s="146">
        <f>AP239+AP265</f>
        <v>0</v>
      </c>
      <c r="AQ238" s="146">
        <f>AQ239+AQ265</f>
        <v>0</v>
      </c>
      <c r="AR238" s="146">
        <f>AR239+AR265</f>
        <v>0</v>
      </c>
      <c r="AS238" s="245"/>
      <c r="AT238" s="245"/>
      <c r="AU238" s="146">
        <f>AU239+AU265</f>
        <v>0</v>
      </c>
      <c r="AX238" s="147"/>
      <c r="AY238" s="148" t="s">
        <v>709</v>
      </c>
      <c r="AZ238" s="160"/>
      <c r="BA238" s="160"/>
      <c r="BB238" s="149"/>
      <c r="BC238" s="189"/>
      <c r="BD238" s="189"/>
      <c r="BE238" s="190"/>
      <c r="BF238" s="187">
        <f>BF239+BF265</f>
        <v>0</v>
      </c>
    </row>
    <row r="239" spans="1:58">
      <c r="A239" s="122">
        <v>1</v>
      </c>
      <c r="B239" s="28" t="s">
        <v>710</v>
      </c>
      <c r="C239" s="29" t="s">
        <v>660</v>
      </c>
      <c r="D239" s="29"/>
      <c r="E239" s="29"/>
      <c r="F239" s="28"/>
      <c r="G239" s="28"/>
      <c r="H239" s="28"/>
      <c r="I239" s="65"/>
      <c r="J239" s="28"/>
      <c r="K239" s="66" t="e">
        <f t="shared" ref="K239:Q239" si="68">+K240+K246+K255+K256+K262+K263+K264</f>
        <v>#REF!</v>
      </c>
      <c r="L239" s="66" t="e">
        <f t="shared" si="68"/>
        <v>#REF!</v>
      </c>
      <c r="M239" s="66" t="e">
        <f t="shared" si="68"/>
        <v>#REF!</v>
      </c>
      <c r="N239" s="66" t="e">
        <f t="shared" si="68"/>
        <v>#REF!</v>
      </c>
      <c r="O239" s="66" t="e">
        <f t="shared" si="68"/>
        <v>#REF!</v>
      </c>
      <c r="P239" s="66" t="e">
        <f t="shared" si="68"/>
        <v>#REF!</v>
      </c>
      <c r="Q239" s="66" t="e">
        <f t="shared" si="68"/>
        <v>#REF!</v>
      </c>
      <c r="R239" s="66" t="e">
        <f t="shared" si="58"/>
        <v>#REF!</v>
      </c>
      <c r="S239" s="66"/>
      <c r="T239" s="66"/>
      <c r="U239" s="66" t="e">
        <f>+U240+U246+U255+U256+U262+U263+U264</f>
        <v>#REF!</v>
      </c>
      <c r="V239" s="66" t="e">
        <f>+V240+V246+V255+V256+V262+V263+V264</f>
        <v>#REF!</v>
      </c>
      <c r="W239" s="66" t="e">
        <f>+W240+W246+W255+W256+W262+W263+W264</f>
        <v>#REF!</v>
      </c>
      <c r="X239" s="66" t="e">
        <f>+X240+X246+X255+X256+X262+X263+X264</f>
        <v>#REF!</v>
      </c>
      <c r="AH239" s="147" t="s">
        <v>710</v>
      </c>
      <c r="AI239" s="148" t="s">
        <v>660</v>
      </c>
      <c r="AJ239" s="160"/>
      <c r="AK239" s="160"/>
      <c r="AL239" s="149"/>
      <c r="AM239" s="150"/>
      <c r="AN239" s="150"/>
      <c r="AO239" s="151"/>
      <c r="AP239" s="146">
        <f>AP240+AP246+AP255+AP256+AP262+AP263+AP264</f>
        <v>0</v>
      </c>
      <c r="AQ239" s="146">
        <f>AQ240+AQ246+AQ255+AQ256+AQ262+AQ263+AQ264</f>
        <v>0</v>
      </c>
      <c r="AR239" s="146">
        <f>AR240+AR246+AR255+AR256+AR262+AR263+AR264</f>
        <v>0</v>
      </c>
      <c r="AS239" s="245"/>
      <c r="AT239" s="245"/>
      <c r="AU239" s="146">
        <f>AU240+AU246+AU255+AU256+AU262+AU263+AU264</f>
        <v>0</v>
      </c>
      <c r="AX239" s="147" t="s">
        <v>710</v>
      </c>
      <c r="AY239" s="148" t="s">
        <v>660</v>
      </c>
      <c r="AZ239" s="160"/>
      <c r="BA239" s="160"/>
      <c r="BB239" s="149"/>
      <c r="BC239" s="189"/>
      <c r="BD239" s="189"/>
      <c r="BE239" s="190"/>
      <c r="BF239" s="187">
        <f>BF240+BF246+BF255+BF256+BF262+BF263+BF264</f>
        <v>0</v>
      </c>
    </row>
    <row r="240" spans="1:58">
      <c r="A240" s="122">
        <v>1</v>
      </c>
      <c r="B240" s="31"/>
      <c r="C240" s="30" t="s">
        <v>711</v>
      </c>
      <c r="D240" s="30"/>
      <c r="E240" s="30"/>
      <c r="F240" s="33"/>
      <c r="G240" s="33"/>
      <c r="H240" s="33"/>
      <c r="I240" s="67"/>
      <c r="J240" s="33"/>
      <c r="K240" s="69" t="e">
        <f t="shared" ref="K240:Q240" si="69">SUM(K241:K245)</f>
        <v>#REF!</v>
      </c>
      <c r="L240" s="69" t="e">
        <f t="shared" si="69"/>
        <v>#REF!</v>
      </c>
      <c r="M240" s="69" t="e">
        <f t="shared" si="69"/>
        <v>#REF!</v>
      </c>
      <c r="N240" s="69" t="e">
        <f t="shared" si="69"/>
        <v>#REF!</v>
      </c>
      <c r="O240" s="69" t="e">
        <f t="shared" si="69"/>
        <v>#REF!</v>
      </c>
      <c r="P240" s="69" t="e">
        <f t="shared" si="69"/>
        <v>#REF!</v>
      </c>
      <c r="Q240" s="69" t="e">
        <f t="shared" si="69"/>
        <v>#REF!</v>
      </c>
      <c r="R240" s="69" t="e">
        <f t="shared" si="58"/>
        <v>#REF!</v>
      </c>
      <c r="S240" s="69"/>
      <c r="T240" s="69"/>
      <c r="U240" s="69" t="e">
        <f>SUM(U241:U245)</f>
        <v>#REF!</v>
      </c>
      <c r="V240" s="69" t="e">
        <f>SUM(V241:V245)</f>
        <v>#REF!</v>
      </c>
      <c r="W240" s="69" t="e">
        <f>SUM(W241:W245)</f>
        <v>#REF!</v>
      </c>
      <c r="X240" s="69" t="e">
        <f>SUM(X241:X245)</f>
        <v>#REF!</v>
      </c>
      <c r="AH240" s="152"/>
      <c r="AI240" s="157" t="s">
        <v>711</v>
      </c>
      <c r="AJ240" s="158"/>
      <c r="AK240" s="158"/>
      <c r="AL240" s="155"/>
      <c r="AM240" s="150"/>
      <c r="AN240" s="150"/>
      <c r="AO240" s="151"/>
      <c r="AP240" s="146">
        <f>SUM(AP241:AP245)</f>
        <v>0</v>
      </c>
      <c r="AQ240" s="146">
        <f>SUM(AQ241:AQ245)</f>
        <v>0</v>
      </c>
      <c r="AR240" s="146">
        <f>SUM(AR241:AR245)</f>
        <v>0</v>
      </c>
      <c r="AS240" s="245"/>
      <c r="AT240" s="245"/>
      <c r="AU240" s="146">
        <f>SUM(AU241:AU245)</f>
        <v>0</v>
      </c>
      <c r="AX240" s="152"/>
      <c r="AY240" s="157" t="s">
        <v>711</v>
      </c>
      <c r="AZ240" s="158"/>
      <c r="BA240" s="158"/>
      <c r="BB240" s="155"/>
      <c r="BC240" s="189"/>
      <c r="BD240" s="189"/>
      <c r="BE240" s="190"/>
      <c r="BF240" s="187">
        <f>SUM(BF241:BF245)</f>
        <v>0</v>
      </c>
    </row>
    <row r="241" spans="1:75">
      <c r="A241" s="122">
        <v>1</v>
      </c>
      <c r="B241" s="31"/>
      <c r="C241" s="30"/>
      <c r="D241" s="30" t="s">
        <v>985</v>
      </c>
      <c r="E241" s="30"/>
      <c r="F241" s="33" t="s">
        <v>821</v>
      </c>
      <c r="G241" s="33">
        <v>410</v>
      </c>
      <c r="H241" s="33"/>
      <c r="I241" s="67">
        <v>1</v>
      </c>
      <c r="J241" s="67">
        <v>0.20981087470449172</v>
      </c>
      <c r="K241" s="69" t="e">
        <f>+GETPIVOTDATA("PPEF 2010 ",#REF!,"No. Ramo",8,"IPP","S","PP",234,"UR",410)*$J241</f>
        <v>#REF!</v>
      </c>
      <c r="L241" s="69" t="e">
        <f>+GETPIVOTDATA("Ampliación Neta DIP ",#REF!,"No. Ramo",8,"IPP","S","PP",234,"UR",410)*$J241</f>
        <v>#REF!</v>
      </c>
      <c r="M241" s="69" t="e">
        <f>+GETPIVOTDATA("Recorte SHCP ",#REF!,"No. Ramo",8,"IPP","S","PP",234,"UR",410)*$J241</f>
        <v>#REF!</v>
      </c>
      <c r="N241" s="69" t="e">
        <f>+GETPIVOTDATA("PEF 2010 ",#REF!,"No. Ramo",8,"IPP","S","PP",234,"UR",410)*$J241</f>
        <v>#REF!</v>
      </c>
      <c r="O241" s="69" t="e">
        <f>+GETPIVOTDATA("PPEF 2011 ",#REF!,"No. Ramo",8,"IPP","S","PP",234,"UR",410)*$J241</f>
        <v>#REF!</v>
      </c>
      <c r="P241" s="69" t="e">
        <f>+GETPIVOTDATA("Reducción ",#REF!,"No. Ramo",8,"IPP","S","PP",234,"UR",410)*$J241</f>
        <v>#REF!</v>
      </c>
      <c r="Q241" s="69" t="e">
        <f>+GETPIVOTDATA("Ampliación ",#REF!,"No. Ramo",8,"IPP","S","PP",234,"UR",410)*$J241</f>
        <v>#REF!</v>
      </c>
      <c r="R241" s="69" t="e">
        <f t="shared" si="58"/>
        <v>#REF!</v>
      </c>
      <c r="S241" s="69"/>
      <c r="T241" s="69"/>
      <c r="U241" s="69" t="e">
        <f t="shared" ref="U241:X246" si="70">+$I241*O241</f>
        <v>#REF!</v>
      </c>
      <c r="V241" s="69" t="e">
        <f t="shared" si="70"/>
        <v>#REF!</v>
      </c>
      <c r="W241" s="69" t="e">
        <f t="shared" si="70"/>
        <v>#REF!</v>
      </c>
      <c r="X241" s="69" t="e">
        <f t="shared" si="70"/>
        <v>#REF!</v>
      </c>
      <c r="AH241" s="152"/>
      <c r="AI241" s="157"/>
      <c r="AJ241" s="158" t="s">
        <v>985</v>
      </c>
      <c r="AK241" s="158"/>
      <c r="AL241" s="150"/>
      <c r="AM241" s="150"/>
      <c r="AN241" s="150"/>
      <c r="AO241" s="151"/>
      <c r="AP241" s="146"/>
      <c r="AQ241" s="146"/>
      <c r="AR241" s="146"/>
      <c r="AS241" s="245"/>
      <c r="AT241" s="245"/>
      <c r="AU241" s="146"/>
      <c r="AX241" s="152"/>
      <c r="AY241" s="157"/>
      <c r="AZ241" s="158" t="s">
        <v>985</v>
      </c>
      <c r="BA241" s="158"/>
      <c r="BB241" s="189"/>
      <c r="BC241" s="189"/>
      <c r="BD241" s="189"/>
      <c r="BE241" s="190"/>
      <c r="BF241" s="187">
        <f>+AU241</f>
        <v>0</v>
      </c>
    </row>
    <row r="242" spans="1:75">
      <c r="A242" s="122">
        <v>1</v>
      </c>
      <c r="B242" s="31"/>
      <c r="C242" s="30"/>
      <c r="D242" s="30" t="s">
        <v>694</v>
      </c>
      <c r="E242" s="30"/>
      <c r="F242" s="33" t="s">
        <v>821</v>
      </c>
      <c r="G242" s="33">
        <v>410</v>
      </c>
      <c r="H242" s="33"/>
      <c r="I242" s="67">
        <v>1</v>
      </c>
      <c r="J242" s="67">
        <v>0.26595744680851063</v>
      </c>
      <c r="K242" s="69" t="e">
        <f>+GETPIVOTDATA("PPEF 2010 ",#REF!,"No. Ramo",8,"IPP","S","PP",234,"UR",410)*$J242</f>
        <v>#REF!</v>
      </c>
      <c r="L242" s="69" t="e">
        <f>+GETPIVOTDATA("Ampliación Neta DIP ",#REF!,"No. Ramo",8,"IPP","S","PP",234,"UR",410)*$J242</f>
        <v>#REF!</v>
      </c>
      <c r="M242" s="69" t="e">
        <f>+GETPIVOTDATA("Recorte SHCP ",#REF!,"No. Ramo",8,"IPP","S","PP",234,"UR",410)*$J242</f>
        <v>#REF!</v>
      </c>
      <c r="N242" s="69" t="e">
        <f>+GETPIVOTDATA("PEF 2010 ",#REF!,"No. Ramo",8,"IPP","S","PP",234,"UR",410)*$J242</f>
        <v>#REF!</v>
      </c>
      <c r="O242" s="69" t="e">
        <f>+GETPIVOTDATA("PPEF 2011 ",#REF!,"No. Ramo",8,"IPP","S","PP",234,"UR",410)*$J242</f>
        <v>#REF!</v>
      </c>
      <c r="P242" s="69" t="e">
        <f>+GETPIVOTDATA("Reducción ",#REF!,"No. Ramo",8,"IPP","S","PP",234,"UR",410)*$J242</f>
        <v>#REF!</v>
      </c>
      <c r="Q242" s="69" t="e">
        <f>+GETPIVOTDATA("Ampliación ",#REF!,"No. Ramo",8,"IPP","S","PP",234,"UR",410)*$J242</f>
        <v>#REF!</v>
      </c>
      <c r="R242" s="69" t="e">
        <f t="shared" si="58"/>
        <v>#REF!</v>
      </c>
      <c r="S242" s="69"/>
      <c r="T242" s="69"/>
      <c r="U242" s="69" t="e">
        <f t="shared" si="70"/>
        <v>#REF!</v>
      </c>
      <c r="V242" s="69" t="e">
        <f t="shared" si="70"/>
        <v>#REF!</v>
      </c>
      <c r="W242" s="69" t="e">
        <f t="shared" si="70"/>
        <v>#REF!</v>
      </c>
      <c r="X242" s="69" t="e">
        <f t="shared" si="70"/>
        <v>#REF!</v>
      </c>
      <c r="AH242" s="168"/>
      <c r="AI242" s="169"/>
      <c r="AJ242" s="170" t="s">
        <v>694</v>
      </c>
      <c r="AK242" s="170"/>
      <c r="AL242" s="150"/>
      <c r="AM242" s="150"/>
      <c r="AN242" s="150"/>
      <c r="AO242" s="151"/>
      <c r="AP242" s="146"/>
      <c r="AQ242" s="146"/>
      <c r="AR242" s="146"/>
      <c r="AS242" s="245"/>
      <c r="AT242" s="245"/>
      <c r="AU242" s="146"/>
      <c r="AX242" s="152"/>
      <c r="AY242" s="157"/>
      <c r="AZ242" s="158" t="s">
        <v>694</v>
      </c>
      <c r="BA242" s="158"/>
      <c r="BB242" s="189"/>
      <c r="BC242" s="189"/>
      <c r="BD242" s="189"/>
      <c r="BE242" s="190"/>
      <c r="BF242" s="187">
        <f>+AU242</f>
        <v>0</v>
      </c>
    </row>
    <row r="243" spans="1:75">
      <c r="A243" s="122">
        <v>1</v>
      </c>
      <c r="B243" s="31"/>
      <c r="C243" s="30"/>
      <c r="D243" s="30" t="s">
        <v>663</v>
      </c>
      <c r="E243" s="30"/>
      <c r="F243" s="33" t="s">
        <v>821</v>
      </c>
      <c r="G243" s="33">
        <v>410</v>
      </c>
      <c r="H243" s="33"/>
      <c r="I243" s="67">
        <v>1</v>
      </c>
      <c r="J243" s="67">
        <v>5.1418439716312055E-2</v>
      </c>
      <c r="K243" s="69" t="e">
        <f>+GETPIVOTDATA("PPEF 2010 ",#REF!,"No. Ramo",8,"IPP","S","PP",234,"UR",410)*$J243</f>
        <v>#REF!</v>
      </c>
      <c r="L243" s="69" t="e">
        <f>+GETPIVOTDATA("Ampliación Neta DIP ",#REF!,"No. Ramo",8,"IPP","S","PP",234,"UR",410)*$J243</f>
        <v>#REF!</v>
      </c>
      <c r="M243" s="69" t="e">
        <f>+GETPIVOTDATA("Recorte SHCP ",#REF!,"No. Ramo",8,"IPP","S","PP",234,"UR",410)*$J243</f>
        <v>#REF!</v>
      </c>
      <c r="N243" s="69" t="e">
        <f>+GETPIVOTDATA("PEF 2010 ",#REF!,"No. Ramo",8,"IPP","S","PP",234,"UR",410)*$J243</f>
        <v>#REF!</v>
      </c>
      <c r="O243" s="69" t="e">
        <f>+GETPIVOTDATA("PPEF 2011 ",#REF!,"No. Ramo",8,"IPP","S","PP",234,"UR",410)*$J243</f>
        <v>#REF!</v>
      </c>
      <c r="P243" s="69" t="e">
        <f>+GETPIVOTDATA("Reducción ",#REF!,"No. Ramo",8,"IPP","S","PP",234,"UR",410)*$J243</f>
        <v>#REF!</v>
      </c>
      <c r="Q243" s="69" t="e">
        <f>+GETPIVOTDATA("Ampliación ",#REF!,"No. Ramo",8,"IPP","S","PP",234,"UR",410)*$J243</f>
        <v>#REF!</v>
      </c>
      <c r="R243" s="69" t="e">
        <f t="shared" si="58"/>
        <v>#REF!</v>
      </c>
      <c r="S243" s="69"/>
      <c r="T243" s="69"/>
      <c r="U243" s="69" t="e">
        <f t="shared" si="70"/>
        <v>#REF!</v>
      </c>
      <c r="V243" s="69" t="e">
        <f t="shared" si="70"/>
        <v>#REF!</v>
      </c>
      <c r="W243" s="69" t="e">
        <f t="shared" si="70"/>
        <v>#REF!</v>
      </c>
      <c r="X243" s="69" t="e">
        <f t="shared" si="70"/>
        <v>#REF!</v>
      </c>
      <c r="AH243" s="152"/>
      <c r="AI243" s="157"/>
      <c r="AJ243" s="158" t="s">
        <v>663</v>
      </c>
      <c r="AK243" s="158"/>
      <c r="AL243" s="150"/>
      <c r="AM243" s="150"/>
      <c r="AN243" s="150"/>
      <c r="AO243" s="151"/>
      <c r="AP243" s="146"/>
      <c r="AQ243" s="146"/>
      <c r="AR243" s="146"/>
      <c r="AS243" s="245"/>
      <c r="AT243" s="245"/>
      <c r="AU243" s="146"/>
      <c r="AX243" s="152"/>
      <c r="AY243" s="157"/>
      <c r="AZ243" s="158" t="s">
        <v>663</v>
      </c>
      <c r="BA243" s="158"/>
      <c r="BB243" s="189"/>
      <c r="BC243" s="189"/>
      <c r="BD243" s="189"/>
      <c r="BE243" s="190"/>
      <c r="BF243" s="187">
        <f>+AU243</f>
        <v>0</v>
      </c>
    </row>
    <row r="244" spans="1:75">
      <c r="A244" s="122">
        <v>1</v>
      </c>
      <c r="B244" s="31"/>
      <c r="C244" s="30"/>
      <c r="D244" s="30" t="s">
        <v>668</v>
      </c>
      <c r="E244" s="30"/>
      <c r="F244" s="33" t="s">
        <v>821</v>
      </c>
      <c r="G244" s="33">
        <v>410</v>
      </c>
      <c r="H244" s="33"/>
      <c r="I244" s="67">
        <v>1</v>
      </c>
      <c r="J244" s="67">
        <v>0.2364066193853428</v>
      </c>
      <c r="K244" s="69" t="e">
        <f>+GETPIVOTDATA("PPEF 2010 ",#REF!,"No. Ramo",8,"IPP","S","PP",234,"UR",410)*$J244</f>
        <v>#REF!</v>
      </c>
      <c r="L244" s="69" t="e">
        <f>+GETPIVOTDATA("Ampliación Neta DIP ",#REF!,"No. Ramo",8,"IPP","S","PP",234,"UR",410)*$J244</f>
        <v>#REF!</v>
      </c>
      <c r="M244" s="69" t="e">
        <f>+GETPIVOTDATA("Recorte SHCP ",#REF!,"No. Ramo",8,"IPP","S","PP",234,"UR",410)*$J244</f>
        <v>#REF!</v>
      </c>
      <c r="N244" s="69" t="e">
        <f>+GETPIVOTDATA("PEF 2010 ",#REF!,"No. Ramo",8,"IPP","S","PP",234,"UR",410)*$J244</f>
        <v>#REF!</v>
      </c>
      <c r="O244" s="69" t="e">
        <f>+GETPIVOTDATA("PPEF 2011 ",#REF!,"No. Ramo",8,"IPP","S","PP",234,"UR",410)*$J244</f>
        <v>#REF!</v>
      </c>
      <c r="P244" s="69" t="e">
        <f>+GETPIVOTDATA("Reducción ",#REF!,"No. Ramo",8,"IPP","S","PP",234,"UR",410)*$J244</f>
        <v>#REF!</v>
      </c>
      <c r="Q244" s="69" t="e">
        <f>+GETPIVOTDATA("Ampliación ",#REF!,"No. Ramo",8,"IPP","S","PP",234,"UR",410)*$J244</f>
        <v>#REF!</v>
      </c>
      <c r="R244" s="69" t="e">
        <f t="shared" si="58"/>
        <v>#REF!</v>
      </c>
      <c r="S244" s="69"/>
      <c r="T244" s="69"/>
      <c r="U244" s="69" t="e">
        <f t="shared" si="70"/>
        <v>#REF!</v>
      </c>
      <c r="V244" s="69" t="e">
        <f t="shared" si="70"/>
        <v>#REF!</v>
      </c>
      <c r="W244" s="69" t="e">
        <f t="shared" si="70"/>
        <v>#REF!</v>
      </c>
      <c r="X244" s="69" t="e">
        <f t="shared" si="70"/>
        <v>#REF!</v>
      </c>
      <c r="AH244" s="152"/>
      <c r="AI244" s="157"/>
      <c r="AJ244" s="158" t="s">
        <v>668</v>
      </c>
      <c r="AK244" s="158"/>
      <c r="AL244" s="150"/>
      <c r="AM244" s="150"/>
      <c r="AN244" s="150"/>
      <c r="AO244" s="151"/>
      <c r="AP244" s="146"/>
      <c r="AQ244" s="146"/>
      <c r="AR244" s="146"/>
      <c r="AS244" s="245"/>
      <c r="AT244" s="245"/>
      <c r="AU244" s="146"/>
      <c r="AX244" s="152"/>
      <c r="AY244" s="157"/>
      <c r="AZ244" s="158" t="s">
        <v>668</v>
      </c>
      <c r="BA244" s="158"/>
      <c r="BB244" s="189"/>
      <c r="BC244" s="189"/>
      <c r="BD244" s="189"/>
      <c r="BE244" s="190"/>
      <c r="BF244" s="187">
        <f>+AU244</f>
        <v>0</v>
      </c>
    </row>
    <row r="245" spans="1:75">
      <c r="A245" s="122">
        <v>1</v>
      </c>
      <c r="B245" s="31"/>
      <c r="C245" s="30"/>
      <c r="D245" s="30" t="s">
        <v>712</v>
      </c>
      <c r="E245" s="30"/>
      <c r="F245" s="33" t="s">
        <v>821</v>
      </c>
      <c r="G245" s="33">
        <v>410</v>
      </c>
      <c r="H245" s="33"/>
      <c r="I245" s="67">
        <v>1</v>
      </c>
      <c r="J245" s="67">
        <v>0.2364066193853428</v>
      </c>
      <c r="K245" s="69" t="e">
        <f>+GETPIVOTDATA("PPEF 2010 ",#REF!,"No. Ramo",8,"IPP","S","PP",234,"UR",410)*$J245</f>
        <v>#REF!</v>
      </c>
      <c r="L245" s="69" t="e">
        <f>+GETPIVOTDATA("Ampliación Neta DIP ",#REF!,"No. Ramo",8,"IPP","S","PP",234,"UR",410)*$J245</f>
        <v>#REF!</v>
      </c>
      <c r="M245" s="69" t="e">
        <f>+GETPIVOTDATA("Recorte SHCP ",#REF!,"No. Ramo",8,"IPP","S","PP",234,"UR",410)*$J245</f>
        <v>#REF!</v>
      </c>
      <c r="N245" s="69" t="e">
        <f>+GETPIVOTDATA("PEF 2010 ",#REF!,"No. Ramo",8,"IPP","S","PP",234,"UR",410)*$J245</f>
        <v>#REF!</v>
      </c>
      <c r="O245" s="69" t="e">
        <f>+GETPIVOTDATA("PPEF 2011 ",#REF!,"No. Ramo",8,"IPP","S","PP",234,"UR",410)*$J245</f>
        <v>#REF!</v>
      </c>
      <c r="P245" s="69" t="e">
        <f>+GETPIVOTDATA("Reducción ",#REF!,"No. Ramo",8,"IPP","S","PP",234,"UR",410)*$J245</f>
        <v>#REF!</v>
      </c>
      <c r="Q245" s="69" t="e">
        <f>+GETPIVOTDATA("Ampliación ",#REF!,"No. Ramo",8,"IPP","S","PP",234,"UR",410)*$J245</f>
        <v>#REF!</v>
      </c>
      <c r="R245" s="69" t="e">
        <f t="shared" si="58"/>
        <v>#REF!</v>
      </c>
      <c r="S245" s="69"/>
      <c r="T245" s="69"/>
      <c r="U245" s="69" t="e">
        <f t="shared" si="70"/>
        <v>#REF!</v>
      </c>
      <c r="V245" s="69" t="e">
        <f t="shared" si="70"/>
        <v>#REF!</v>
      </c>
      <c r="W245" s="69" t="e">
        <f t="shared" si="70"/>
        <v>#REF!</v>
      </c>
      <c r="X245" s="69" t="e">
        <f t="shared" si="70"/>
        <v>#REF!</v>
      </c>
      <c r="AH245" s="152"/>
      <c r="AI245" s="157"/>
      <c r="AJ245" s="158" t="s">
        <v>712</v>
      </c>
      <c r="AK245" s="158"/>
      <c r="AL245" s="150"/>
      <c r="AM245" s="150"/>
      <c r="AN245" s="150"/>
      <c r="AO245" s="151"/>
      <c r="AP245" s="146"/>
      <c r="AQ245" s="146"/>
      <c r="AR245" s="146"/>
      <c r="AS245" s="245"/>
      <c r="AT245" s="245"/>
      <c r="AU245" s="146"/>
      <c r="AX245" s="152"/>
      <c r="AY245" s="157"/>
      <c r="AZ245" s="158" t="s">
        <v>712</v>
      </c>
      <c r="BA245" s="158"/>
      <c r="BB245" s="189"/>
      <c r="BC245" s="189"/>
      <c r="BD245" s="189"/>
      <c r="BE245" s="190"/>
      <c r="BF245" s="187">
        <f>+AU245</f>
        <v>0</v>
      </c>
    </row>
    <row r="246" spans="1:75">
      <c r="A246" s="122">
        <v>1</v>
      </c>
      <c r="B246" s="31"/>
      <c r="C246" s="30" t="s">
        <v>713</v>
      </c>
      <c r="D246" s="30"/>
      <c r="E246" s="30"/>
      <c r="F246" s="33" t="s">
        <v>821</v>
      </c>
      <c r="G246" s="33">
        <v>116</v>
      </c>
      <c r="H246" s="33"/>
      <c r="I246" s="67">
        <v>1</v>
      </c>
      <c r="J246" s="33"/>
      <c r="K246" s="69" t="e">
        <f>+GETPIVOTDATA("PPEF 2010 ",#REF!,"No. Ramo",8,"IPP","S","PP",234,"UR",116)</f>
        <v>#REF!</v>
      </c>
      <c r="L246" s="69" t="e">
        <f>+GETPIVOTDATA("Ampliación Neta DIP ",#REF!,"No. Ramo",8,"IPP","S","PP",234,"UR",116)</f>
        <v>#REF!</v>
      </c>
      <c r="M246" s="69" t="e">
        <f>+GETPIVOTDATA("Recorte SHCP ",#REF!,"No. Ramo",8,"IPP","S","PP",234,"UR",116)</f>
        <v>#REF!</v>
      </c>
      <c r="N246" s="69" t="e">
        <f>+GETPIVOTDATA("PEF 2010 ",#REF!,"No. Ramo",8,"IPP","S","PP",234,"UR",116)</f>
        <v>#REF!</v>
      </c>
      <c r="O246" s="69" t="e">
        <f>+GETPIVOTDATA("PPEF 2011 ",#REF!,"No. Ramo",8,"IPP","S","PP",234,"UR",116)</f>
        <v>#REF!</v>
      </c>
      <c r="P246" s="69" t="e">
        <f>+GETPIVOTDATA("Reducción ",#REF!,"No. Ramo",8,"IPP","S","PP",234,"UR",116)</f>
        <v>#REF!</v>
      </c>
      <c r="Q246" s="69" t="e">
        <f>+GETPIVOTDATA("Ampliación ",#REF!,"No. Ramo",8,"IPP","S","PP",234,"UR",116)</f>
        <v>#REF!</v>
      </c>
      <c r="R246" s="69" t="e">
        <f t="shared" si="58"/>
        <v>#REF!</v>
      </c>
      <c r="S246" s="69"/>
      <c r="T246" s="69"/>
      <c r="U246" s="69" t="e">
        <f t="shared" si="70"/>
        <v>#REF!</v>
      </c>
      <c r="V246" s="69" t="e">
        <f t="shared" si="70"/>
        <v>#REF!</v>
      </c>
      <c r="W246" s="69" t="e">
        <f t="shared" si="70"/>
        <v>#REF!</v>
      </c>
      <c r="X246" s="69" t="e">
        <f t="shared" si="70"/>
        <v>#REF!</v>
      </c>
      <c r="AH246" s="152"/>
      <c r="AI246" s="157" t="s">
        <v>713</v>
      </c>
      <c r="AJ246" s="158"/>
      <c r="AK246" s="158"/>
      <c r="AL246" s="150"/>
      <c r="AM246" s="150"/>
      <c r="AN246" s="150"/>
      <c r="AO246" s="151"/>
      <c r="AP246" s="146">
        <f>SUM(AP247:AP251)</f>
        <v>0</v>
      </c>
      <c r="AQ246" s="146">
        <f>SUM(AQ247:AQ251)</f>
        <v>0</v>
      </c>
      <c r="AR246" s="146">
        <f>SUM(AR247:AR251)</f>
        <v>0</v>
      </c>
      <c r="AS246" s="245"/>
      <c r="AT246" s="245"/>
      <c r="AU246" s="146">
        <f>SUM(AU247:AU251)</f>
        <v>0</v>
      </c>
      <c r="AX246" s="152"/>
      <c r="AY246" s="157" t="s">
        <v>713</v>
      </c>
      <c r="AZ246" s="158"/>
      <c r="BA246" s="158"/>
      <c r="BB246" s="189"/>
      <c r="BC246" s="189"/>
      <c r="BD246" s="189"/>
      <c r="BE246" s="190"/>
      <c r="BF246" s="187">
        <f>SUM(BF247:BF251)</f>
        <v>0</v>
      </c>
    </row>
    <row r="247" spans="1:75">
      <c r="A247" s="122">
        <v>1</v>
      </c>
      <c r="B247" s="31"/>
      <c r="C247" s="30"/>
      <c r="D247" s="30" t="s">
        <v>997</v>
      </c>
      <c r="E247" s="30"/>
      <c r="F247" s="33"/>
      <c r="G247" s="33"/>
      <c r="H247" s="33"/>
      <c r="I247" s="67"/>
      <c r="J247" s="33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AH247" s="152"/>
      <c r="AI247" s="157"/>
      <c r="AJ247" s="158" t="s">
        <v>997</v>
      </c>
      <c r="AK247" s="158"/>
      <c r="AL247" s="155"/>
      <c r="AM247" s="150"/>
      <c r="AN247" s="150"/>
      <c r="AO247" s="151"/>
      <c r="AP247" s="146"/>
      <c r="AQ247" s="146"/>
      <c r="AR247" s="146"/>
      <c r="AS247" s="245"/>
      <c r="AT247" s="245"/>
      <c r="AU247" s="146"/>
      <c r="AX247" s="152"/>
      <c r="AY247" s="157"/>
      <c r="AZ247" s="158" t="s">
        <v>997</v>
      </c>
      <c r="BA247" s="158"/>
      <c r="BB247" s="155"/>
      <c r="BC247" s="189"/>
      <c r="BD247" s="189"/>
      <c r="BE247" s="190"/>
      <c r="BF247" s="187">
        <f>+AU247</f>
        <v>0</v>
      </c>
    </row>
    <row r="248" spans="1:75">
      <c r="A248" s="122">
        <v>1</v>
      </c>
      <c r="B248" s="31"/>
      <c r="C248" s="30"/>
      <c r="D248" s="30" t="s">
        <v>903</v>
      </c>
      <c r="E248" s="30"/>
      <c r="F248" s="33"/>
      <c r="G248" s="33"/>
      <c r="H248" s="33"/>
      <c r="I248" s="67"/>
      <c r="J248" s="33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AH248" s="152"/>
      <c r="AI248" s="157"/>
      <c r="AJ248" s="158" t="s">
        <v>903</v>
      </c>
      <c r="AK248" s="158"/>
      <c r="AL248" s="155"/>
      <c r="AM248" s="150"/>
      <c r="AN248" s="150"/>
      <c r="AO248" s="151"/>
      <c r="AP248" s="146"/>
      <c r="AQ248" s="146"/>
      <c r="AR248" s="146"/>
      <c r="AS248" s="245"/>
      <c r="AT248" s="245"/>
      <c r="AU248" s="146"/>
      <c r="AX248" s="152"/>
      <c r="AY248" s="157"/>
      <c r="AZ248" s="158" t="s">
        <v>903</v>
      </c>
      <c r="BA248" s="158"/>
      <c r="BB248" s="155"/>
      <c r="BC248" s="189"/>
      <c r="BD248" s="189"/>
      <c r="BE248" s="190"/>
      <c r="BF248" s="187">
        <f>+AU248</f>
        <v>0</v>
      </c>
      <c r="BI248" s="113"/>
      <c r="BJ248" s="113"/>
      <c r="BK248" s="113"/>
      <c r="BL248" s="113"/>
      <c r="BM248" s="113"/>
      <c r="BN248" s="113"/>
      <c r="BO248" s="113"/>
      <c r="BP248" s="113"/>
      <c r="BQ248" s="113"/>
      <c r="BR248" s="113"/>
      <c r="BS248" s="113"/>
      <c r="BT248" s="113"/>
      <c r="BU248" s="113"/>
      <c r="BV248" s="113"/>
      <c r="BW248" s="113"/>
    </row>
    <row r="249" spans="1:75">
      <c r="A249" s="122">
        <v>1</v>
      </c>
      <c r="B249" s="31"/>
      <c r="C249" s="30"/>
      <c r="D249" s="30" t="s">
        <v>998</v>
      </c>
      <c r="E249" s="30"/>
      <c r="F249" s="33"/>
      <c r="G249" s="33"/>
      <c r="H249" s="33"/>
      <c r="I249" s="67"/>
      <c r="J249" s="33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AH249" s="152"/>
      <c r="AI249" s="157"/>
      <c r="AJ249" s="158" t="s">
        <v>998</v>
      </c>
      <c r="AK249" s="158"/>
      <c r="AL249" s="155"/>
      <c r="AM249" s="150"/>
      <c r="AN249" s="150"/>
      <c r="AO249" s="151"/>
      <c r="AP249" s="146"/>
      <c r="AQ249" s="146"/>
      <c r="AR249" s="146"/>
      <c r="AS249" s="245"/>
      <c r="AT249" s="245"/>
      <c r="AU249" s="146"/>
      <c r="AX249" s="152"/>
      <c r="AY249" s="157"/>
      <c r="AZ249" s="158" t="s">
        <v>998</v>
      </c>
      <c r="BA249" s="158"/>
      <c r="BB249" s="155"/>
      <c r="BC249" s="189"/>
      <c r="BD249" s="189"/>
      <c r="BE249" s="190"/>
      <c r="BF249" s="187">
        <f>+AU249</f>
        <v>0</v>
      </c>
      <c r="BI249" s="113"/>
      <c r="BJ249" s="113"/>
      <c r="BK249" s="113"/>
      <c r="BL249" s="113"/>
      <c r="BM249" s="113"/>
      <c r="BN249" s="113"/>
      <c r="BO249" s="113"/>
      <c r="BP249" s="113"/>
      <c r="BQ249" s="113"/>
      <c r="BR249" s="113"/>
      <c r="BS249" s="113"/>
      <c r="BT249" s="113"/>
      <c r="BU249" s="113"/>
      <c r="BV249" s="113"/>
      <c r="BW249" s="113"/>
    </row>
    <row r="250" spans="1:75" s="113" customFormat="1">
      <c r="A250" s="122">
        <v>1</v>
      </c>
      <c r="B250" s="31"/>
      <c r="C250" s="30"/>
      <c r="D250" s="30" t="s">
        <v>999</v>
      </c>
      <c r="E250" s="30"/>
      <c r="F250" s="33"/>
      <c r="G250" s="33"/>
      <c r="H250" s="33"/>
      <c r="I250" s="67"/>
      <c r="J250" s="33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/>
      <c r="Z250"/>
      <c r="AA250"/>
      <c r="AB250"/>
      <c r="AC250"/>
      <c r="AD250"/>
      <c r="AE250"/>
      <c r="AF250"/>
      <c r="AG250"/>
      <c r="AH250" s="152"/>
      <c r="AI250" s="157"/>
      <c r="AJ250" s="158" t="s">
        <v>999</v>
      </c>
      <c r="AK250" s="158"/>
      <c r="AL250" s="155"/>
      <c r="AM250" s="150"/>
      <c r="AN250" s="150"/>
      <c r="AO250" s="151"/>
      <c r="AP250" s="146"/>
      <c r="AQ250" s="146"/>
      <c r="AR250" s="146"/>
      <c r="AS250" s="245"/>
      <c r="AT250" s="245"/>
      <c r="AU250" s="146"/>
      <c r="AV250" s="195"/>
      <c r="AW250" s="195"/>
      <c r="AX250" s="152"/>
      <c r="AY250" s="157"/>
      <c r="AZ250" s="158" t="s">
        <v>999</v>
      </c>
      <c r="BA250" s="158"/>
      <c r="BB250" s="155"/>
      <c r="BC250" s="189"/>
      <c r="BD250" s="189"/>
      <c r="BE250" s="190"/>
      <c r="BF250" s="187">
        <f>+AU250</f>
        <v>0</v>
      </c>
      <c r="BG250" s="195"/>
      <c r="BH250" s="195"/>
    </row>
    <row r="251" spans="1:75" s="113" customFormat="1">
      <c r="A251" s="122">
        <v>1</v>
      </c>
      <c r="B251" s="111"/>
      <c r="C251" s="110"/>
      <c r="D251" s="111" t="s">
        <v>1001</v>
      </c>
      <c r="E251" s="111"/>
      <c r="F251" s="80"/>
      <c r="G251" s="80"/>
      <c r="H251" s="80"/>
      <c r="I251" s="112"/>
      <c r="J251" s="112"/>
      <c r="K251" s="78"/>
      <c r="L251" s="78"/>
      <c r="M251" s="78"/>
      <c r="N251" s="78"/>
      <c r="O251" s="78"/>
      <c r="P251" s="78"/>
      <c r="Q251" s="78"/>
      <c r="R251" s="79"/>
      <c r="S251" s="79"/>
      <c r="T251" s="79"/>
      <c r="U251" s="79"/>
      <c r="V251" s="79"/>
      <c r="W251" s="79"/>
      <c r="X251" s="79"/>
      <c r="AH251" s="152"/>
      <c r="AI251" s="157"/>
      <c r="AJ251" s="154" t="s">
        <v>1001</v>
      </c>
      <c r="AK251" s="154"/>
      <c r="AL251" s="155"/>
      <c r="AM251" s="150"/>
      <c r="AN251" s="150"/>
      <c r="AO251" s="151"/>
      <c r="AP251" s="146">
        <f>AP252+AP253+AP254</f>
        <v>0</v>
      </c>
      <c r="AQ251" s="146">
        <f>AQ252+AQ253+AQ254</f>
        <v>0</v>
      </c>
      <c r="AR251" s="146">
        <f>AR252+AR253+AR254</f>
        <v>0</v>
      </c>
      <c r="AS251" s="245"/>
      <c r="AT251" s="245"/>
      <c r="AU251" s="146">
        <f>AU252+AU253+AU254</f>
        <v>0</v>
      </c>
      <c r="AV251" s="195"/>
      <c r="AW251" s="195"/>
      <c r="AX251" s="152"/>
      <c r="AY251" s="157"/>
      <c r="AZ251" s="154" t="s">
        <v>1001</v>
      </c>
      <c r="BA251" s="154"/>
      <c r="BB251" s="155"/>
      <c r="BC251" s="189"/>
      <c r="BD251" s="189"/>
      <c r="BE251" s="190"/>
      <c r="BF251" s="187">
        <f>BF252+BF253+BF254</f>
        <v>0</v>
      </c>
      <c r="BG251" s="195"/>
      <c r="BH251" s="195"/>
    </row>
    <row r="252" spans="1:75" s="113" customFormat="1">
      <c r="A252" s="122">
        <v>1</v>
      </c>
      <c r="B252" s="111"/>
      <c r="C252" s="110"/>
      <c r="D252" s="111"/>
      <c r="E252" s="111" t="s">
        <v>1002</v>
      </c>
      <c r="F252" s="80"/>
      <c r="G252" s="80"/>
      <c r="H252" s="80"/>
      <c r="I252" s="112"/>
      <c r="J252" s="112"/>
      <c r="K252" s="78"/>
      <c r="L252" s="78"/>
      <c r="M252" s="78"/>
      <c r="N252" s="78"/>
      <c r="O252" s="78"/>
      <c r="P252" s="78"/>
      <c r="Q252" s="78"/>
      <c r="R252" s="79"/>
      <c r="S252" s="79"/>
      <c r="T252" s="79"/>
      <c r="U252" s="79"/>
      <c r="V252" s="79"/>
      <c r="W252" s="79"/>
      <c r="X252" s="79"/>
      <c r="AH252" s="152"/>
      <c r="AI252" s="157"/>
      <c r="AJ252" s="154"/>
      <c r="AK252" s="154" t="s">
        <v>1002</v>
      </c>
      <c r="AL252" s="155"/>
      <c r="AM252" s="150"/>
      <c r="AN252" s="150"/>
      <c r="AO252" s="151"/>
      <c r="AP252" s="146"/>
      <c r="AQ252" s="146"/>
      <c r="AR252" s="146"/>
      <c r="AS252" s="245"/>
      <c r="AT252" s="245"/>
      <c r="AU252" s="146"/>
      <c r="AV252" s="195"/>
      <c r="AW252" s="195"/>
      <c r="AX252" s="152"/>
      <c r="AY252" s="157"/>
      <c r="AZ252" s="154"/>
      <c r="BA252" s="154" t="s">
        <v>1002</v>
      </c>
      <c r="BB252" s="155"/>
      <c r="BC252" s="189"/>
      <c r="BD252" s="189"/>
      <c r="BE252" s="190"/>
      <c r="BF252" s="187">
        <f>+AU252</f>
        <v>0</v>
      </c>
      <c r="BG252" s="195"/>
      <c r="BH252" s="195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13" customFormat="1">
      <c r="A253" s="122">
        <v>1</v>
      </c>
      <c r="B253" s="111"/>
      <c r="C253" s="110"/>
      <c r="D253" s="111"/>
      <c r="E253" s="111" t="s">
        <v>1003</v>
      </c>
      <c r="F253" s="80"/>
      <c r="G253" s="80"/>
      <c r="H253" s="80"/>
      <c r="I253" s="112"/>
      <c r="J253" s="112"/>
      <c r="K253" s="78"/>
      <c r="L253" s="78"/>
      <c r="M253" s="78"/>
      <c r="N253" s="78"/>
      <c r="O253" s="78"/>
      <c r="P253" s="78"/>
      <c r="Q253" s="78"/>
      <c r="R253" s="79"/>
      <c r="S253" s="79"/>
      <c r="T253" s="79"/>
      <c r="U253" s="79"/>
      <c r="V253" s="79"/>
      <c r="W253" s="79"/>
      <c r="X253" s="79"/>
      <c r="AH253" s="152"/>
      <c r="AI253" s="157"/>
      <c r="AJ253" s="154"/>
      <c r="AK253" s="154" t="s">
        <v>1003</v>
      </c>
      <c r="AL253" s="155"/>
      <c r="AM253" s="150"/>
      <c r="AN253" s="150"/>
      <c r="AO253" s="151"/>
      <c r="AP253" s="146"/>
      <c r="AQ253" s="146"/>
      <c r="AR253" s="146"/>
      <c r="AS253" s="245"/>
      <c r="AT253" s="245"/>
      <c r="AU253" s="146"/>
      <c r="AV253" s="195"/>
      <c r="AW253" s="195"/>
      <c r="AX253" s="152"/>
      <c r="AY253" s="157"/>
      <c r="AZ253" s="154"/>
      <c r="BA253" s="154" t="s">
        <v>1003</v>
      </c>
      <c r="BB253" s="155"/>
      <c r="BC253" s="189"/>
      <c r="BD253" s="189"/>
      <c r="BE253" s="190"/>
      <c r="BF253" s="187">
        <f>+AU253</f>
        <v>0</v>
      </c>
      <c r="BG253" s="195"/>
      <c r="BH253" s="195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>
      <c r="A254" s="122">
        <v>1</v>
      </c>
      <c r="B254" s="111"/>
      <c r="C254" s="110"/>
      <c r="D254" s="111"/>
      <c r="E254" s="111" t="s">
        <v>1000</v>
      </c>
      <c r="F254" s="80"/>
      <c r="G254" s="80"/>
      <c r="H254" s="80"/>
      <c r="I254" s="112"/>
      <c r="J254" s="112"/>
      <c r="K254" s="78"/>
      <c r="L254" s="78"/>
      <c r="M254" s="78"/>
      <c r="N254" s="78"/>
      <c r="O254" s="78"/>
      <c r="P254" s="78"/>
      <c r="Q254" s="78"/>
      <c r="R254" s="79"/>
      <c r="S254" s="79"/>
      <c r="T254" s="79"/>
      <c r="U254" s="79"/>
      <c r="V254" s="79"/>
      <c r="W254" s="79"/>
      <c r="X254" s="79"/>
      <c r="Y254" s="113"/>
      <c r="Z254" s="113"/>
      <c r="AA254" s="113"/>
      <c r="AB254" s="113"/>
      <c r="AC254" s="113"/>
      <c r="AD254" s="113"/>
      <c r="AE254" s="113"/>
      <c r="AF254" s="113"/>
      <c r="AG254" s="113"/>
      <c r="AH254" s="152"/>
      <c r="AI254" s="157"/>
      <c r="AJ254" s="154"/>
      <c r="AK254" s="154" t="s">
        <v>1000</v>
      </c>
      <c r="AL254" s="155"/>
      <c r="AM254" s="150"/>
      <c r="AN254" s="150"/>
      <c r="AO254" s="151"/>
      <c r="AP254" s="146"/>
      <c r="AQ254" s="146"/>
      <c r="AR254" s="146"/>
      <c r="AS254" s="245"/>
      <c r="AT254" s="245"/>
      <c r="AU254" s="146"/>
      <c r="AX254" s="152"/>
      <c r="AY254" s="157"/>
      <c r="AZ254" s="154"/>
      <c r="BA254" s="154" t="s">
        <v>1000</v>
      </c>
      <c r="BB254" s="155"/>
      <c r="BC254" s="189"/>
      <c r="BD254" s="189"/>
      <c r="BE254" s="190"/>
      <c r="BF254" s="187">
        <f>+AU254</f>
        <v>0</v>
      </c>
    </row>
    <row r="255" spans="1:75">
      <c r="A255" s="122">
        <v>1</v>
      </c>
      <c r="B255" s="31"/>
      <c r="C255" s="30" t="s">
        <v>714</v>
      </c>
      <c r="D255" s="30"/>
      <c r="E255" s="30"/>
      <c r="F255" s="33" t="s">
        <v>821</v>
      </c>
      <c r="G255" s="33">
        <v>311</v>
      </c>
      <c r="H255" s="33"/>
      <c r="I255" s="67">
        <v>1</v>
      </c>
      <c r="J255" s="33"/>
      <c r="K255" s="69" t="e">
        <f>+GETPIVOTDATA("PPEF 2010 ",#REF!,"No. Ramo",8,"IPP","S","PP",234,"UR",311)</f>
        <v>#REF!</v>
      </c>
      <c r="L255" s="69" t="e">
        <f>+GETPIVOTDATA("Ampliación Neta DIP ",#REF!,"No. Ramo",8,"IPP","S","PP",234,"UR",311)</f>
        <v>#REF!</v>
      </c>
      <c r="M255" s="69" t="e">
        <f>+GETPIVOTDATA("Recorte SHCP ",#REF!,"No. Ramo",8,"IPP","S","PP",234,"UR",311)</f>
        <v>#REF!</v>
      </c>
      <c r="N255" s="69" t="e">
        <f>+GETPIVOTDATA("PEF 2010 ",#REF!,"No. Ramo",8,"IPP","S","PP",234,"UR",311)</f>
        <v>#REF!</v>
      </c>
      <c r="O255" s="69" t="e">
        <f>+GETPIVOTDATA("PPEF 2011 ",#REF!,"No. Ramo",8,"IPP","S","PP",234,"UR",311)</f>
        <v>#REF!</v>
      </c>
      <c r="P255" s="69" t="e">
        <f>+GETPIVOTDATA("Reducción ",#REF!,"No. Ramo",8,"IPP","S","PP",234,"UR",311)</f>
        <v>#REF!</v>
      </c>
      <c r="Q255" s="69" t="e">
        <f>+GETPIVOTDATA("Ampliación ",#REF!,"No. Ramo",8,"IPP","S","PP",234,"UR",311)</f>
        <v>#REF!</v>
      </c>
      <c r="R255" s="69" t="e">
        <f t="shared" si="58"/>
        <v>#REF!</v>
      </c>
      <c r="S255" s="69"/>
      <c r="T255" s="69"/>
      <c r="U255" s="69" t="e">
        <f t="shared" ref="U255:X256" si="71">+$I255*O255</f>
        <v>#REF!</v>
      </c>
      <c r="V255" s="69" t="e">
        <f t="shared" si="71"/>
        <v>#REF!</v>
      </c>
      <c r="W255" s="69" t="e">
        <f t="shared" si="71"/>
        <v>#REF!</v>
      </c>
      <c r="X255" s="69" t="e">
        <f t="shared" si="71"/>
        <v>#REF!</v>
      </c>
      <c r="AH255" s="152"/>
      <c r="AI255" s="157" t="s">
        <v>714</v>
      </c>
      <c r="AJ255" s="158"/>
      <c r="AK255" s="158"/>
      <c r="AL255" s="150"/>
      <c r="AM255" s="150"/>
      <c r="AN255" s="150"/>
      <c r="AO255" s="151"/>
      <c r="AP255" s="146"/>
      <c r="AQ255" s="146"/>
      <c r="AR255" s="146"/>
      <c r="AS255" s="245"/>
      <c r="AT255" s="245"/>
      <c r="AU255" s="146"/>
      <c r="AX255" s="152"/>
      <c r="AY255" s="157" t="s">
        <v>714</v>
      </c>
      <c r="AZ255" s="158"/>
      <c r="BA255" s="158"/>
      <c r="BB255" s="189"/>
      <c r="BC255" s="189"/>
      <c r="BD255" s="189"/>
      <c r="BE255" s="190"/>
      <c r="BF255" s="187">
        <f>+AU255</f>
        <v>0</v>
      </c>
    </row>
    <row r="256" spans="1:75">
      <c r="A256" s="122">
        <v>1</v>
      </c>
      <c r="B256" s="31"/>
      <c r="C256" s="30" t="s">
        <v>715</v>
      </c>
      <c r="D256" s="30"/>
      <c r="E256" s="30"/>
      <c r="F256" s="33" t="s">
        <v>821</v>
      </c>
      <c r="G256" s="33">
        <v>310</v>
      </c>
      <c r="H256" s="33"/>
      <c r="I256" s="67">
        <v>1</v>
      </c>
      <c r="J256" s="33"/>
      <c r="K256" s="69" t="e">
        <f>+GETPIVOTDATA("PPEF 2010 ",#REF!,"No. Ramo",8,"IPP","S","PP",234,"UR",310)</f>
        <v>#REF!</v>
      </c>
      <c r="L256" s="69" t="e">
        <f>+GETPIVOTDATA("Ampliación Neta DIP ",#REF!,"No. Ramo",8,"IPP","S","PP",234,"UR",310)</f>
        <v>#REF!</v>
      </c>
      <c r="M256" s="69" t="e">
        <f>+GETPIVOTDATA("Recorte SHCP ",#REF!,"No. Ramo",8,"IPP","S","PP",234,"UR",310)</f>
        <v>#REF!</v>
      </c>
      <c r="N256" s="69" t="e">
        <f>+GETPIVOTDATA("PEF 2010 ",#REF!,"No. Ramo",8,"IPP","S","PP",234,"UR",310)</f>
        <v>#REF!</v>
      </c>
      <c r="O256" s="69" t="e">
        <f>+GETPIVOTDATA("PPEF 2011 ",#REF!,"No. Ramo",8,"IPP","S","PP",234,"UR",310)</f>
        <v>#REF!</v>
      </c>
      <c r="P256" s="69" t="e">
        <f>+GETPIVOTDATA("Reducción ",#REF!,"No. Ramo",8,"IPP","S","PP",234,"UR",310)</f>
        <v>#REF!</v>
      </c>
      <c r="Q256" s="69" t="e">
        <f>+GETPIVOTDATA("Ampliación ",#REF!,"No. Ramo",8,"IPP","S","PP",234,"UR",310)</f>
        <v>#REF!</v>
      </c>
      <c r="R256" s="69" t="e">
        <f t="shared" si="58"/>
        <v>#REF!</v>
      </c>
      <c r="S256" s="69"/>
      <c r="T256" s="69"/>
      <c r="U256" s="69" t="e">
        <f t="shared" si="71"/>
        <v>#REF!</v>
      </c>
      <c r="V256" s="69" t="e">
        <f t="shared" si="71"/>
        <v>#REF!</v>
      </c>
      <c r="W256" s="69" t="e">
        <f t="shared" si="71"/>
        <v>#REF!</v>
      </c>
      <c r="X256" s="69" t="e">
        <f t="shared" si="71"/>
        <v>#REF!</v>
      </c>
      <c r="AH256" s="152"/>
      <c r="AI256" s="157" t="s">
        <v>715</v>
      </c>
      <c r="AJ256" s="158"/>
      <c r="AK256" s="158"/>
      <c r="AL256" s="150"/>
      <c r="AM256" s="150"/>
      <c r="AN256" s="150"/>
      <c r="AO256" s="151"/>
      <c r="AP256" s="146">
        <f>SUM(AP257:AP261)</f>
        <v>0</v>
      </c>
      <c r="AQ256" s="146">
        <f>SUM(AQ257:AQ261)</f>
        <v>0</v>
      </c>
      <c r="AR256" s="146">
        <f>SUM(AR257:AR261)</f>
        <v>0</v>
      </c>
      <c r="AS256" s="245"/>
      <c r="AT256" s="245"/>
      <c r="AU256" s="146">
        <f>SUM(AU257:AU261)</f>
        <v>0</v>
      </c>
      <c r="AX256" s="152"/>
      <c r="AY256" s="157" t="s">
        <v>715</v>
      </c>
      <c r="AZ256" s="158"/>
      <c r="BA256" s="158"/>
      <c r="BB256" s="189"/>
      <c r="BC256" s="189"/>
      <c r="BD256" s="189"/>
      <c r="BE256" s="190"/>
      <c r="BF256" s="187">
        <f>SUM(BF257:BF261)</f>
        <v>0</v>
      </c>
    </row>
    <row r="257" spans="1:58">
      <c r="A257" s="122">
        <v>1</v>
      </c>
      <c r="B257" s="31"/>
      <c r="C257" s="30"/>
      <c r="D257" s="30" t="s">
        <v>880</v>
      </c>
      <c r="E257" s="30"/>
      <c r="F257" s="33"/>
      <c r="G257" s="33"/>
      <c r="H257" s="33"/>
      <c r="I257" s="67"/>
      <c r="J257" s="33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AH257" s="152"/>
      <c r="AI257" s="157"/>
      <c r="AJ257" s="158" t="s">
        <v>880</v>
      </c>
      <c r="AK257" s="158"/>
      <c r="AL257" s="155"/>
      <c r="AM257" s="150"/>
      <c r="AN257" s="150"/>
      <c r="AO257" s="151"/>
      <c r="AP257" s="146"/>
      <c r="AQ257" s="146"/>
      <c r="AR257" s="146"/>
      <c r="AS257" s="245"/>
      <c r="AT257" s="245"/>
      <c r="AU257" s="146"/>
      <c r="AX257" s="152"/>
      <c r="AY257" s="157"/>
      <c r="AZ257" s="158" t="s">
        <v>880</v>
      </c>
      <c r="BA257" s="158"/>
      <c r="BB257" s="155"/>
      <c r="BC257" s="189"/>
      <c r="BD257" s="189"/>
      <c r="BE257" s="190"/>
      <c r="BF257" s="187">
        <f t="shared" ref="BF257:BF264" si="72">+AU257</f>
        <v>0</v>
      </c>
    </row>
    <row r="258" spans="1:58">
      <c r="A258" s="122">
        <v>1</v>
      </c>
      <c r="B258" s="31"/>
      <c r="C258" s="30"/>
      <c r="D258" s="30" t="s">
        <v>916</v>
      </c>
      <c r="E258" s="30"/>
      <c r="F258" s="33"/>
      <c r="G258" s="33"/>
      <c r="H258" s="33"/>
      <c r="I258" s="67"/>
      <c r="J258" s="33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AH258" s="152"/>
      <c r="AI258" s="157"/>
      <c r="AJ258" s="158" t="s">
        <v>916</v>
      </c>
      <c r="AK258" s="158"/>
      <c r="AL258" s="155"/>
      <c r="AM258" s="150"/>
      <c r="AN258" s="150"/>
      <c r="AO258" s="151"/>
      <c r="AP258" s="146"/>
      <c r="AQ258" s="146"/>
      <c r="AR258" s="146"/>
      <c r="AS258" s="245"/>
      <c r="AT258" s="245"/>
      <c r="AU258" s="146"/>
      <c r="AX258" s="152"/>
      <c r="AY258" s="157"/>
      <c r="AZ258" s="158" t="s">
        <v>916</v>
      </c>
      <c r="BA258" s="158"/>
      <c r="BB258" s="155"/>
      <c r="BC258" s="189"/>
      <c r="BD258" s="189"/>
      <c r="BE258" s="190"/>
      <c r="BF258" s="187">
        <f t="shared" si="72"/>
        <v>0</v>
      </c>
    </row>
    <row r="259" spans="1:58">
      <c r="A259" s="122">
        <v>1</v>
      </c>
      <c r="B259" s="31"/>
      <c r="C259" s="30"/>
      <c r="D259" s="30" t="s">
        <v>911</v>
      </c>
      <c r="E259" s="30"/>
      <c r="F259" s="33"/>
      <c r="G259" s="33"/>
      <c r="H259" s="33"/>
      <c r="I259" s="67"/>
      <c r="J259" s="33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AH259" s="152"/>
      <c r="AI259" s="157"/>
      <c r="AJ259" s="158" t="s">
        <v>911</v>
      </c>
      <c r="AK259" s="158"/>
      <c r="AL259" s="155"/>
      <c r="AM259" s="150"/>
      <c r="AN259" s="150"/>
      <c r="AO259" s="151"/>
      <c r="AP259" s="146"/>
      <c r="AQ259" s="146"/>
      <c r="AR259" s="146"/>
      <c r="AS259" s="245"/>
      <c r="AT259" s="245"/>
      <c r="AU259" s="146"/>
      <c r="AX259" s="152"/>
      <c r="AY259" s="157"/>
      <c r="AZ259" s="158" t="s">
        <v>911</v>
      </c>
      <c r="BA259" s="158"/>
      <c r="BB259" s="155"/>
      <c r="BC259" s="189"/>
      <c r="BD259" s="189"/>
      <c r="BE259" s="190"/>
      <c r="BF259" s="187">
        <f t="shared" si="72"/>
        <v>0</v>
      </c>
    </row>
    <row r="260" spans="1:58">
      <c r="A260" s="122">
        <v>1</v>
      </c>
      <c r="B260" s="31"/>
      <c r="C260" s="30"/>
      <c r="D260" s="30" t="s">
        <v>1000</v>
      </c>
      <c r="E260" s="30"/>
      <c r="F260" s="33"/>
      <c r="G260" s="33"/>
      <c r="H260" s="33"/>
      <c r="I260" s="67"/>
      <c r="J260" s="33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AH260" s="152"/>
      <c r="AI260" s="157"/>
      <c r="AJ260" s="158" t="s">
        <v>1000</v>
      </c>
      <c r="AK260" s="158"/>
      <c r="AL260" s="155"/>
      <c r="AM260" s="150"/>
      <c r="AN260" s="150"/>
      <c r="AO260" s="151"/>
      <c r="AP260" s="146"/>
      <c r="AQ260" s="146"/>
      <c r="AR260" s="146"/>
      <c r="AS260" s="245"/>
      <c r="AT260" s="245"/>
      <c r="AU260" s="146"/>
      <c r="AX260" s="152"/>
      <c r="AY260" s="157"/>
      <c r="AZ260" s="158" t="s">
        <v>1000</v>
      </c>
      <c r="BA260" s="158"/>
      <c r="BB260" s="155"/>
      <c r="BC260" s="189"/>
      <c r="BD260" s="189"/>
      <c r="BE260" s="190"/>
      <c r="BF260" s="187">
        <f t="shared" si="72"/>
        <v>0</v>
      </c>
    </row>
    <row r="261" spans="1:58">
      <c r="A261" s="122">
        <v>1</v>
      </c>
      <c r="B261" s="31"/>
      <c r="C261" s="30"/>
      <c r="D261" s="30" t="s">
        <v>50</v>
      </c>
      <c r="E261" s="30"/>
      <c r="F261" s="33"/>
      <c r="G261" s="33"/>
      <c r="H261" s="33"/>
      <c r="I261" s="67"/>
      <c r="J261" s="33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AH261" s="152"/>
      <c r="AI261" s="157"/>
      <c r="AJ261" s="158" t="s">
        <v>50</v>
      </c>
      <c r="AK261" s="158"/>
      <c r="AL261" s="155"/>
      <c r="AM261" s="150"/>
      <c r="AN261" s="150"/>
      <c r="AO261" s="151"/>
      <c r="AP261" s="146"/>
      <c r="AQ261" s="146"/>
      <c r="AR261" s="146"/>
      <c r="AS261" s="245"/>
      <c r="AT261" s="245"/>
      <c r="AU261" s="146"/>
      <c r="AX261" s="152"/>
      <c r="AY261" s="157"/>
      <c r="AZ261" s="158" t="s">
        <v>50</v>
      </c>
      <c r="BA261" s="158"/>
      <c r="BB261" s="155"/>
      <c r="BC261" s="189"/>
      <c r="BD261" s="189"/>
      <c r="BE261" s="190"/>
      <c r="BF261" s="187">
        <f t="shared" si="72"/>
        <v>0</v>
      </c>
    </row>
    <row r="262" spans="1:58">
      <c r="A262" s="122">
        <v>1</v>
      </c>
      <c r="B262" s="31"/>
      <c r="C262" s="30" t="s">
        <v>716</v>
      </c>
      <c r="D262" s="30"/>
      <c r="E262" s="30"/>
      <c r="F262" s="33" t="s">
        <v>821</v>
      </c>
      <c r="G262" s="33" t="s">
        <v>12</v>
      </c>
      <c r="H262" s="33"/>
      <c r="I262" s="67">
        <v>1</v>
      </c>
      <c r="J262" s="67">
        <v>0.39473684210526316</v>
      </c>
      <c r="K262" s="69" t="e">
        <f>+GETPIVOTDATA("PPEF 2010 ",#REF!,"No. Ramo",8,"IPP","S","PP",234,"UR","I00")*$J262</f>
        <v>#REF!</v>
      </c>
      <c r="L262" s="69" t="e">
        <f>+GETPIVOTDATA("Ampliación Neta DIP ",#REF!,"No. Ramo",8,"IPP","S","PP",234,"UR","I00")*$J262</f>
        <v>#REF!</v>
      </c>
      <c r="M262" s="69" t="e">
        <f>+GETPIVOTDATA("Recorte SHCP ",#REF!,"No. Ramo",8,"IPP","S","PP",234,"UR","I00")*$J262</f>
        <v>#REF!</v>
      </c>
      <c r="N262" s="69" t="e">
        <f>+GETPIVOTDATA("PEF 2010 ",#REF!,"No. Ramo",8,"IPP","S","PP",234,"UR","I00")*$J262</f>
        <v>#REF!</v>
      </c>
      <c r="O262" s="69" t="e">
        <f>+GETPIVOTDATA("PPEF 2011 ",#REF!,"No. Ramo",8,"IPP","S","PP",234,"UR","I00")*$J262</f>
        <v>#REF!</v>
      </c>
      <c r="P262" s="69" t="e">
        <f>+GETPIVOTDATA("Reducción ",#REF!,"No. Ramo",8,"IPP","S","PP",234,"UR","I00")*$J262</f>
        <v>#REF!</v>
      </c>
      <c r="Q262" s="69" t="e">
        <f>+GETPIVOTDATA("Ampliación ",#REF!,"No. Ramo",8,"IPP","S","PP",234,"UR","I00")*$J262</f>
        <v>#REF!</v>
      </c>
      <c r="R262" s="69" t="e">
        <f t="shared" si="58"/>
        <v>#REF!</v>
      </c>
      <c r="S262" s="69"/>
      <c r="T262" s="69"/>
      <c r="U262" s="69" t="e">
        <f t="shared" ref="U262:X264" si="73">+$I262*O262</f>
        <v>#REF!</v>
      </c>
      <c r="V262" s="69" t="e">
        <f t="shared" si="73"/>
        <v>#REF!</v>
      </c>
      <c r="W262" s="69" t="e">
        <f t="shared" si="73"/>
        <v>#REF!</v>
      </c>
      <c r="X262" s="69" t="e">
        <f t="shared" si="73"/>
        <v>#REF!</v>
      </c>
      <c r="AH262" s="171"/>
      <c r="AI262" s="172" t="s">
        <v>716</v>
      </c>
      <c r="AJ262" s="173"/>
      <c r="AK262" s="173"/>
      <c r="AL262" s="150"/>
      <c r="AM262" s="150"/>
      <c r="AN262" s="150"/>
      <c r="AO262" s="151"/>
      <c r="AP262" s="146"/>
      <c r="AQ262" s="146"/>
      <c r="AR262" s="146"/>
      <c r="AS262" s="245"/>
      <c r="AT262" s="245"/>
      <c r="AU262" s="146"/>
      <c r="AX262" s="152"/>
      <c r="AY262" s="157" t="s">
        <v>716</v>
      </c>
      <c r="AZ262" s="158"/>
      <c r="BA262" s="158"/>
      <c r="BB262" s="189"/>
      <c r="BC262" s="189"/>
      <c r="BD262" s="189"/>
      <c r="BE262" s="190"/>
      <c r="BF262" s="187">
        <f t="shared" si="72"/>
        <v>0</v>
      </c>
    </row>
    <row r="263" spans="1:58">
      <c r="A263" s="122">
        <v>1</v>
      </c>
      <c r="B263" s="31"/>
      <c r="C263" s="30" t="s">
        <v>121</v>
      </c>
      <c r="D263" s="30"/>
      <c r="E263" s="30"/>
      <c r="F263" s="33" t="s">
        <v>821</v>
      </c>
      <c r="G263" s="33" t="s">
        <v>12</v>
      </c>
      <c r="H263" s="33"/>
      <c r="I263" s="67">
        <v>1</v>
      </c>
      <c r="J263" s="67">
        <v>0.21052631578947367</v>
      </c>
      <c r="K263" s="69" t="e">
        <f>+GETPIVOTDATA("PPEF 2010 ",#REF!,"No. Ramo",8,"IPP","S","PP",234,"UR","I00")*$J263</f>
        <v>#REF!</v>
      </c>
      <c r="L263" s="69" t="e">
        <f>+GETPIVOTDATA("Ampliación Neta DIP ",#REF!,"No. Ramo",8,"IPP","S","PP",234,"UR","I00")*$J263</f>
        <v>#REF!</v>
      </c>
      <c r="M263" s="69" t="e">
        <f>+GETPIVOTDATA("Recorte SHCP ",#REF!,"No. Ramo",8,"IPP","S","PP",234,"UR","I00")*$J263</f>
        <v>#REF!</v>
      </c>
      <c r="N263" s="69" t="e">
        <f>+GETPIVOTDATA("PEF 2010 ",#REF!,"No. Ramo",8,"IPP","S","PP",234,"UR","I00")*$J263</f>
        <v>#REF!</v>
      </c>
      <c r="O263" s="69" t="e">
        <f>+GETPIVOTDATA("PPEF 2011 ",#REF!,"No. Ramo",8,"IPP","S","PP",234,"UR","I00")*$J263</f>
        <v>#REF!</v>
      </c>
      <c r="P263" s="69" t="e">
        <f>+GETPIVOTDATA("Reducción ",#REF!,"No. Ramo",8,"IPP","S","PP",234,"UR","I00")*$J263</f>
        <v>#REF!</v>
      </c>
      <c r="Q263" s="69" t="e">
        <f>+GETPIVOTDATA("Ampliación ",#REF!,"No. Ramo",8,"IPP","S","PP",234,"UR","I00")*$J263</f>
        <v>#REF!</v>
      </c>
      <c r="R263" s="69" t="e">
        <f t="shared" si="58"/>
        <v>#REF!</v>
      </c>
      <c r="S263" s="69"/>
      <c r="T263" s="69"/>
      <c r="U263" s="69" t="e">
        <f t="shared" si="73"/>
        <v>#REF!</v>
      </c>
      <c r="V263" s="69" t="e">
        <f t="shared" si="73"/>
        <v>#REF!</v>
      </c>
      <c r="W263" s="69" t="e">
        <f t="shared" si="73"/>
        <v>#REF!</v>
      </c>
      <c r="X263" s="69" t="e">
        <f t="shared" si="73"/>
        <v>#REF!</v>
      </c>
      <c r="AH263" s="171"/>
      <c r="AI263" s="172" t="s">
        <v>121</v>
      </c>
      <c r="AJ263" s="173"/>
      <c r="AK263" s="173"/>
      <c r="AL263" s="150"/>
      <c r="AM263" s="150"/>
      <c r="AN263" s="150"/>
      <c r="AO263" s="151"/>
      <c r="AP263" s="146"/>
      <c r="AQ263" s="146"/>
      <c r="AR263" s="146"/>
      <c r="AS263" s="245"/>
      <c r="AT263" s="245"/>
      <c r="AU263" s="146"/>
      <c r="AX263" s="152"/>
      <c r="AY263" s="157" t="s">
        <v>121</v>
      </c>
      <c r="AZ263" s="158"/>
      <c r="BA263" s="158"/>
      <c r="BB263" s="189"/>
      <c r="BC263" s="189"/>
      <c r="BD263" s="189"/>
      <c r="BE263" s="190"/>
      <c r="BF263" s="187">
        <f t="shared" si="72"/>
        <v>0</v>
      </c>
    </row>
    <row r="264" spans="1:58">
      <c r="A264" s="122">
        <v>1</v>
      </c>
      <c r="B264" s="31"/>
      <c r="C264" s="30" t="s">
        <v>717</v>
      </c>
      <c r="D264" s="30"/>
      <c r="E264" s="30"/>
      <c r="F264" s="33" t="s">
        <v>821</v>
      </c>
      <c r="G264" s="33" t="s">
        <v>12</v>
      </c>
      <c r="H264" s="33"/>
      <c r="I264" s="67">
        <v>1</v>
      </c>
      <c r="J264" s="67">
        <v>0.39473684210526316</v>
      </c>
      <c r="K264" s="69" t="e">
        <f>+GETPIVOTDATA("PPEF 2010 ",#REF!,"No. Ramo",8,"IPP","S","PP",234,"UR","I00")*$J264</f>
        <v>#REF!</v>
      </c>
      <c r="L264" s="69" t="e">
        <f>+GETPIVOTDATA("Ampliación Neta DIP ",#REF!,"No. Ramo",8,"IPP","S","PP",234,"UR","I00")*$J264</f>
        <v>#REF!</v>
      </c>
      <c r="M264" s="69" t="e">
        <f>+GETPIVOTDATA("Recorte SHCP ",#REF!,"No. Ramo",8,"IPP","S","PP",234,"UR","I00")*$J264</f>
        <v>#REF!</v>
      </c>
      <c r="N264" s="69" t="e">
        <f>+GETPIVOTDATA("PEF 2010 ",#REF!,"No. Ramo",8,"IPP","S","PP",234,"UR","I00")*$J264</f>
        <v>#REF!</v>
      </c>
      <c r="O264" s="69" t="e">
        <f>+GETPIVOTDATA("PPEF 2011 ",#REF!,"No. Ramo",8,"IPP","S","PP",234,"UR","I00")*$J264</f>
        <v>#REF!</v>
      </c>
      <c r="P264" s="69" t="e">
        <f>+GETPIVOTDATA("Reducción ",#REF!,"No. Ramo",8,"IPP","S","PP",234,"UR","I00")*$J264</f>
        <v>#REF!</v>
      </c>
      <c r="Q264" s="69" t="e">
        <f>+GETPIVOTDATA("Ampliación ",#REF!,"No. Ramo",8,"IPP","S","PP",234,"UR","I00")*$J264</f>
        <v>#REF!</v>
      </c>
      <c r="R264" s="69" t="e">
        <f t="shared" si="58"/>
        <v>#REF!</v>
      </c>
      <c r="S264" s="69"/>
      <c r="T264" s="69"/>
      <c r="U264" s="69" t="e">
        <f t="shared" si="73"/>
        <v>#REF!</v>
      </c>
      <c r="V264" s="69" t="e">
        <f t="shared" si="73"/>
        <v>#REF!</v>
      </c>
      <c r="W264" s="69" t="e">
        <f t="shared" si="73"/>
        <v>#REF!</v>
      </c>
      <c r="X264" s="69" t="e">
        <f t="shared" si="73"/>
        <v>#REF!</v>
      </c>
      <c r="AH264" s="171"/>
      <c r="AI264" s="172" t="s">
        <v>717</v>
      </c>
      <c r="AJ264" s="173"/>
      <c r="AK264" s="173"/>
      <c r="AL264" s="150"/>
      <c r="AM264" s="150"/>
      <c r="AN264" s="150"/>
      <c r="AO264" s="151"/>
      <c r="AP264" s="146"/>
      <c r="AQ264" s="146"/>
      <c r="AR264" s="146"/>
      <c r="AS264" s="245"/>
      <c r="AT264" s="245"/>
      <c r="AU264" s="146"/>
      <c r="AX264" s="152"/>
      <c r="AY264" s="157" t="s">
        <v>717</v>
      </c>
      <c r="AZ264" s="158"/>
      <c r="BA264" s="158"/>
      <c r="BB264" s="189"/>
      <c r="BC264" s="189"/>
      <c r="BD264" s="189"/>
      <c r="BE264" s="190"/>
      <c r="BF264" s="187">
        <f t="shared" si="72"/>
        <v>0</v>
      </c>
    </row>
    <row r="265" spans="1:58">
      <c r="B265" s="28" t="s">
        <v>710</v>
      </c>
      <c r="C265" s="29" t="s">
        <v>718</v>
      </c>
      <c r="D265" s="29"/>
      <c r="E265" s="29"/>
      <c r="F265" s="28"/>
      <c r="G265" s="28"/>
      <c r="H265" s="28"/>
      <c r="I265" s="65"/>
      <c r="J265" s="28"/>
      <c r="K265" s="66" t="e">
        <f t="shared" ref="K265:Q265" si="74">+K266+K273</f>
        <v>#REF!</v>
      </c>
      <c r="L265" s="66" t="e">
        <f t="shared" si="74"/>
        <v>#REF!</v>
      </c>
      <c r="M265" s="66" t="e">
        <f t="shared" si="74"/>
        <v>#REF!</v>
      </c>
      <c r="N265" s="66" t="e">
        <f t="shared" si="74"/>
        <v>#REF!</v>
      </c>
      <c r="O265" s="66" t="e">
        <f t="shared" si="74"/>
        <v>#REF!</v>
      </c>
      <c r="P265" s="66" t="e">
        <f t="shared" si="74"/>
        <v>#REF!</v>
      </c>
      <c r="Q265" s="66" t="e">
        <f t="shared" si="74"/>
        <v>#REF!</v>
      </c>
      <c r="R265" s="66" t="e">
        <f t="shared" si="58"/>
        <v>#REF!</v>
      </c>
      <c r="S265" s="66"/>
      <c r="T265" s="66"/>
      <c r="U265" s="66" t="e">
        <f>+U266+U273</f>
        <v>#REF!</v>
      </c>
      <c r="V265" s="66" t="e">
        <f>+V266+V273</f>
        <v>#REF!</v>
      </c>
      <c r="W265" s="66" t="e">
        <f>+W266+W273</f>
        <v>#REF!</v>
      </c>
      <c r="X265" s="66" t="e">
        <f>+X266+X273</f>
        <v>#REF!</v>
      </c>
      <c r="AH265" s="147" t="s">
        <v>710</v>
      </c>
      <c r="AI265" s="148" t="s">
        <v>718</v>
      </c>
      <c r="AJ265" s="160"/>
      <c r="AK265" s="160"/>
      <c r="AL265" s="149"/>
      <c r="AM265" s="150"/>
      <c r="AN265" s="150"/>
      <c r="AO265" s="151"/>
      <c r="AP265" s="146">
        <f t="shared" ref="AP265:AU265" si="75">AP266+AP273</f>
        <v>0</v>
      </c>
      <c r="AQ265" s="146">
        <f t="shared" si="75"/>
        <v>0</v>
      </c>
      <c r="AR265" s="146">
        <f t="shared" si="75"/>
        <v>0</v>
      </c>
      <c r="AS265" s="245"/>
      <c r="AT265" s="245"/>
      <c r="AU265" s="146">
        <f t="shared" si="75"/>
        <v>0</v>
      </c>
      <c r="AX265" s="147" t="s">
        <v>710</v>
      </c>
      <c r="AY265" s="148" t="s">
        <v>718</v>
      </c>
      <c r="AZ265" s="160"/>
      <c r="BA265" s="160"/>
      <c r="BB265" s="149"/>
      <c r="BC265" s="189"/>
      <c r="BD265" s="189"/>
      <c r="BE265" s="190"/>
      <c r="BF265" s="187">
        <f>BF266+BF273</f>
        <v>0</v>
      </c>
    </row>
    <row r="266" spans="1:58">
      <c r="B266" s="31"/>
      <c r="C266" s="30" t="s">
        <v>719</v>
      </c>
      <c r="D266" s="30"/>
      <c r="E266" s="30"/>
      <c r="F266" s="33"/>
      <c r="G266" s="33"/>
      <c r="H266" s="33"/>
      <c r="I266" s="67"/>
      <c r="J266" s="33"/>
      <c r="K266" s="69" t="e">
        <f t="shared" ref="K266:Q266" si="76">SUM(K267:K272)</f>
        <v>#REF!</v>
      </c>
      <c r="L266" s="69" t="e">
        <f t="shared" si="76"/>
        <v>#REF!</v>
      </c>
      <c r="M266" s="69" t="e">
        <f t="shared" si="76"/>
        <v>#REF!</v>
      </c>
      <c r="N266" s="69" t="e">
        <f t="shared" si="76"/>
        <v>#REF!</v>
      </c>
      <c r="O266" s="69" t="e">
        <f t="shared" si="76"/>
        <v>#REF!</v>
      </c>
      <c r="P266" s="69" t="e">
        <f t="shared" si="76"/>
        <v>#REF!</v>
      </c>
      <c r="Q266" s="69" t="e">
        <f t="shared" si="76"/>
        <v>#REF!</v>
      </c>
      <c r="R266" s="69" t="e">
        <f t="shared" si="58"/>
        <v>#REF!</v>
      </c>
      <c r="S266" s="69"/>
      <c r="T266" s="69"/>
      <c r="U266" s="69" t="e">
        <f>SUM(U267:U272)</f>
        <v>#REF!</v>
      </c>
      <c r="V266" s="69" t="e">
        <f>SUM(V267:V272)</f>
        <v>#REF!</v>
      </c>
      <c r="W266" s="69" t="e">
        <f>SUM(W267:W272)</f>
        <v>#REF!</v>
      </c>
      <c r="X266" s="69" t="e">
        <f>SUM(X267:X272)</f>
        <v>#REF!</v>
      </c>
      <c r="AH266" s="152"/>
      <c r="AI266" s="157" t="s">
        <v>719</v>
      </c>
      <c r="AJ266" s="158"/>
      <c r="AK266" s="158"/>
      <c r="AL266" s="155"/>
      <c r="AM266" s="150"/>
      <c r="AN266" s="150"/>
      <c r="AO266" s="151"/>
      <c r="AP266" s="146">
        <f t="shared" ref="AP266:AU266" si="77">SUM(AP267:AP272)</f>
        <v>0</v>
      </c>
      <c r="AQ266" s="146">
        <f t="shared" si="77"/>
        <v>0</v>
      </c>
      <c r="AR266" s="146">
        <f t="shared" si="77"/>
        <v>0</v>
      </c>
      <c r="AS266" s="245"/>
      <c r="AT266" s="245"/>
      <c r="AU266" s="146">
        <f t="shared" si="77"/>
        <v>0</v>
      </c>
      <c r="AX266" s="152"/>
      <c r="AY266" s="157" t="s">
        <v>719</v>
      </c>
      <c r="AZ266" s="158"/>
      <c r="BA266" s="158"/>
      <c r="BB266" s="155"/>
      <c r="BC266" s="189"/>
      <c r="BD266" s="189"/>
      <c r="BE266" s="190"/>
      <c r="BF266" s="187">
        <f>SUM(BF267:BF272)</f>
        <v>0</v>
      </c>
    </row>
    <row r="267" spans="1:58">
      <c r="B267" s="31"/>
      <c r="C267" s="30"/>
      <c r="D267" s="30" t="s">
        <v>720</v>
      </c>
      <c r="E267" s="30"/>
      <c r="F267" s="33" t="s">
        <v>809</v>
      </c>
      <c r="G267" s="33" t="s">
        <v>18</v>
      </c>
      <c r="H267" s="33"/>
      <c r="I267" s="67">
        <v>1</v>
      </c>
      <c r="J267" s="33"/>
      <c r="K267" s="69" t="e">
        <f>+GETPIVOTDATA("PPEF 2010 ",#REF!,"No. Ramo",16,"IPP","G","PP",13,"UR","F00")+GETPIVOTDATA("PPEF 2010 ",#REF!,"No. Ramo",16,"IPP","K","PP",25,"UR","F00")+GETPIVOTDATA("PPEF 2010 ",#REF!,"No. Ramo",16,"IPP","K","PP",138,"UR","F00")+GETPIVOTDATA("PPEF 2010 ",#REF!,"No. Ramo",16,"IPP","M","PP",1,"UR","F00")+GETPIVOTDATA("PPEF 2010 ",#REF!,"No. Ramo",16,"IPP","R","PP",14,"UR","F00")+GETPIVOTDATA("PPEF 2010 ",#REF!,"No. Ramo",16,"IPP","U","PP",9,"UR","F00")+GETPIVOTDATA("PPEF 2010 ",#REF!,"No. Ramo",16,"IPP","U","PP",24,"UR","F00")+GETPIVOTDATA("PPEF 2010 ",#REF!,"No. Ramo",16,"IPP","U","PP",25,"UR","F00")+GETPIVOTDATA("PPEF 2010 ",#REF!,"No. Ramo",16,"IPP","U","PP",29,"UR","F00")</f>
        <v>#REF!</v>
      </c>
      <c r="L267" s="69" t="e">
        <f>+GETPIVOTDATA("Ampliación Neta DIP ",#REF!,"No. Ramo",16,"IPP","G","PP",13,"UR","F00")+GETPIVOTDATA("Ampliación Neta DIP ",#REF!,"No. Ramo",16,"IPP","K","PP",25,"UR","F00")+GETPIVOTDATA("Ampliación Neta DIP ",#REF!,"No. Ramo",16,"IPP","K","PP",138,"UR","F00")+GETPIVOTDATA("Ampliación Neta DIP ",#REF!,"No. Ramo",16,"IPP","M","PP",1,"UR","F00")+GETPIVOTDATA("Ampliación Neta DIP ",#REF!,"No. Ramo",16,"IPP","R","PP",14,"UR","F00")+GETPIVOTDATA("Ampliación Neta DIP ",#REF!,"No. Ramo",16,"IPP","U","PP",9,"UR","F00")+GETPIVOTDATA("Ampliación Neta DIP ",#REF!,"No. Ramo",16,"IPP","U","PP",24,"UR","F00")+GETPIVOTDATA("Ampliación Neta DIP ",#REF!,"No. Ramo",16,"IPP","U","PP",25,"UR","F00")+GETPIVOTDATA("Ampliación Neta DIP ",#REF!,"No. Ramo",16,"IPP","U","PP",29,"UR","F00")</f>
        <v>#REF!</v>
      </c>
      <c r="M267" s="69" t="e">
        <f>+GETPIVOTDATA("Recorte SHCP ",#REF!,"No. Ramo",16,"IPP","G","PP",13,"UR","F00")+GETPIVOTDATA("Recorte SHCP ",#REF!,"No. Ramo",16,"IPP","K","PP",25,"UR","F00")+GETPIVOTDATA("Recorte SHCP ",#REF!,"No. Ramo",16,"IPP","K","PP",138,"UR","F00")+GETPIVOTDATA("Recorte SHCP ",#REF!,"No. Ramo",16,"IPP","M","PP",1,"UR","F00")+GETPIVOTDATA("Recorte SHCP ",#REF!,"No. Ramo",16,"IPP","R","PP",14,"UR","F00")+GETPIVOTDATA("Recorte SHCP ",#REF!,"No. Ramo",16,"IPP","U","PP",9,"UR","F00")+GETPIVOTDATA("Recorte SHCP ",#REF!,"No. Ramo",16,"IPP","U","PP",24,"UR","F00")+GETPIVOTDATA("Recorte SHCP ",#REF!,"No. Ramo",16,"IPP","U","PP",25,"UR","F00")+GETPIVOTDATA("Recorte SHCP ",#REF!,"No. Ramo",16,"IPP","U","PP",29,"UR","F00")</f>
        <v>#REF!</v>
      </c>
      <c r="N267" s="69" t="e">
        <f>+GETPIVOTDATA("PEF 2010 ",#REF!,"No. Ramo",16,"IPP","G","PP",13,"UR","F00")+GETPIVOTDATA("PEF 2010 ",#REF!,"No. Ramo",16,"IPP","K","PP",25,"UR","F00")+GETPIVOTDATA("PEF 2010 ",#REF!,"No. Ramo",16,"IPP","K","PP",138,"UR","F00")+GETPIVOTDATA("PEF 2010 ",#REF!,"No. Ramo",16,"IPP","M","PP",1,"UR","F00")+GETPIVOTDATA("PEF 2010 ",#REF!,"No. Ramo",16,"IPP","R","PP",14,"UR","F00")+GETPIVOTDATA("PEF 2010 ",#REF!,"No. Ramo",16,"IPP","U","PP",9,"UR","F00")+GETPIVOTDATA("PEF 2010 ",#REF!,"No. Ramo",16,"IPP","U","PP",24,"UR","F00")+GETPIVOTDATA("PEF 2010 ",#REF!,"No. Ramo",16,"IPP","U","PP",25,"UR","F00")+GETPIVOTDATA("PEF 2010 ",#REF!,"No. Ramo",16,"IPP","U","PP",29,"UR","F00")</f>
        <v>#REF!</v>
      </c>
      <c r="O267" s="69" t="e">
        <f>+GETPIVOTDATA("PPEF 2011 ",#REF!,"No. Ramo",16,"IPP","G","PP",13,"UR","F00")+GETPIVOTDATA("PPEF 2011 ",#REF!,"No. Ramo",16,"IPP","K","PP",25,"UR","F00")+GETPIVOTDATA("PPEF 2011 ",#REF!,"No. Ramo",16,"IPP","K","PP",138,"UR","F00")+GETPIVOTDATA("PPEF 2011 ",#REF!,"No. Ramo",16,"IPP","M","PP",1,"UR","F00")+GETPIVOTDATA("PPEF 2011 ",#REF!,"No. Ramo",16,"IPP","R","PP",14,"UR","F00")+GETPIVOTDATA("PPEF 2011 ",#REF!,"No. Ramo",16,"IPP","U","PP",9,"UR","F00")+GETPIVOTDATA("PPEF 2011 ",#REF!,"No. Ramo",16,"IPP","U","PP",24,"UR","F00")+GETPIVOTDATA("PPEF 2011 ",#REF!,"No. Ramo",16,"IPP","U","PP",25,"UR","F00")+GETPIVOTDATA("PPEF 2011 ",#REF!,"No. Ramo",16,"IPP","U","PP",29,"UR","F00")</f>
        <v>#REF!</v>
      </c>
      <c r="P267" s="69" t="e">
        <f>+GETPIVOTDATA("Reducción ",#REF!,"No. Ramo",16,"IPP","G","PP",13,"UR","F00")+GETPIVOTDATA("Reducción ",#REF!,"No. Ramo",16,"IPP","K","PP",25,"UR","F00")+GETPIVOTDATA("Reducción ",#REF!,"No. Ramo",16,"IPP","K","PP",138,"UR","F00")+GETPIVOTDATA("Reducción ",#REF!,"No. Ramo",16,"IPP","M","PP",1,"UR","F00")+GETPIVOTDATA("Reducción ",#REF!,"No. Ramo",16,"IPP","R","PP",14,"UR","F00")+GETPIVOTDATA("Reducción ",#REF!,"No. Ramo",16,"IPP","U","PP",9,"UR","F00")+GETPIVOTDATA("Reducción ",#REF!,"No. Ramo",16,"IPP","U","PP",24,"UR","F00")+GETPIVOTDATA("Reducción ",#REF!,"No. Ramo",16,"IPP","U","PP",25,"UR","F00")+GETPIVOTDATA("Reducción ",#REF!,"No. Ramo",16,"IPP","U","PP",29,"UR","F00")</f>
        <v>#REF!</v>
      </c>
      <c r="Q267" s="69" t="e">
        <f>+GETPIVOTDATA("Ampliación ",#REF!,"No. Ramo",16,"IPP","G","PP",13,"UR","F00")+GETPIVOTDATA("Ampliación ",#REF!,"No. Ramo",16,"IPP","K","PP",25,"UR","F00")+GETPIVOTDATA("Ampliación ",#REF!,"No. Ramo",16,"IPP","K","PP",138,"UR","F00")+GETPIVOTDATA("Ampliación ",#REF!,"No. Ramo",16,"IPP","M","PP",1,"UR","F00")+GETPIVOTDATA("Ampliación ",#REF!,"No. Ramo",16,"IPP","R","PP",14,"UR","F00")+GETPIVOTDATA("Ampliación ",#REF!,"No. Ramo",16,"IPP","U","PP",9,"UR","F00")+GETPIVOTDATA("Ampliación ",#REF!,"No. Ramo",16,"IPP","U","PP",24,"UR","F00")+GETPIVOTDATA("Ampliación ",#REF!,"No. Ramo",16,"IPP","U","PP",25,"UR","F00")+GETPIVOTDATA("Ampliación ",#REF!,"No. Ramo",16,"IPP","U","PP",29,"UR","F00")</f>
        <v>#REF!</v>
      </c>
      <c r="R267" s="69" t="e">
        <f t="shared" si="58"/>
        <v>#REF!</v>
      </c>
      <c r="S267" s="69"/>
      <c r="T267" s="69"/>
      <c r="U267" s="69" t="e">
        <f t="shared" ref="U267:X273" si="78">+$I267*O267</f>
        <v>#REF!</v>
      </c>
      <c r="V267" s="69" t="e">
        <f t="shared" si="78"/>
        <v>#REF!</v>
      </c>
      <c r="W267" s="69" t="e">
        <f t="shared" si="78"/>
        <v>#REF!</v>
      </c>
      <c r="X267" s="69" t="e">
        <f t="shared" si="78"/>
        <v>#REF!</v>
      </c>
      <c r="AH267" s="152"/>
      <c r="AI267" s="157"/>
      <c r="AJ267" s="158" t="s">
        <v>720</v>
      </c>
      <c r="AK267" s="158"/>
      <c r="AL267" s="150"/>
      <c r="AM267" s="150"/>
      <c r="AN267" s="150"/>
      <c r="AO267" s="151"/>
      <c r="AP267" s="146"/>
      <c r="AQ267" s="146"/>
      <c r="AR267" s="146"/>
      <c r="AS267" s="245"/>
      <c r="AT267" s="245"/>
      <c r="AU267" s="146"/>
      <c r="AX267" s="152"/>
      <c r="AY267" s="157"/>
      <c r="AZ267" s="158" t="s">
        <v>720</v>
      </c>
      <c r="BA267" s="158"/>
      <c r="BB267" s="189"/>
      <c r="BC267" s="189"/>
      <c r="BD267" s="189"/>
      <c r="BE267" s="190"/>
      <c r="BF267" s="187">
        <f t="shared" ref="BF267:BF273" si="79">+AU267</f>
        <v>0</v>
      </c>
    </row>
    <row r="268" spans="1:58">
      <c r="B268" s="31"/>
      <c r="C268" s="30"/>
      <c r="D268" s="30" t="s">
        <v>721</v>
      </c>
      <c r="E268" s="30"/>
      <c r="F268" s="33" t="s">
        <v>822</v>
      </c>
      <c r="G268" s="33" t="s">
        <v>51</v>
      </c>
      <c r="H268" s="33"/>
      <c r="I268" s="67">
        <v>1</v>
      </c>
      <c r="J268" s="33"/>
      <c r="K268" s="69" t="e">
        <f>+GETPIVOTDATA("PPEF 2010 ",#REF!,"No. Ramo",16,"IPP","G","PP",5,"UR","E00")*0.199999999473309+GETPIVOTDATA("PPEF 2010 ",#REF!,"No. Ramo",16,"IPP","K","PP",138,"UR","E00")*0.28+GETPIVOTDATA("PPEF 2010 ",#REF!,"No. Ramo",16,"IPP","M","PP",1,"UR","E00")*0.200018201656351</f>
        <v>#REF!</v>
      </c>
      <c r="L268" s="69" t="e">
        <f>+GETPIVOTDATA("Ampliación Neta DIP ",#REF!,"No. Ramo",16,"IPP","G","PP",5,"UR","E00")*0.199999999473309+GETPIVOTDATA("Ampliación Neta DIP ",#REF!,"No. Ramo",16,"IPP","K","PP",138,"UR","E00")*0.28+GETPIVOTDATA("Ampliación Neta DIP ",#REF!,"No. Ramo",16,"IPP","M","PP",1,"UR","E00")*0.200018201656351</f>
        <v>#REF!</v>
      </c>
      <c r="M268" s="69" t="e">
        <f>+GETPIVOTDATA("Recorte SHCP ",#REF!,"No. Ramo",16,"IPP","G","PP",5,"UR","E00")*0.199999999473309+GETPIVOTDATA("Recorte SHCP ",#REF!,"No. Ramo",16,"IPP","K","PP",138,"UR","E00")*0.28+GETPIVOTDATA("Recorte SHCP ",#REF!,"No. Ramo",16,"IPP","M","PP",1,"UR","E00")*0.200018201656351</f>
        <v>#REF!</v>
      </c>
      <c r="N268" s="69" t="e">
        <f>+GETPIVOTDATA("PEF 2010 ",#REF!,"No. Ramo",16,"IPP","G","PP",5,"UR","E00")*0.199999999473309+GETPIVOTDATA("PEF 2010 ",#REF!,"No. Ramo",16,"IPP","K","PP",138,"UR","E00")*0.28+GETPIVOTDATA("PEF 2010 ",#REF!,"No. Ramo",16,"IPP","M","PP",1,"UR","E00")*0.200018201656351</f>
        <v>#REF!</v>
      </c>
      <c r="O268" s="69" t="e">
        <f>+GETPIVOTDATA("PPEF 2011 ",#REF!,"No. Ramo",16,"IPP","G","PP",5,"UR","E00")*0.199999999473309+GETPIVOTDATA("PPEF 2011 ",#REF!,"No. Ramo",16,"IPP","K","PP",138,"UR","E00")*0.28+GETPIVOTDATA("PPEF 2011 ",#REF!,"No. Ramo",16,"IPP","M","PP",1,"UR","E00")*0.200018201656351</f>
        <v>#REF!</v>
      </c>
      <c r="P268" s="69" t="e">
        <f>+GETPIVOTDATA("Reducción ",#REF!,"No. Ramo",16,"IPP","G","PP",5,"UR","E00")*0.199999999473309+GETPIVOTDATA("Reducción ",#REF!,"No. Ramo",16,"IPP","K","PP",138,"UR","E00")*0.28+GETPIVOTDATA("Reducción ",#REF!,"No. Ramo",16,"IPP","M","PP",1,"UR","E00")*0.200018201656351</f>
        <v>#REF!</v>
      </c>
      <c r="Q268" s="69" t="e">
        <f>+GETPIVOTDATA("Ampliación ",#REF!,"No. Ramo",16,"IPP","G","PP",5,"UR","E00")*0.199999999473309+GETPIVOTDATA("Ampliación ",#REF!,"No. Ramo",16,"IPP","K","PP",138,"UR","E00")*0.28+GETPIVOTDATA("Ampliación ",#REF!,"No. Ramo",16,"IPP","M","PP",1,"UR","E00")*0.200018201656351</f>
        <v>#REF!</v>
      </c>
      <c r="R268" s="69" t="e">
        <f t="shared" si="58"/>
        <v>#REF!</v>
      </c>
      <c r="S268" s="69"/>
      <c r="T268" s="69"/>
      <c r="U268" s="69" t="e">
        <f t="shared" si="78"/>
        <v>#REF!</v>
      </c>
      <c r="V268" s="69" t="e">
        <f t="shared" si="78"/>
        <v>#REF!</v>
      </c>
      <c r="W268" s="69" t="e">
        <f t="shared" si="78"/>
        <v>#REF!</v>
      </c>
      <c r="X268" s="69" t="e">
        <f t="shared" si="78"/>
        <v>#REF!</v>
      </c>
      <c r="AH268" s="152"/>
      <c r="AI268" s="157"/>
      <c r="AJ268" s="158" t="s">
        <v>721</v>
      </c>
      <c r="AK268" s="158"/>
      <c r="AL268" s="150"/>
      <c r="AM268" s="150"/>
      <c r="AN268" s="150"/>
      <c r="AO268" s="151"/>
      <c r="AP268" s="146"/>
      <c r="AQ268" s="146"/>
      <c r="AR268" s="146"/>
      <c r="AS268" s="245"/>
      <c r="AT268" s="245"/>
      <c r="AU268" s="146"/>
      <c r="AX268" s="152"/>
      <c r="AY268" s="157"/>
      <c r="AZ268" s="158" t="s">
        <v>721</v>
      </c>
      <c r="BA268" s="158"/>
      <c r="BB268" s="189"/>
      <c r="BC268" s="189"/>
      <c r="BD268" s="189"/>
      <c r="BE268" s="190"/>
      <c r="BF268" s="187">
        <f t="shared" si="79"/>
        <v>0</v>
      </c>
    </row>
    <row r="269" spans="1:58">
      <c r="B269" s="31"/>
      <c r="C269" s="30"/>
      <c r="D269" s="30" t="s">
        <v>722</v>
      </c>
      <c r="E269" s="30"/>
      <c r="F269" s="33" t="s">
        <v>823</v>
      </c>
      <c r="G269" s="33">
        <v>713</v>
      </c>
      <c r="H269" s="33"/>
      <c r="I269" s="67">
        <v>1</v>
      </c>
      <c r="J269" s="33"/>
      <c r="K269" s="69" t="e">
        <f>+GETPIVOTDATA("PPEF 2010 ",#REF!,"No. Ramo",16,"IPP","G","PP",3,"UR",713)+GETPIVOTDATA("PPEF 2010 ",#REF!,"No. Ramo",16,"IPP","U","PP",20,"UR",713)</f>
        <v>#REF!</v>
      </c>
      <c r="L269" s="69" t="e">
        <f>+GETPIVOTDATA("Ampliación Neta DIP ",#REF!,"No. Ramo",16,"IPP","G","PP",3,"UR",713)+GETPIVOTDATA("Ampliación Neta DIP ",#REF!,"No. Ramo",16,"IPP","U","PP",20,"UR",713)</f>
        <v>#REF!</v>
      </c>
      <c r="M269" s="69" t="e">
        <f>+GETPIVOTDATA("Recorte SHCP ",#REF!,"No. Ramo",16,"IPP","G","PP",3,"UR",713)+GETPIVOTDATA("Recorte SHCP ",#REF!,"No. Ramo",16,"IPP","U","PP",20,"UR",713)</f>
        <v>#REF!</v>
      </c>
      <c r="N269" s="69" t="e">
        <f>+GETPIVOTDATA("PEF 2010 ",#REF!,"No. Ramo",16,"IPP","G","PP",3,"UR",713)+GETPIVOTDATA("PEF 2010 ",#REF!,"No. Ramo",16,"IPP","U","PP",20,"UR",713)</f>
        <v>#REF!</v>
      </c>
      <c r="O269" s="69" t="e">
        <f>+GETPIVOTDATA("PPEF 2011 ",#REF!,"No. Ramo",16,"IPP","G","PP",3,"UR",713)+GETPIVOTDATA("PPEF 2011 ",#REF!,"No. Ramo",16,"IPP","U","PP",20,"UR",713)</f>
        <v>#REF!</v>
      </c>
      <c r="P269" s="69" t="e">
        <f>+GETPIVOTDATA("Reducción ",#REF!,"No. Ramo",16,"IPP","G","PP",3,"UR",713)+GETPIVOTDATA("Reducción ",#REF!,"No. Ramo",16,"IPP","U","PP",20,"UR",713)</f>
        <v>#REF!</v>
      </c>
      <c r="Q269" s="69" t="e">
        <f>+GETPIVOTDATA("Ampliación ",#REF!,"No. Ramo",16,"IPP","G","PP",3,"UR",713)+GETPIVOTDATA("Ampliación ",#REF!,"No. Ramo",16,"IPP","U","PP",20,"UR",713)</f>
        <v>#REF!</v>
      </c>
      <c r="R269" s="69" t="e">
        <f t="shared" si="58"/>
        <v>#REF!</v>
      </c>
      <c r="S269" s="69"/>
      <c r="T269" s="69"/>
      <c r="U269" s="69" t="e">
        <f t="shared" si="78"/>
        <v>#REF!</v>
      </c>
      <c r="V269" s="69" t="e">
        <f t="shared" si="78"/>
        <v>#REF!</v>
      </c>
      <c r="W269" s="69" t="e">
        <f t="shared" si="78"/>
        <v>#REF!</v>
      </c>
      <c r="X269" s="69" t="e">
        <f t="shared" si="78"/>
        <v>#REF!</v>
      </c>
      <c r="AH269" s="152"/>
      <c r="AI269" s="157"/>
      <c r="AJ269" s="158" t="s">
        <v>722</v>
      </c>
      <c r="AK269" s="158"/>
      <c r="AL269" s="150"/>
      <c r="AM269" s="150"/>
      <c r="AN269" s="150"/>
      <c r="AO269" s="151"/>
      <c r="AP269" s="146"/>
      <c r="AQ269" s="146"/>
      <c r="AR269" s="146"/>
      <c r="AS269" s="245"/>
      <c r="AT269" s="245"/>
      <c r="AU269" s="146"/>
      <c r="AX269" s="152"/>
      <c r="AY269" s="157"/>
      <c r="AZ269" s="158" t="s">
        <v>722</v>
      </c>
      <c r="BA269" s="158"/>
      <c r="BB269" s="189"/>
      <c r="BC269" s="189"/>
      <c r="BD269" s="189"/>
      <c r="BE269" s="190"/>
      <c r="BF269" s="187">
        <f t="shared" si="79"/>
        <v>0</v>
      </c>
    </row>
    <row r="270" spans="1:58">
      <c r="B270" s="31"/>
      <c r="C270" s="30"/>
      <c r="D270" s="30" t="s">
        <v>723</v>
      </c>
      <c r="E270" s="30"/>
      <c r="F270" s="33" t="s">
        <v>824</v>
      </c>
      <c r="G270" s="33" t="s">
        <v>18</v>
      </c>
      <c r="H270" s="33"/>
      <c r="I270" s="67">
        <v>1</v>
      </c>
      <c r="J270" s="33"/>
      <c r="K270" s="69" t="e">
        <f>+GETPIVOTDATA("PPEF 2010 ",#REF!,"No. Ramo",16,"IPP","S","PP",46,"UR","F00")</f>
        <v>#REF!</v>
      </c>
      <c r="L270" s="69" t="e">
        <f>+GETPIVOTDATA("Ampliación Neta DIP ",#REF!,"No. Ramo",16,"IPP","S","PP",46,"UR","F00")</f>
        <v>#REF!</v>
      </c>
      <c r="M270" s="69" t="e">
        <f>+GETPIVOTDATA("Recorte SHCP ",#REF!,"No. Ramo",16,"IPP","S","PP",46,"UR","F00")</f>
        <v>#REF!</v>
      </c>
      <c r="N270" s="69" t="e">
        <f>+GETPIVOTDATA("PEF 2010 ",#REF!,"No. Ramo",16,"IPP","S","PP",46,"UR","F00")</f>
        <v>#REF!</v>
      </c>
      <c r="O270" s="69" t="e">
        <f>+GETPIVOTDATA("PPEF 2011 ",#REF!,"No. Ramo",16,"IPP","S","PP",46,"UR","F00")</f>
        <v>#REF!</v>
      </c>
      <c r="P270" s="69" t="e">
        <f>+GETPIVOTDATA("Reducción ",#REF!,"No. Ramo",16,"IPP","S","PP",46,"UR","F00")</f>
        <v>#REF!</v>
      </c>
      <c r="Q270" s="69" t="e">
        <f>+GETPIVOTDATA("Ampliación ",#REF!,"No. Ramo",16,"IPP","S","PP",46,"UR","F00")</f>
        <v>#REF!</v>
      </c>
      <c r="R270" s="69" t="e">
        <f t="shared" si="58"/>
        <v>#REF!</v>
      </c>
      <c r="S270" s="69"/>
      <c r="T270" s="69"/>
      <c r="U270" s="69" t="e">
        <f t="shared" si="78"/>
        <v>#REF!</v>
      </c>
      <c r="V270" s="69" t="e">
        <f t="shared" si="78"/>
        <v>#REF!</v>
      </c>
      <c r="W270" s="69" t="e">
        <f t="shared" si="78"/>
        <v>#REF!</v>
      </c>
      <c r="X270" s="69" t="e">
        <f t="shared" si="78"/>
        <v>#REF!</v>
      </c>
      <c r="AH270" s="152"/>
      <c r="AI270" s="157"/>
      <c r="AJ270" s="158" t="s">
        <v>723</v>
      </c>
      <c r="AK270" s="158"/>
      <c r="AL270" s="150"/>
      <c r="AM270" s="150"/>
      <c r="AN270" s="150"/>
      <c r="AO270" s="151"/>
      <c r="AP270" s="146"/>
      <c r="AQ270" s="146"/>
      <c r="AR270" s="146"/>
      <c r="AS270" s="245"/>
      <c r="AT270" s="245"/>
      <c r="AU270" s="146"/>
      <c r="AX270" s="152"/>
      <c r="AY270" s="157"/>
      <c r="AZ270" s="158" t="s">
        <v>723</v>
      </c>
      <c r="BA270" s="158"/>
      <c r="BB270" s="189"/>
      <c r="BC270" s="189"/>
      <c r="BD270" s="189"/>
      <c r="BE270" s="190"/>
      <c r="BF270" s="187">
        <f t="shared" si="79"/>
        <v>0</v>
      </c>
    </row>
    <row r="271" spans="1:58">
      <c r="B271" s="31"/>
      <c r="C271" s="30"/>
      <c r="D271" s="30" t="s">
        <v>724</v>
      </c>
      <c r="E271" s="30"/>
      <c r="F271" s="33" t="s">
        <v>825</v>
      </c>
      <c r="G271" s="33" t="s">
        <v>826</v>
      </c>
      <c r="H271" s="33"/>
      <c r="I271" s="67">
        <v>1</v>
      </c>
      <c r="J271" s="33"/>
      <c r="K271" s="69" t="e">
        <f>+GETPIVOTDATA("PPEF 2010 ",#REF!,"No. Ramo",16,"IPP","S","PP",71,"UR",413)+GETPIVOTDATA("PPEF 2010 ",#REF!,"No. Ramo",16,"IPP","S","PP",71,"UR","B20")+GETPIVOTDATA("PPEF 2010 ",#REF!,"No. Ramo",16,"IPP","S","PP",71,"UR","B23")+GETPIVOTDATA("PPEF 2010 ",#REF!,"No. Ramo",16,"IPP","S","PP",71,"UR","B24")+GETPIVOTDATA("PPEF 2010 ",#REF!,"No. Ramo",16,"IPP","S","PP",71,"UR","B29")+GETPIVOTDATA("PPEF 2010 ",#REF!,"No. Ramo",16,"IPP","S","PP",71,"UR","B41")+GETPIVOTDATA("PPEF 2010 ",#REF!,"No. Ramo",16,"IPP","S","PP",71,"UR","B42")+GETPIVOTDATA("PPEF 2010 ",#REF!,"No. Ramo",16,"IPP","S","PP",71,"UR","B44")+GETPIVOTDATA("PPEF 2010 ",#REF!,"No. Ramo",16,"IPP","S","PP",71,"UR","B46")</f>
        <v>#REF!</v>
      </c>
      <c r="L271" s="69" t="e">
        <f>+GETPIVOTDATA("Ampliación Neta DIP ",#REF!,"No. Ramo",16,"IPP","S","PP",71,"UR",413)+GETPIVOTDATA("Ampliación Neta DIP ",#REF!,"No. Ramo",16,"IPP","S","PP",71,"UR","B20")+GETPIVOTDATA("Ampliación Neta DIP ",#REF!,"No. Ramo",16,"IPP","S","PP",71,"UR","B23")+GETPIVOTDATA("Ampliación Neta DIP ",#REF!,"No. Ramo",16,"IPP","S","PP",71,"UR","B24")+GETPIVOTDATA("Ampliación Neta DIP ",#REF!,"No. Ramo",16,"IPP","S","PP",71,"UR","B29")+GETPIVOTDATA("Ampliación Neta DIP ",#REF!,"No. Ramo",16,"IPP","S","PP",71,"UR","B41")+GETPIVOTDATA("Ampliación Neta DIP ",#REF!,"No. Ramo",16,"IPP","S","PP",71,"UR","B42")+GETPIVOTDATA("Ampliación Neta DIP ",#REF!,"No. Ramo",16,"IPP","S","PP",71,"UR","B44")+GETPIVOTDATA("Ampliación Neta DIP ",#REF!,"No. Ramo",16,"IPP","S","PP",71,"UR","B46")</f>
        <v>#REF!</v>
      </c>
      <c r="M271" s="69" t="e">
        <f>+GETPIVOTDATA("Recorte SHCP ",#REF!,"No. Ramo",16,"IPP","S","PP",71,"UR",413)+GETPIVOTDATA("Recorte SHCP ",#REF!,"No. Ramo",16,"IPP","S","PP",71,"UR","B20")+GETPIVOTDATA("Recorte SHCP ",#REF!,"No. Ramo",16,"IPP","S","PP",71,"UR","B23")+GETPIVOTDATA("Recorte SHCP ",#REF!,"No. Ramo",16,"IPP","S","PP",71,"UR","B24")+GETPIVOTDATA("Recorte SHCP ",#REF!,"No. Ramo",16,"IPP","S","PP",71,"UR","B29")+GETPIVOTDATA("Recorte SHCP ",#REF!,"No. Ramo",16,"IPP","S","PP",71,"UR","B41")+GETPIVOTDATA("Recorte SHCP ",#REF!,"No. Ramo",16,"IPP","S","PP",71,"UR","B42")+GETPIVOTDATA("Recorte SHCP ",#REF!,"No. Ramo",16,"IPP","S","PP",71,"UR","B44")+GETPIVOTDATA("Recorte SHCP ",#REF!,"No. Ramo",16,"IPP","S","PP",71,"UR","B46")</f>
        <v>#REF!</v>
      </c>
      <c r="N271" s="69" t="e">
        <f>+GETPIVOTDATA("PEF 2010 ",#REF!,"No. Ramo",16,"IPP","S","PP",71,"UR",413)+GETPIVOTDATA("PEF 2010 ",#REF!,"No. Ramo",16,"IPP","S","PP",71,"UR","B20")+GETPIVOTDATA("PEF 2010 ",#REF!,"No. Ramo",16,"IPP","S","PP",71,"UR","B23")+GETPIVOTDATA("PEF 2010 ",#REF!,"No. Ramo",16,"IPP","S","PP",71,"UR","B24")+GETPIVOTDATA("PEF 2010 ",#REF!,"No. Ramo",16,"IPP","S","PP",71,"UR","B29")+GETPIVOTDATA("PEF 2010 ",#REF!,"No. Ramo",16,"IPP","S","PP",71,"UR","B41")+GETPIVOTDATA("PEF 2010 ",#REF!,"No. Ramo",16,"IPP","S","PP",71,"UR","B42")+GETPIVOTDATA("PEF 2010 ",#REF!,"No. Ramo",16,"IPP","S","PP",71,"UR","B44")+GETPIVOTDATA("PEF 2010 ",#REF!,"No. Ramo",16,"IPP","S","PP",71,"UR","B46")</f>
        <v>#REF!</v>
      </c>
      <c r="O271" s="69" t="e">
        <f>+GETPIVOTDATA("PPEF 2011 ",#REF!,"No. Ramo",16,"IPP","S","PP",71,"UR",413)+GETPIVOTDATA("PPEF 2011 ",#REF!,"No. Ramo",16,"IPP","S","PP",71,"UR","B20")+GETPIVOTDATA("PPEF 2011 ",#REF!,"No. Ramo",16,"IPP","S","PP",71,"UR","B23")+GETPIVOTDATA("PPEF 2011 ",#REF!,"No. Ramo",16,"IPP","S","PP",71,"UR","B24")+GETPIVOTDATA("PPEF 2011 ",#REF!,"No. Ramo",16,"IPP","S","PP",71,"UR","B29")+GETPIVOTDATA("PPEF 2011 ",#REF!,"No. Ramo",16,"IPP","S","PP",71,"UR","B41")+GETPIVOTDATA("PPEF 2011 ",#REF!,"No. Ramo",16,"IPP","S","PP",71,"UR","B42")+GETPIVOTDATA("PPEF 2011 ",#REF!,"No. Ramo",16,"IPP","S","PP",71,"UR","B44")+GETPIVOTDATA("PPEF 2011 ",#REF!,"No. Ramo",16,"IPP","S","PP",71,"UR","B46")</f>
        <v>#REF!</v>
      </c>
      <c r="P271" s="69" t="e">
        <f>+GETPIVOTDATA("Reducción ",#REF!,"No. Ramo",16,"IPP","S","PP",71,"UR",413)+GETPIVOTDATA("Reducción ",#REF!,"No. Ramo",16,"IPP","S","PP",71,"UR","B20")+GETPIVOTDATA("Reducción ",#REF!,"No. Ramo",16,"IPP","S","PP",71,"UR","B23")+GETPIVOTDATA("Reducción ",#REF!,"No. Ramo",16,"IPP","S","PP",71,"UR","B24")+GETPIVOTDATA("Reducción ",#REF!,"No. Ramo",16,"IPP","S","PP",71,"UR","B29")+GETPIVOTDATA("Reducción ",#REF!,"No. Ramo",16,"IPP","S","PP",71,"UR","B41")+GETPIVOTDATA("Reducción ",#REF!,"No. Ramo",16,"IPP","S","PP",71,"UR","B42")+GETPIVOTDATA("Reducción ",#REF!,"No. Ramo",16,"IPP","S","PP",71,"UR","B44")+GETPIVOTDATA("Reducción ",#REF!,"No. Ramo",16,"IPP","S","PP",71,"UR","B46")</f>
        <v>#REF!</v>
      </c>
      <c r="Q271" s="69" t="e">
        <f>+GETPIVOTDATA("Ampliación ",#REF!,"No. Ramo",16,"IPP","S","PP",71,"UR",413)+GETPIVOTDATA("Ampliación ",#REF!,"No. Ramo",16,"IPP","S","PP",71,"UR","B20")+GETPIVOTDATA("Ampliación ",#REF!,"No. Ramo",16,"IPP","S","PP",71,"UR","B23")+GETPIVOTDATA("Ampliación ",#REF!,"No. Ramo",16,"IPP","S","PP",71,"UR","B24")+GETPIVOTDATA("Ampliación ",#REF!,"No. Ramo",16,"IPP","S","PP",71,"UR","B29")+GETPIVOTDATA("Ampliación ",#REF!,"No. Ramo",16,"IPP","S","PP",71,"UR","B41")+GETPIVOTDATA("Ampliación ",#REF!,"No. Ramo",16,"IPP","S","PP",71,"UR","B42")+GETPIVOTDATA("Ampliación ",#REF!,"No. Ramo",16,"IPP","S","PP",71,"UR","B44")+GETPIVOTDATA("Ampliación ",#REF!,"No. Ramo",16,"IPP","S","PP",71,"UR","B46")</f>
        <v>#REF!</v>
      </c>
      <c r="R271" s="69" t="e">
        <f t="shared" si="58"/>
        <v>#REF!</v>
      </c>
      <c r="S271" s="69"/>
      <c r="T271" s="69"/>
      <c r="U271" s="69" t="e">
        <f t="shared" si="78"/>
        <v>#REF!</v>
      </c>
      <c r="V271" s="69" t="e">
        <f t="shared" si="78"/>
        <v>#REF!</v>
      </c>
      <c r="W271" s="69" t="e">
        <f t="shared" si="78"/>
        <v>#REF!</v>
      </c>
      <c r="X271" s="69" t="e">
        <f t="shared" si="78"/>
        <v>#REF!</v>
      </c>
      <c r="AH271" s="152"/>
      <c r="AI271" s="157"/>
      <c r="AJ271" s="158" t="s">
        <v>724</v>
      </c>
      <c r="AK271" s="158"/>
      <c r="AL271" s="150"/>
      <c r="AM271" s="150"/>
      <c r="AN271" s="150"/>
      <c r="AO271" s="151"/>
      <c r="AP271" s="146"/>
      <c r="AQ271" s="146"/>
      <c r="AR271" s="146"/>
      <c r="AS271" s="245"/>
      <c r="AT271" s="245"/>
      <c r="AU271" s="146"/>
      <c r="AX271" s="152"/>
      <c r="AY271" s="157"/>
      <c r="AZ271" s="158" t="s">
        <v>724</v>
      </c>
      <c r="BA271" s="158"/>
      <c r="BB271" s="189"/>
      <c r="BC271" s="189"/>
      <c r="BD271" s="189"/>
      <c r="BE271" s="190"/>
      <c r="BF271" s="187">
        <f t="shared" si="79"/>
        <v>0</v>
      </c>
    </row>
    <row r="272" spans="1:58">
      <c r="B272" s="31"/>
      <c r="C272" s="30"/>
      <c r="D272" s="30" t="s">
        <v>725</v>
      </c>
      <c r="E272" s="30"/>
      <c r="F272" s="33" t="s">
        <v>825</v>
      </c>
      <c r="G272" s="33" t="s">
        <v>827</v>
      </c>
      <c r="H272" s="33"/>
      <c r="I272" s="67">
        <v>1</v>
      </c>
      <c r="J272" s="33"/>
      <c r="K272" s="43" t="e">
        <f>+GETPIVOTDATA("PPEF 2010 ",#REF!,"No. Ramo",16,"IPP","G","PP",3)-GETPIVOTDATA("PPEF 2010 ",#REF!,"No. Ramo",16,"IPP","G","PP",3,"UR",713)+GETPIVOTDATA("PPEF 2010 ",#REF!,"No. Ramo",16,"IPP","M","PP",1)-GETPIVOTDATA("PPEF 2010 ",#REF!,"No. Ramo",16,"IPP","M","PP",1,"UR","RJE")-GETPIVOTDATA("PPEF 2010 ",#REF!,"No. Ramo",16,"IPP","M","PP",1,"UR","RHQ")-GETPIVOTDATA("PPEF 2010 ",#REF!,"No. Ramo",16,"IPP","M","PP",1,"UR","F00")-GETPIVOTDATA("PPEF 2010 ",#REF!,"No. Ramo",16,"IPP","M","PP",1,"UR","E00")-GETPIVOTDATA("PPEF 2010 ",#REF!,"No. Ramo",16,"IPP","M","PP",1,"UR","D00")-GETPIVOTDATA("PPEF 2010 ",#REF!,"No. Ramo",16,"IPP","M","PP",1,"UR","B03")-GETPIVOTDATA("PPEF 2010 ",#REF!,"No. Ramo",16,"IPP","M","PP",1,"UR",513)-GETPIVOTDATA("PPEF 2010 ",#REF!,"No. Ramo",16,"IPP","M","PP",1,"UR",512)-GETPIVOTDATA("PPEF 2010 ",#REF!,"No. Ramo",16,"IPP","M","PP",1,"UR",511)-GETPIVOTDATA("PPEF 2010 ",#REF!,"No. Ramo",16,"IPP","M","PP",1,"UR",510)-GETPIVOTDATA("PPEF 2010 ",#REF!,"No. Ramo",16,"IPP","M","PP",1,"UR",500)+GETPIVOTDATA("PPEF 2010 ",#REF!,"No. Ramo",16,"IPP","P","PP",2)+GETPIVOTDATA("PPEF 2010 ",#REF!,"No. Ramo",16,"IPP","U","PP",21)+GETPIVOTDATA("PPEF 2010 ",#REF!,"No. Ramo",16,"IPP","U","PP",22)</f>
        <v>#REF!</v>
      </c>
      <c r="L272" s="43" t="e">
        <f>+GETPIVOTDATA("Ampliación Neta DIP ",#REF!,"No. Ramo",16,"IPP","G","PP",3)-GETPIVOTDATA("Ampliación Neta DIP ",#REF!,"No. Ramo",16,"IPP","G","PP",3,"UR",713)+GETPIVOTDATA("Ampliación Neta DIP ",#REF!,"No. Ramo",16,"IPP","M","PP",1)-GETPIVOTDATA("Ampliación Neta DIP ",#REF!,"No. Ramo",16,"IPP","M","PP",1,"UR","RJE")-GETPIVOTDATA("Ampliación Neta DIP ",#REF!,"No. Ramo",16,"IPP","M","PP",1,"UR","RHQ")-GETPIVOTDATA("Ampliación Neta DIP ",#REF!,"No. Ramo",16,"IPP","M","PP",1,"UR","F00")-GETPIVOTDATA("Ampliación Neta DIP ",#REF!,"No. Ramo",16,"IPP","M","PP",1,"UR","E00")-GETPIVOTDATA("Ampliación Neta DIP ",#REF!,"No. Ramo",16,"IPP","M","PP",1,"UR","D00")-GETPIVOTDATA("Ampliación Neta DIP ",#REF!,"No. Ramo",16,"IPP","M","PP",1,"UR","B03")-GETPIVOTDATA("Ampliación Neta DIP ",#REF!,"No. Ramo",16,"IPP","M","PP",1,"UR",513)-GETPIVOTDATA("Ampliación Neta DIP ",#REF!,"No. Ramo",16,"IPP","M","PP",1,"UR",512)-GETPIVOTDATA("Ampliación Neta DIP ",#REF!,"No. Ramo",16,"IPP","M","PP",1,"UR",511)-GETPIVOTDATA("Ampliación Neta DIP ",#REF!,"No. Ramo",16,"IPP","M","PP",1,"UR",510)-GETPIVOTDATA("Ampliación Neta DIP ",#REF!,"No. Ramo",16,"IPP","M","PP",1,"UR",500)+GETPIVOTDATA("Ampliación Neta DIP ",#REF!,"No. Ramo",16,"IPP","P","PP",2)+GETPIVOTDATA("Ampliación Neta DIP ",#REF!,"No. Ramo",16,"IPP","U","PP",21)+GETPIVOTDATA("Ampliación Neta DIP ",#REF!,"No. Ramo",16,"IPP","U","PP",22)</f>
        <v>#REF!</v>
      </c>
      <c r="M272" s="43" t="e">
        <f>+GETPIVOTDATA("Recorte SHCP ",#REF!,"No. Ramo",16,"IPP","G","PP",3)-GETPIVOTDATA("Recorte SHCP ",#REF!,"No. Ramo",16,"IPP","G","PP",3,"UR",713)+GETPIVOTDATA("Recorte SHCP ",#REF!,"No. Ramo",16,"IPP","M","PP",1)-GETPIVOTDATA("Recorte SHCP ",#REF!,"No. Ramo",16,"IPP","M","PP",1,"UR","RJE")-GETPIVOTDATA("Recorte SHCP ",#REF!,"No. Ramo",16,"IPP","M","PP",1,"UR","RHQ")-GETPIVOTDATA("Recorte SHCP ",#REF!,"No. Ramo",16,"IPP","M","PP",1,"UR","F00")-GETPIVOTDATA("Recorte SHCP ",#REF!,"No. Ramo",16,"IPP","M","PP",1,"UR","E00")-GETPIVOTDATA("Recorte SHCP ",#REF!,"No. Ramo",16,"IPP","M","PP",1,"UR","D00")-GETPIVOTDATA("Recorte SHCP ",#REF!,"No. Ramo",16,"IPP","M","PP",1,"UR","B03")-GETPIVOTDATA("Recorte SHCP ",#REF!,"No. Ramo",16,"IPP","M","PP",1,"UR",513)-GETPIVOTDATA("Recorte SHCP ",#REF!,"No. Ramo",16,"IPP","M","PP",1,"UR",512)-GETPIVOTDATA("Recorte SHCP ",#REF!,"No. Ramo",16,"IPP","M","PP",1,"UR",511)-GETPIVOTDATA("Recorte SHCP ",#REF!,"No. Ramo",16,"IPP","M","PP",1,"UR",510)-GETPIVOTDATA("Recorte SHCP ",#REF!,"No. Ramo",16,"IPP","M","PP",1,"UR",500)+GETPIVOTDATA("Recorte SHCP ",#REF!,"No. Ramo",16,"IPP","P","PP",2)+GETPIVOTDATA("Recorte SHCP ",#REF!,"No. Ramo",16,"IPP","U","PP",21)+GETPIVOTDATA("Recorte SHCP ",#REF!,"No. Ramo",16,"IPP","U","PP",22)</f>
        <v>#REF!</v>
      </c>
      <c r="N272" s="43" t="e">
        <f>+GETPIVOTDATA("PEF 2010 ",#REF!,"No. Ramo",16,"IPP","G","PP",3)-GETPIVOTDATA("PEF 2010 ",#REF!,"No. Ramo",16,"IPP","G","PP",3,"UR",713)+GETPIVOTDATA("PEF 2010 ",#REF!,"No. Ramo",16,"IPP","M","PP",1)-GETPIVOTDATA("PEF 2010 ",#REF!,"No. Ramo",16,"IPP","M","PP",1,"UR","RJE")-GETPIVOTDATA("PEF 2010 ",#REF!,"No. Ramo",16,"IPP","M","PP",1,"UR","RHQ")-GETPIVOTDATA("PEF 2010 ",#REF!,"No. Ramo",16,"IPP","M","PP",1,"UR","F00")-GETPIVOTDATA("PEF 2010 ",#REF!,"No. Ramo",16,"IPP","M","PP",1,"UR","E00")-GETPIVOTDATA("PEF 2010 ",#REF!,"No. Ramo",16,"IPP","M","PP",1,"UR","D00")-GETPIVOTDATA("PEF 2010 ",#REF!,"No. Ramo",16,"IPP","M","PP",1,"UR","B03")-GETPIVOTDATA("PEF 2010 ",#REF!,"No. Ramo",16,"IPP","M","PP",1,"UR",513)-GETPIVOTDATA("PEF 2010 ",#REF!,"No. Ramo",16,"IPP","M","PP",1,"UR",512)-GETPIVOTDATA("PEF 2010 ",#REF!,"No. Ramo",16,"IPP","M","PP",1,"UR",511)-GETPIVOTDATA("PEF 2010 ",#REF!,"No. Ramo",16,"IPP","M","PP",1,"UR",510)-GETPIVOTDATA("PEF 2010 ",#REF!,"No. Ramo",16,"IPP","M","PP",1,"UR",500)+GETPIVOTDATA("PEF 2010 ",#REF!,"No. Ramo",16,"IPP","P","PP",2)+GETPIVOTDATA("PEF 2010 ",#REF!,"No. Ramo",16,"IPP","U","PP",21)+GETPIVOTDATA("PEF 2010 ",#REF!,"No. Ramo",16,"IPP","U","PP",22)</f>
        <v>#REF!</v>
      </c>
      <c r="O272" s="43" t="e">
        <f>+GETPIVOTDATA("PPEF 2011 ",#REF!,"No. Ramo",16,"IPP","G","PP",3)-GETPIVOTDATA("PPEF 2011 ",#REF!,"No. Ramo",16,"IPP","G","PP",3,"UR",713)+GETPIVOTDATA("PPEF 2011 ",#REF!,"No. Ramo",16,"IPP","M","PP",1)-GETPIVOTDATA("PPEF 2011 ",#REF!,"No. Ramo",16,"IPP","M","PP",1,"UR","RJE")-GETPIVOTDATA("PPEF 2011 ",#REF!,"No. Ramo",16,"IPP","M","PP",1,"UR","RHQ")-GETPIVOTDATA("PPEF 2011 ",#REF!,"No. Ramo",16,"IPP","M","PP",1,"UR","F00")-GETPIVOTDATA("PPEF 2011 ",#REF!,"No. Ramo",16,"IPP","M","PP",1,"UR","E00")-GETPIVOTDATA("PPEF 2011 ",#REF!,"No. Ramo",16,"IPP","M","PP",1,"UR","D00")-GETPIVOTDATA("PPEF 2011 ",#REF!,"No. Ramo",16,"IPP","M","PP",1,"UR","B03")-GETPIVOTDATA("PPEF 2011 ",#REF!,"No. Ramo",16,"IPP","M","PP",1,"UR",513)-GETPIVOTDATA("PPEF 2011 ",#REF!,"No. Ramo",16,"IPP","M","PP",1,"UR",512)-GETPIVOTDATA("PPEF 2011 ",#REF!,"No. Ramo",16,"IPP","M","PP",1,"UR",511)-GETPIVOTDATA("PPEF 2011 ",#REF!,"No. Ramo",16,"IPP","M","PP",1,"UR",510)-GETPIVOTDATA("PPEF 2011 ",#REF!,"No. Ramo",16,"IPP","M","PP",1,"UR",500)+GETPIVOTDATA("PPEF 2011 ",#REF!,"No. Ramo",16,"IPP","P","PP",2)+GETPIVOTDATA("PPEF 2011 ",#REF!,"No. Ramo",16,"IPP","U","PP",21)+GETPIVOTDATA("PPEF 2011 ",#REF!,"No. Ramo",16,"IPP","U","PP",22)</f>
        <v>#REF!</v>
      </c>
      <c r="P272" s="43" t="e">
        <f>+GETPIVOTDATA("Reducción ",#REF!,"No. Ramo",16,"IPP","G","PP",3)-GETPIVOTDATA("Reducción ",#REF!,"No. Ramo",16,"IPP","G","PP",3,"UR",713)+GETPIVOTDATA("Reducción ",#REF!,"No. Ramo",16,"IPP","M","PP",1)-GETPIVOTDATA("Reducción ",#REF!,"No. Ramo",16,"IPP","M","PP",1,"UR","RJE")-GETPIVOTDATA("Reducción ",#REF!,"No. Ramo",16,"IPP","M","PP",1,"UR","RHQ")-GETPIVOTDATA("Reducción ",#REF!,"No. Ramo",16,"IPP","M","PP",1,"UR","F00")-GETPIVOTDATA("Reducción ",#REF!,"No. Ramo",16,"IPP","M","PP",1,"UR","E00")-GETPIVOTDATA("Reducción ",#REF!,"No. Ramo",16,"IPP","M","PP",1,"UR","D00")-GETPIVOTDATA("Reducción ",#REF!,"No. Ramo",16,"IPP","M","PP",1,"UR","B03")-GETPIVOTDATA("Reducción ",#REF!,"No. Ramo",16,"IPP","M","PP",1,"UR",513)-GETPIVOTDATA("Reducción ",#REF!,"No. Ramo",16,"IPP","M","PP",1,"UR",512)-GETPIVOTDATA("Reducción ",#REF!,"No. Ramo",16,"IPP","M","PP",1,"UR",511)-GETPIVOTDATA("Reducción ",#REF!,"No. Ramo",16,"IPP","M","PP",1,"UR",510)-GETPIVOTDATA("Reducción ",#REF!,"No. Ramo",16,"IPP","M","PP",1,"UR",500)+GETPIVOTDATA("Reducción ",#REF!,"No. Ramo",16,"IPP","P","PP",2)+GETPIVOTDATA("Reducción ",#REF!,"No. Ramo",16,"IPP","U","PP",21)+GETPIVOTDATA("Reducción ",#REF!,"No. Ramo",16,"IPP","U","PP",22)</f>
        <v>#REF!</v>
      </c>
      <c r="Q272" s="43" t="e">
        <f>+GETPIVOTDATA("Ampliación ",#REF!,"No. Ramo",16,"IPP","G","PP",3)-GETPIVOTDATA("Ampliación ",#REF!,"No. Ramo",16,"IPP","G","PP",3,"UR",713)+GETPIVOTDATA("Ampliación ",#REF!,"No. Ramo",16,"IPP","M","PP",1)-GETPIVOTDATA("Ampliación ",#REF!,"No. Ramo",16,"IPP","M","PP",1,"UR","RJE")-GETPIVOTDATA("Ampliación ",#REF!,"No. Ramo",16,"IPP","M","PP",1,"UR","RHQ")-GETPIVOTDATA("Ampliación ",#REF!,"No. Ramo",16,"IPP","M","PP",1,"UR","F00")-GETPIVOTDATA("Ampliación ",#REF!,"No. Ramo",16,"IPP","M","PP",1,"UR","E00")-GETPIVOTDATA("Ampliación ",#REF!,"No. Ramo",16,"IPP","M","PP",1,"UR","D00")-GETPIVOTDATA("Ampliación ",#REF!,"No. Ramo",16,"IPP","M","PP",1,"UR","B03")-GETPIVOTDATA("Ampliación ",#REF!,"No. Ramo",16,"IPP","M","PP",1,"UR",513)-GETPIVOTDATA("Ampliación ",#REF!,"No. Ramo",16,"IPP","M","PP",1,"UR",512)-GETPIVOTDATA("Ampliación ",#REF!,"No. Ramo",16,"IPP","M","PP",1,"UR",511)-GETPIVOTDATA("Ampliación ",#REF!,"No. Ramo",16,"IPP","M","PP",1,"UR",510)-GETPIVOTDATA("Ampliación ",#REF!,"No. Ramo",16,"IPP","M","PP",1,"UR",500)+GETPIVOTDATA("Ampliación ",#REF!,"No. Ramo",16,"IPP","P","PP",2)+GETPIVOTDATA("Ampliación ",#REF!,"No. Ramo",16,"IPP","U","PP",21)+GETPIVOTDATA("Ampliación ",#REF!,"No. Ramo",16,"IPP","U","PP",22)</f>
        <v>#REF!</v>
      </c>
      <c r="R272" s="69" t="e">
        <f t="shared" si="58"/>
        <v>#REF!</v>
      </c>
      <c r="S272" s="69"/>
      <c r="T272" s="69"/>
      <c r="U272" s="69" t="e">
        <f t="shared" si="78"/>
        <v>#REF!</v>
      </c>
      <c r="V272" s="69" t="e">
        <f t="shared" si="78"/>
        <v>#REF!</v>
      </c>
      <c r="W272" s="69" t="e">
        <f t="shared" si="78"/>
        <v>#REF!</v>
      </c>
      <c r="X272" s="69" t="e">
        <f t="shared" si="78"/>
        <v>#REF!</v>
      </c>
      <c r="AH272" s="152"/>
      <c r="AI272" s="157"/>
      <c r="AJ272" s="158" t="s">
        <v>725</v>
      </c>
      <c r="AK272" s="158"/>
      <c r="AL272" s="150"/>
      <c r="AM272" s="150"/>
      <c r="AN272" s="150"/>
      <c r="AO272" s="151"/>
      <c r="AP272" s="146"/>
      <c r="AQ272" s="146"/>
      <c r="AR272" s="146"/>
      <c r="AS272" s="245"/>
      <c r="AT272" s="245"/>
      <c r="AU272" s="146"/>
      <c r="AX272" s="152"/>
      <c r="AY272" s="157"/>
      <c r="AZ272" s="158" t="s">
        <v>725</v>
      </c>
      <c r="BA272" s="158"/>
      <c r="BB272" s="189"/>
      <c r="BC272" s="189"/>
      <c r="BD272" s="189"/>
      <c r="BE272" s="190"/>
      <c r="BF272" s="187">
        <f t="shared" si="79"/>
        <v>0</v>
      </c>
    </row>
    <row r="273" spans="1:75">
      <c r="B273" s="31"/>
      <c r="C273" s="30" t="s">
        <v>301</v>
      </c>
      <c r="D273" s="30"/>
      <c r="E273" s="30"/>
      <c r="F273" s="33"/>
      <c r="G273" s="33" t="s">
        <v>299</v>
      </c>
      <c r="H273" s="33"/>
      <c r="I273" s="67">
        <v>1</v>
      </c>
      <c r="J273" s="33"/>
      <c r="K273" s="69" t="e">
        <f>+GETPIVOTDATA("PPEF 2010 ",#REF!,"No. Ramo",16,"IPP","E","PP",5,"UR","RHQ")+GETPIVOTDATA("PPEF 2010 ",#REF!,"No. Ramo",16,"IPP","E","PP",13,"UR","RHQ")+GETPIVOTDATA("PPEF 2010 ",#REF!,"No. Ramo",16,"IPP","G","PP",17,"UR","RHQ")+GETPIVOTDATA("PPEF 2010 ",#REF!,"No. Ramo",16,"IPP","K","PP",25,"UR","RHQ")+GETPIVOTDATA("PPEF 2010 ",#REF!,"No. Ramo",16,"IPP","K","PP",138,"UR","RHQ")+GETPIVOTDATA("PPEF 2010 ",#REF!,"No. Ramo",16,"IPP","M","PP",1,"UR","RHQ")+GETPIVOTDATA("PPEF 2010 ",#REF!,"No. Ramo",16,"IPP","O","PP",1,"UR","RHQ")+GETPIVOTDATA("PPEF 2010 ",#REF!,"No. Ramo",16,"IPP","R","PP",14,"UR","RHQ")+GETPIVOTDATA("PPEF 2010 ",#REF!,"No. Ramo",16,"IPP","S","PP",44,"UR","RHQ")+GETPIVOTDATA("PPEF 2010 ",#REF!,"No. Ramo",16,"IPP","S","PP",110,"UR","RHQ")+GETPIVOTDATA("PPEF 2010 ",#REF!,"No. Ramo",16,"IPP","S","PP",122,"UR","RHQ")+GETPIVOTDATA("PPEF 2010 ",#REF!,"No. Ramo",16,"IPP","U","PP",3,"UR","RHQ")+GETPIVOTDATA("PPEF 2010 ",#REF!,"No. Ramo",16,"IPP","U","PP",5,"UR","RHQ")</f>
        <v>#REF!</v>
      </c>
      <c r="L273" s="69" t="e">
        <f>+GETPIVOTDATA("Ampliación Neta DIP ",#REF!,"No. Ramo",16,"IPP","E","PP",5,"UR","RHQ")+GETPIVOTDATA("Ampliación Neta DIP ",#REF!,"No. Ramo",16,"IPP","E","PP",13,"UR","RHQ")+GETPIVOTDATA("Ampliación Neta DIP ",#REF!,"No. Ramo",16,"IPP","G","PP",17,"UR","RHQ")+GETPIVOTDATA("Ampliación Neta DIP ",#REF!,"No. Ramo",16,"IPP","K","PP",25,"UR","RHQ")+GETPIVOTDATA("Ampliación Neta DIP ",#REF!,"No. Ramo",16,"IPP","K","PP",138,"UR","RHQ")+GETPIVOTDATA("Ampliación Neta DIP ",#REF!,"No. Ramo",16,"IPP","M","PP",1,"UR","RHQ")+GETPIVOTDATA("Ampliación Neta DIP ",#REF!,"No. Ramo",16,"IPP","O","PP",1,"UR","RHQ")+GETPIVOTDATA("Ampliación Neta DIP ",#REF!,"No. Ramo",16,"IPP","R","PP",14,"UR","RHQ")+GETPIVOTDATA("Ampliación Neta DIP ",#REF!,"No. Ramo",16,"IPP","S","PP",44,"UR","RHQ")+GETPIVOTDATA("Ampliación Neta DIP ",#REF!,"No. Ramo",16,"IPP","S","PP",110,"UR","RHQ")+GETPIVOTDATA("Ampliación Neta DIP ",#REF!,"No. Ramo",16,"IPP","S","PP",122,"UR","RHQ")+GETPIVOTDATA("Ampliación Neta DIP ",#REF!,"No. Ramo",16,"IPP","U","PP",3,"UR","RHQ")+GETPIVOTDATA("Ampliación Neta DIP ",#REF!,"No. Ramo",16,"IPP","U","PP",5,"UR","RHQ")</f>
        <v>#REF!</v>
      </c>
      <c r="M273" s="69" t="e">
        <f>+GETPIVOTDATA("Recorte SHCP ",#REF!,"No. Ramo",16,"IPP","E","PP",5,"UR","RHQ")+GETPIVOTDATA("Recorte SHCP ",#REF!,"No. Ramo",16,"IPP","E","PP",13,"UR","RHQ")+GETPIVOTDATA("Recorte SHCP ",#REF!,"No. Ramo",16,"IPP","G","PP",17,"UR","RHQ")+GETPIVOTDATA("Recorte SHCP ",#REF!,"No. Ramo",16,"IPP","K","PP",25,"UR","RHQ")+GETPIVOTDATA("Recorte SHCP ",#REF!,"No. Ramo",16,"IPP","K","PP",138,"UR","RHQ")+GETPIVOTDATA("Recorte SHCP ",#REF!,"No. Ramo",16,"IPP","M","PP",1,"UR","RHQ")+GETPIVOTDATA("Recorte SHCP ",#REF!,"No. Ramo",16,"IPP","O","PP",1,"UR","RHQ")+GETPIVOTDATA("Recorte SHCP ",#REF!,"No. Ramo",16,"IPP","R","PP",14,"UR","RHQ")+GETPIVOTDATA("Recorte SHCP ",#REF!,"No. Ramo",16,"IPP","S","PP",44,"UR","RHQ")+GETPIVOTDATA("Recorte SHCP ",#REF!,"No. Ramo",16,"IPP","S","PP",110,"UR","RHQ")+GETPIVOTDATA("Recorte SHCP ",#REF!,"No. Ramo",16,"IPP","S","PP",122,"UR","RHQ")+GETPIVOTDATA("Recorte SHCP ",#REF!,"No. Ramo",16,"IPP","U","PP",3,"UR","RHQ")+GETPIVOTDATA("Recorte SHCP ",#REF!,"No. Ramo",16,"IPP","U","PP",5,"UR","RHQ")</f>
        <v>#REF!</v>
      </c>
      <c r="N273" s="69" t="e">
        <f>+GETPIVOTDATA("PEF 2010 ",#REF!,"No. Ramo",16,"IPP","E","PP",5,"UR","RHQ")+GETPIVOTDATA("PEF 2010 ",#REF!,"No. Ramo",16,"IPP","E","PP",13,"UR","RHQ")+GETPIVOTDATA("PEF 2010 ",#REF!,"No. Ramo",16,"IPP","G","PP",17,"UR","RHQ")+GETPIVOTDATA("PEF 2010 ",#REF!,"No. Ramo",16,"IPP","K","PP",25,"UR","RHQ")+GETPIVOTDATA("PEF 2010 ",#REF!,"No. Ramo",16,"IPP","K","PP",138,"UR","RHQ")+GETPIVOTDATA("PEF 2010 ",#REF!,"No. Ramo",16,"IPP","M","PP",1,"UR","RHQ")+GETPIVOTDATA("PEF 2010 ",#REF!,"No. Ramo",16,"IPP","O","PP",1,"UR","RHQ")+GETPIVOTDATA("PEF 2010 ",#REF!,"No. Ramo",16,"IPP","R","PP",14,"UR","RHQ")+GETPIVOTDATA("PEF 2010 ",#REF!,"No. Ramo",16,"IPP","S","PP",44,"UR","RHQ")+GETPIVOTDATA("PEF 2010 ",#REF!,"No. Ramo",16,"IPP","S","PP",110,"UR","RHQ")+GETPIVOTDATA("PEF 2010 ",#REF!,"No. Ramo",16,"IPP","S","PP",122,"UR","RHQ")+GETPIVOTDATA("PEF 2010 ",#REF!,"No. Ramo",16,"IPP","U","PP",3,"UR","RHQ")+GETPIVOTDATA("PEF 2010 ",#REF!,"No. Ramo",16,"IPP","U","PP",5,"UR","RHQ")</f>
        <v>#REF!</v>
      </c>
      <c r="O273" s="69" t="e">
        <f>+GETPIVOTDATA("PPEF 2011 ",#REF!,"No. Ramo",16,"IPP","E","PP",5,"UR","RHQ")+GETPIVOTDATA("PPEF 2011 ",#REF!,"No. Ramo",16,"IPP","E","PP",13,"UR","RHQ")+GETPIVOTDATA("PPEF 2011 ",#REF!,"No. Ramo",16,"IPP","G","PP",17,"UR","RHQ")+GETPIVOTDATA("PPEF 2011 ",#REF!,"No. Ramo",16,"IPP","K","PP",25,"UR","RHQ")+GETPIVOTDATA("PPEF 2011 ",#REF!,"No. Ramo",16,"IPP","K","PP",138,"UR","RHQ")+GETPIVOTDATA("PPEF 2011 ",#REF!,"No. Ramo",16,"IPP","M","PP",1,"UR","RHQ")+GETPIVOTDATA("PPEF 2011 ",#REF!,"No. Ramo",16,"IPP","O","PP",1,"UR","RHQ")+GETPIVOTDATA("PPEF 2011 ",#REF!,"No. Ramo",16,"IPP","R","PP",14,"UR","RHQ")+GETPIVOTDATA("PPEF 2011 ",#REF!,"No. Ramo",16,"IPP","S","PP",44,"UR","RHQ")+GETPIVOTDATA("PPEF 2011 ",#REF!,"No. Ramo",16,"IPP","S","PP",110,"UR","RHQ")+GETPIVOTDATA("PPEF 2011 ",#REF!,"No. Ramo",16,"IPP","S","PP",122,"UR","RHQ")+GETPIVOTDATA("PPEF 2011 ",#REF!,"No. Ramo",16,"IPP","U","PP",3,"UR","RHQ")+GETPIVOTDATA("PPEF 2011 ",#REF!,"No. Ramo",16,"IPP","U","PP",5,"UR","RHQ")</f>
        <v>#REF!</v>
      </c>
      <c r="P273" s="69" t="e">
        <f>+GETPIVOTDATA("Reducción ",#REF!,"No. Ramo",16,"IPP","E","PP",5,"UR","RHQ")+GETPIVOTDATA("Reducción ",#REF!,"No. Ramo",16,"IPP","E","PP",13,"UR","RHQ")+GETPIVOTDATA("Reducción ",#REF!,"No. Ramo",16,"IPP","G","PP",17,"UR","RHQ")+GETPIVOTDATA("Reducción ",#REF!,"No. Ramo",16,"IPP","K","PP",25,"UR","RHQ")+GETPIVOTDATA("Reducción ",#REF!,"No. Ramo",16,"IPP","K","PP",138,"UR","RHQ")+GETPIVOTDATA("Reducción ",#REF!,"No. Ramo",16,"IPP","M","PP",1,"UR","RHQ")+GETPIVOTDATA("Reducción ",#REF!,"No. Ramo",16,"IPP","O","PP",1,"UR","RHQ")+GETPIVOTDATA("Reducción ",#REF!,"No. Ramo",16,"IPP","R","PP",14,"UR","RHQ")+GETPIVOTDATA("Reducción ",#REF!,"No. Ramo",16,"IPP","S","PP",44,"UR","RHQ")+GETPIVOTDATA("Reducción ",#REF!,"No. Ramo",16,"IPP","S","PP",110,"UR","RHQ")+GETPIVOTDATA("Reducción ",#REF!,"No. Ramo",16,"IPP","S","PP",122,"UR","RHQ")+GETPIVOTDATA("Reducción ",#REF!,"No. Ramo",16,"IPP","U","PP",3,"UR","RHQ")+GETPIVOTDATA("Reducción ",#REF!,"No. Ramo",16,"IPP","U","PP",5,"UR","RHQ")</f>
        <v>#REF!</v>
      </c>
      <c r="Q273" s="69" t="e">
        <f>+GETPIVOTDATA("Ampliación ",#REF!,"No. Ramo",16,"IPP","E","PP",5,"UR","RHQ")+GETPIVOTDATA("Ampliación ",#REF!,"No. Ramo",16,"IPP","E","PP",13,"UR","RHQ")+GETPIVOTDATA("Ampliación ",#REF!,"No. Ramo",16,"IPP","G","PP",17,"UR","RHQ")+GETPIVOTDATA("Ampliación ",#REF!,"No. Ramo",16,"IPP","K","PP",25,"UR","RHQ")+GETPIVOTDATA("Ampliación ",#REF!,"No. Ramo",16,"IPP","K","PP",138,"UR","RHQ")+GETPIVOTDATA("Ampliación ",#REF!,"No. Ramo",16,"IPP","M","PP",1,"UR","RHQ")+GETPIVOTDATA("Ampliación ",#REF!,"No. Ramo",16,"IPP","O","PP",1,"UR","RHQ")+GETPIVOTDATA("Ampliación ",#REF!,"No. Ramo",16,"IPP","R","PP",14,"UR","RHQ")+GETPIVOTDATA("Ampliación ",#REF!,"No. Ramo",16,"IPP","S","PP",44,"UR","RHQ")+GETPIVOTDATA("Ampliación ",#REF!,"No. Ramo",16,"IPP","S","PP",110,"UR","RHQ")+GETPIVOTDATA("Ampliación ",#REF!,"No. Ramo",16,"IPP","S","PP",122,"UR","RHQ")+GETPIVOTDATA("Ampliación ",#REF!,"No. Ramo",16,"IPP","U","PP",3,"UR","RHQ")+GETPIVOTDATA("Ampliación ",#REF!,"No. Ramo",16,"IPP","U","PP",5,"UR","RHQ")</f>
        <v>#REF!</v>
      </c>
      <c r="R273" s="69" t="e">
        <f t="shared" si="58"/>
        <v>#REF!</v>
      </c>
      <c r="S273" s="69"/>
      <c r="T273" s="69"/>
      <c r="U273" s="69" t="e">
        <f t="shared" si="78"/>
        <v>#REF!</v>
      </c>
      <c r="V273" s="69" t="e">
        <f t="shared" si="78"/>
        <v>#REF!</v>
      </c>
      <c r="W273" s="69" t="e">
        <f t="shared" si="78"/>
        <v>#REF!</v>
      </c>
      <c r="X273" s="69" t="e">
        <f t="shared" si="78"/>
        <v>#REF!</v>
      </c>
      <c r="AH273" s="152"/>
      <c r="AI273" s="157" t="s">
        <v>301</v>
      </c>
      <c r="AJ273" s="158"/>
      <c r="AK273" s="158"/>
      <c r="AL273" s="155"/>
      <c r="AM273" s="150"/>
      <c r="AN273" s="150"/>
      <c r="AO273" s="151"/>
      <c r="AP273" s="146"/>
      <c r="AQ273" s="146"/>
      <c r="AR273" s="146"/>
      <c r="AS273" s="245"/>
      <c r="AT273" s="245"/>
      <c r="AU273" s="146"/>
      <c r="AX273" s="152"/>
      <c r="AY273" s="157" t="s">
        <v>301</v>
      </c>
      <c r="AZ273" s="158"/>
      <c r="BA273" s="158"/>
      <c r="BB273" s="155"/>
      <c r="BC273" s="189"/>
      <c r="BD273" s="189"/>
      <c r="BE273" s="190"/>
      <c r="BF273" s="187">
        <f t="shared" si="79"/>
        <v>0</v>
      </c>
    </row>
    <row r="274" spans="1:75">
      <c r="A274" s="122">
        <v>1</v>
      </c>
      <c r="B274" s="26"/>
      <c r="C274" s="27" t="s">
        <v>726</v>
      </c>
      <c r="D274" s="34"/>
      <c r="E274" s="34"/>
      <c r="F274" s="85"/>
      <c r="G274" s="85"/>
      <c r="H274" s="85"/>
      <c r="I274" s="86"/>
      <c r="J274" s="85"/>
      <c r="K274" s="63" t="e">
        <f t="shared" ref="K274:Q274" si="80">+K275+K282</f>
        <v>#REF!</v>
      </c>
      <c r="L274" s="63" t="e">
        <f t="shared" si="80"/>
        <v>#REF!</v>
      </c>
      <c r="M274" s="63" t="e">
        <f t="shared" si="80"/>
        <v>#REF!</v>
      </c>
      <c r="N274" s="63" t="e">
        <f t="shared" si="80"/>
        <v>#REF!</v>
      </c>
      <c r="O274" s="63" t="e">
        <f t="shared" si="80"/>
        <v>#REF!</v>
      </c>
      <c r="P274" s="63" t="e">
        <f t="shared" si="80"/>
        <v>#REF!</v>
      </c>
      <c r="Q274" s="63" t="e">
        <f t="shared" si="80"/>
        <v>#REF!</v>
      </c>
      <c r="R274" s="63" t="e">
        <f t="shared" si="58"/>
        <v>#REF!</v>
      </c>
      <c r="S274" s="63"/>
      <c r="T274" s="63"/>
      <c r="U274" s="63" t="e">
        <f>+U275+U282</f>
        <v>#REF!</v>
      </c>
      <c r="V274" s="63" t="e">
        <f>+V275+V282</f>
        <v>#REF!</v>
      </c>
      <c r="W274" s="63" t="e">
        <f>+W275+W282</f>
        <v>#REF!</v>
      </c>
      <c r="X274" s="63" t="e">
        <f>+X275+X282</f>
        <v>#REF!</v>
      </c>
      <c r="Y274" s="72"/>
      <c r="AH274" s="147"/>
      <c r="AI274" s="148" t="s">
        <v>726</v>
      </c>
      <c r="AJ274" s="165"/>
      <c r="AK274" s="165"/>
      <c r="AL274" s="166"/>
      <c r="AM274" s="150"/>
      <c r="AN274" s="150"/>
      <c r="AO274" s="151"/>
      <c r="AP274" s="146">
        <f>AP275+AP282</f>
        <v>0</v>
      </c>
      <c r="AQ274" s="146">
        <f>AQ275+AQ282</f>
        <v>0</v>
      </c>
      <c r="AR274" s="146">
        <f>AR275+AR282</f>
        <v>0</v>
      </c>
      <c r="AS274" s="245"/>
      <c r="AT274" s="245"/>
      <c r="AU274" s="146">
        <f>AU275+AU282</f>
        <v>0</v>
      </c>
      <c r="AX274" s="147"/>
      <c r="AY274" s="148" t="s">
        <v>726</v>
      </c>
      <c r="AZ274" s="165"/>
      <c r="BA274" s="165"/>
      <c r="BB274" s="166"/>
      <c r="BC274" s="189"/>
      <c r="BD274" s="189"/>
      <c r="BE274" s="190"/>
      <c r="BF274" s="187">
        <f>BF275+BF282</f>
        <v>0</v>
      </c>
    </row>
    <row r="275" spans="1:75">
      <c r="A275" s="122">
        <v>1</v>
      </c>
      <c r="B275" s="28" t="s">
        <v>727</v>
      </c>
      <c r="C275" s="29" t="s">
        <v>660</v>
      </c>
      <c r="D275" s="29"/>
      <c r="E275" s="29"/>
      <c r="F275" s="28"/>
      <c r="G275" s="28"/>
      <c r="H275" s="28"/>
      <c r="I275" s="65"/>
      <c r="J275" s="28"/>
      <c r="K275" s="66" t="e">
        <f t="shared" ref="K275:Q275" si="81">SUM(K276:K281)</f>
        <v>#REF!</v>
      </c>
      <c r="L275" s="66" t="e">
        <f t="shared" si="81"/>
        <v>#REF!</v>
      </c>
      <c r="M275" s="66" t="e">
        <f t="shared" si="81"/>
        <v>#REF!</v>
      </c>
      <c r="N275" s="66" t="e">
        <f t="shared" si="81"/>
        <v>#REF!</v>
      </c>
      <c r="O275" s="66" t="e">
        <f t="shared" si="81"/>
        <v>#REF!</v>
      </c>
      <c r="P275" s="66" t="e">
        <f t="shared" si="81"/>
        <v>#REF!</v>
      </c>
      <c r="Q275" s="66" t="e">
        <f t="shared" si="81"/>
        <v>#REF!</v>
      </c>
      <c r="R275" s="66" t="e">
        <f t="shared" si="58"/>
        <v>#REF!</v>
      </c>
      <c r="S275" s="66"/>
      <c r="T275" s="66"/>
      <c r="U275" s="66" t="e">
        <f>SUM(U276:U281)</f>
        <v>#REF!</v>
      </c>
      <c r="V275" s="66" t="e">
        <f>SUM(V276:V281)</f>
        <v>#REF!</v>
      </c>
      <c r="W275" s="66" t="e">
        <f>SUM(W276:W281)</f>
        <v>#REF!</v>
      </c>
      <c r="X275" s="66" t="e">
        <f>SUM(X276:X281)</f>
        <v>#REF!</v>
      </c>
      <c r="Y275" s="73"/>
      <c r="AH275" s="147" t="s">
        <v>727</v>
      </c>
      <c r="AI275" s="148" t="s">
        <v>660</v>
      </c>
      <c r="AJ275" s="160"/>
      <c r="AK275" s="160"/>
      <c r="AL275" s="149"/>
      <c r="AM275" s="150"/>
      <c r="AN275" s="150"/>
      <c r="AO275" s="151"/>
      <c r="AP275" s="146">
        <f>AP276+AP277+AP278+AP280+AP281</f>
        <v>0</v>
      </c>
      <c r="AQ275" s="146">
        <f>AQ276+AQ277+AQ278+AQ280+AQ281</f>
        <v>0</v>
      </c>
      <c r="AR275" s="146">
        <f>AR276+AR277+AR278+AR280+AR281</f>
        <v>0</v>
      </c>
      <c r="AS275" s="245"/>
      <c r="AT275" s="245"/>
      <c r="AU275" s="146">
        <f>AU276+AU277+AU278+AU280+AU281</f>
        <v>0</v>
      </c>
      <c r="AX275" s="147" t="s">
        <v>727</v>
      </c>
      <c r="AY275" s="148" t="s">
        <v>660</v>
      </c>
      <c r="AZ275" s="160"/>
      <c r="BA275" s="160"/>
      <c r="BB275" s="149"/>
      <c r="BC275" s="189"/>
      <c r="BD275" s="189"/>
      <c r="BE275" s="190"/>
      <c r="BF275" s="187">
        <f>BF276+BF277+BF278+BF280+BF281</f>
        <v>0</v>
      </c>
    </row>
    <row r="276" spans="1:75">
      <c r="A276" s="122">
        <v>1</v>
      </c>
      <c r="B276" s="31"/>
      <c r="C276" s="30" t="s">
        <v>728</v>
      </c>
      <c r="D276" s="30"/>
      <c r="E276" s="30"/>
      <c r="F276" s="33"/>
      <c r="G276" s="33" t="s">
        <v>21</v>
      </c>
      <c r="H276" s="33"/>
      <c r="I276" s="67">
        <v>1</v>
      </c>
      <c r="J276" s="33"/>
      <c r="K276" s="69" t="e">
        <f>+GETPIVOTDATA("PPEF 2010 ",#REF!,"No. Ramo",8,"IPP","E","PP",1,"UR","D00")+GETPIVOTDATA("PPEF 2010 ",#REF!,"No. Ramo",8,"IPP","E","PP",2,"UR","D00")+GETPIVOTDATA("PPEF 2010 ",#REF!,"No. Ramo",8,"IPP","K","PP",9,"UR","D00")+GETPIVOTDATA("PPEF 2010 ",#REF!,"No. Ramo",8,"IPP","K","PP",27,"UR","D00")+GETPIVOTDATA("PPEF 2010 ",#REF!,"No. Ramo",8,"IPP","L","PP",1,"UR","D00")+GETPIVOTDATA("PPEF 2010 ",#REF!,"No. Ramo",8,"IPP","M","PP",1,"UR","D00")+GETPIVOTDATA("PPEF 2010 ",#REF!,"No. Ramo",8,"IPP","O","PP",99,"UR","D00")</f>
        <v>#REF!</v>
      </c>
      <c r="L276" s="69" t="e">
        <f>+GETPIVOTDATA("Ampliación Neta DIP ",#REF!,"No. Ramo",8,"IPP","E","PP",1,"UR","D00")+GETPIVOTDATA("Ampliación Neta DIP ",#REF!,"No. Ramo",8,"IPP","E","PP",2,"UR","D00")+GETPIVOTDATA("Ampliación Neta DIP ",#REF!,"No. Ramo",8,"IPP","K","PP",9,"UR","D00")+GETPIVOTDATA("Ampliación Neta DIP ",#REF!,"No. Ramo",8,"IPP","K","PP",27,"UR","D00")+GETPIVOTDATA("Ampliación Neta DIP ",#REF!,"No. Ramo",8,"IPP","L","PP",1,"UR","D00")+GETPIVOTDATA("Ampliación Neta DIP ",#REF!,"No. Ramo",8,"IPP","M","PP",1,"UR","D00")+GETPIVOTDATA("Ampliación Neta DIP ",#REF!,"No. Ramo",8,"IPP","O","PP",99,"UR","D00")</f>
        <v>#REF!</v>
      </c>
      <c r="M276" s="69" t="e">
        <f>+GETPIVOTDATA("Recorte SHCP ",#REF!,"No. Ramo",8,"IPP","E","PP",1,"UR","D00")+GETPIVOTDATA("Recorte SHCP ",#REF!,"No. Ramo",8,"IPP","E","PP",2,"UR","D00")+GETPIVOTDATA("Recorte SHCP ",#REF!,"No. Ramo",8,"IPP","K","PP",9,"UR","D00")+GETPIVOTDATA("Recorte SHCP ",#REF!,"No. Ramo",8,"IPP","K","PP",27,"UR","D00")+GETPIVOTDATA("Recorte SHCP ",#REF!,"No. Ramo",8,"IPP","L","PP",1,"UR","D00")+GETPIVOTDATA("Recorte SHCP ",#REF!,"No. Ramo",8,"IPP","M","PP",1,"UR","D00")+GETPIVOTDATA("Recorte SHCP ",#REF!,"No. Ramo",8,"IPP","O","PP",99,"UR","D00")</f>
        <v>#REF!</v>
      </c>
      <c r="N276" s="69" t="e">
        <f>+GETPIVOTDATA("PEF 2010 ",#REF!,"No. Ramo",8,"IPP","E","PP",1,"UR","D00")+GETPIVOTDATA("PEF 2010 ",#REF!,"No. Ramo",8,"IPP","E","PP",2,"UR","D00")+GETPIVOTDATA("PEF 2010 ",#REF!,"No. Ramo",8,"IPP","K","PP",9,"UR","D00")+GETPIVOTDATA("PEF 2010 ",#REF!,"No. Ramo",8,"IPP","K","PP",27,"UR","D00")+GETPIVOTDATA("PEF 2010 ",#REF!,"No. Ramo",8,"IPP","L","PP",1,"UR","D00")+GETPIVOTDATA("PEF 2010 ",#REF!,"No. Ramo",8,"IPP","M","PP",1,"UR","D00")+GETPIVOTDATA("PEF 2010 ",#REF!,"No. Ramo",8,"IPP","O","PP",99,"UR","D00")</f>
        <v>#REF!</v>
      </c>
      <c r="O276" s="69" t="e">
        <f>+GETPIVOTDATA("PPEF 2011 ",#REF!,"No. Ramo",8,"IPP","E","PP",1,"UR","D00")+GETPIVOTDATA("PPEF 2011 ",#REF!,"No. Ramo",8,"IPP","E","PP",2,"UR","D00")+GETPIVOTDATA("PPEF 2011 ",#REF!,"No. Ramo",8,"IPP","K","PP",9,"UR","D00")+GETPIVOTDATA("PPEF 2011 ",#REF!,"No. Ramo",8,"IPP","K","PP",27,"UR","D00")+GETPIVOTDATA("PPEF 2011 ",#REF!,"No. Ramo",8,"IPP","L","PP",1,"UR","D00")+GETPIVOTDATA("PPEF 2011 ",#REF!,"No. Ramo",8,"IPP","M","PP",1,"UR","D00")+GETPIVOTDATA("PPEF 2011 ",#REF!,"No. Ramo",8,"IPP","O","PP",99,"UR","D00")</f>
        <v>#REF!</v>
      </c>
      <c r="P276" s="69" t="e">
        <f>+GETPIVOTDATA("Reducción ",#REF!,"No. Ramo",8,"IPP","E","PP",1,"UR","D00")+GETPIVOTDATA("Reducción ",#REF!,"No. Ramo",8,"IPP","E","PP",2,"UR","D00")+GETPIVOTDATA("Reducción ",#REF!,"No. Ramo",8,"IPP","K","PP",9,"UR","D00")+GETPIVOTDATA("Reducción ",#REF!,"No. Ramo",8,"IPP","K","PP",27,"UR","D00")+GETPIVOTDATA("Reducción ",#REF!,"No. Ramo",8,"IPP","L","PP",1,"UR","D00")+GETPIVOTDATA("Reducción ",#REF!,"No. Ramo",8,"IPP","M","PP",1,"UR","D00")+GETPIVOTDATA("Reducción ",#REF!,"No. Ramo",8,"IPP","O","PP",99,"UR","D00")</f>
        <v>#REF!</v>
      </c>
      <c r="Q276" s="69" t="e">
        <f>+GETPIVOTDATA("Ampliación ",#REF!,"No. Ramo",8,"IPP","E","PP",1,"UR","D00")+GETPIVOTDATA("Ampliación ",#REF!,"No. Ramo",8,"IPP","E","PP",2,"UR","D00")+GETPIVOTDATA("Ampliación ",#REF!,"No. Ramo",8,"IPP","K","PP",9,"UR","D00")+GETPIVOTDATA("Ampliación ",#REF!,"No. Ramo",8,"IPP","K","PP",27,"UR","D00")+GETPIVOTDATA("Ampliación ",#REF!,"No. Ramo",8,"IPP","L","PP",1,"UR","D00")+GETPIVOTDATA("Ampliación ",#REF!,"No. Ramo",8,"IPP","M","PP",1,"UR","D00")+GETPIVOTDATA("Ampliación ",#REF!,"No. Ramo",8,"IPP","O","PP",99,"UR","D00")</f>
        <v>#REF!</v>
      </c>
      <c r="R276" s="69" t="e">
        <f t="shared" si="58"/>
        <v>#REF!</v>
      </c>
      <c r="S276" s="69"/>
      <c r="T276" s="69"/>
      <c r="U276" s="69" t="e">
        <f t="shared" ref="U276:X278" si="82">+$I276*O276</f>
        <v>#REF!</v>
      </c>
      <c r="V276" s="69" t="e">
        <f t="shared" si="82"/>
        <v>#REF!</v>
      </c>
      <c r="W276" s="69" t="e">
        <f t="shared" si="82"/>
        <v>#REF!</v>
      </c>
      <c r="X276" s="69" t="e">
        <f t="shared" si="82"/>
        <v>#REF!</v>
      </c>
      <c r="Y276" s="73"/>
      <c r="AH276" s="152"/>
      <c r="AI276" s="157" t="s">
        <v>728</v>
      </c>
      <c r="AJ276" s="158"/>
      <c r="AK276" s="158"/>
      <c r="AL276" s="155"/>
      <c r="AM276" s="150"/>
      <c r="AN276" s="150"/>
      <c r="AO276" s="151"/>
      <c r="AP276" s="146"/>
      <c r="AQ276" s="146"/>
      <c r="AR276" s="146"/>
      <c r="AS276" s="245"/>
      <c r="AT276" s="245"/>
      <c r="AU276" s="146"/>
      <c r="AX276" s="152"/>
      <c r="AY276" s="157" t="s">
        <v>728</v>
      </c>
      <c r="AZ276" s="158"/>
      <c r="BA276" s="158"/>
      <c r="BB276" s="155"/>
      <c r="BC276" s="189"/>
      <c r="BD276" s="189"/>
      <c r="BE276" s="190"/>
      <c r="BF276" s="187">
        <f>+AU276</f>
        <v>0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  <c r="BS276" s="113"/>
      <c r="BT276" s="113"/>
      <c r="BU276" s="113"/>
      <c r="BV276" s="113"/>
      <c r="BW276" s="113"/>
    </row>
    <row r="277" spans="1:75">
      <c r="A277" s="122">
        <v>1</v>
      </c>
      <c r="B277" s="31"/>
      <c r="C277" s="30" t="s">
        <v>112</v>
      </c>
      <c r="D277" s="30"/>
      <c r="E277" s="30"/>
      <c r="F277" s="33"/>
      <c r="G277" s="33" t="s">
        <v>111</v>
      </c>
      <c r="H277" s="33"/>
      <c r="I277" s="67">
        <v>1</v>
      </c>
      <c r="J277" s="33"/>
      <c r="K277" s="69" t="e">
        <f>+GETPIVOTDATA("PPEF 2010 ",#REF!,"No. Ramo",8,"IPP","E","PP",4,"UR","IZC")+GETPIVOTDATA("PPEF 2010 ",#REF!,"No. Ramo",8,"IPP","K","PP",9,"UR","IZC")+GETPIVOTDATA("PPEF 2010 ",#REF!,"No. Ramo",8,"IPP","M","PP",1,"UR","IZC")+GETPIVOTDATA("PPEF 2010 ",#REF!,"No. Ramo",8,"IPP","O","PP",1,"UR","IZC")</f>
        <v>#REF!</v>
      </c>
      <c r="L277" s="69" t="e">
        <f>+GETPIVOTDATA("Ampliación Neta DIP ",#REF!,"No. Ramo",8,"IPP","E","PP",4,"UR","IZC")+GETPIVOTDATA("Ampliación Neta DIP ",#REF!,"No. Ramo",8,"IPP","K","PP",9,"UR","IZC")+GETPIVOTDATA("Ampliación Neta DIP ",#REF!,"No. Ramo",8,"IPP","M","PP",1,"UR","IZC")+GETPIVOTDATA("Ampliación Neta DIP ",#REF!,"No. Ramo",8,"IPP","O","PP",1,"UR","IZC")</f>
        <v>#REF!</v>
      </c>
      <c r="M277" s="69" t="e">
        <f>+GETPIVOTDATA("Recorte SHCP ",#REF!,"No. Ramo",8,"IPP","E","PP",4,"UR","IZC")+GETPIVOTDATA("Recorte SHCP ",#REF!,"No. Ramo",8,"IPP","K","PP",9,"UR","IZC")+GETPIVOTDATA("Recorte SHCP ",#REF!,"No. Ramo",8,"IPP","M","PP",1,"UR","IZC")+GETPIVOTDATA("Recorte SHCP ",#REF!,"No. Ramo",8,"IPP","O","PP",1,"UR","IZC")</f>
        <v>#REF!</v>
      </c>
      <c r="N277" s="69" t="e">
        <f>+GETPIVOTDATA("PEF 2010 ",#REF!,"No. Ramo",8,"IPP","E","PP",4,"UR","IZC")+GETPIVOTDATA("PEF 2010 ",#REF!,"No. Ramo",8,"IPP","K","PP",9,"UR","IZC")+GETPIVOTDATA("PEF 2010 ",#REF!,"No. Ramo",8,"IPP","M","PP",1,"UR","IZC")+GETPIVOTDATA("PEF 2010 ",#REF!,"No. Ramo",8,"IPP","O","PP",1,"UR","IZC")</f>
        <v>#REF!</v>
      </c>
      <c r="O277" s="69" t="e">
        <f>+GETPIVOTDATA("PPEF 2011 ",#REF!,"No. Ramo",8,"IPP","E","PP",4,"UR","IZC")+GETPIVOTDATA("PPEF 2011 ",#REF!,"No. Ramo",8,"IPP","K","PP",9,"UR","IZC")+GETPIVOTDATA("PPEF 2011 ",#REF!,"No. Ramo",8,"IPP","M","PP",1,"UR","IZC")+GETPIVOTDATA("PPEF 2011 ",#REF!,"No. Ramo",8,"IPP","O","PP",1,"UR","IZC")</f>
        <v>#REF!</v>
      </c>
      <c r="P277" s="69" t="e">
        <f>+GETPIVOTDATA("Reducción ",#REF!,"No. Ramo",8,"IPP","E","PP",4,"UR","IZC")+GETPIVOTDATA("Reducción ",#REF!,"No. Ramo",8,"IPP","K","PP",9,"UR","IZC")+GETPIVOTDATA("Reducción ",#REF!,"No. Ramo",8,"IPP","M","PP",1,"UR","IZC")+GETPIVOTDATA("Reducción ",#REF!,"No. Ramo",8,"IPP","O","PP",1,"UR","IZC")</f>
        <v>#REF!</v>
      </c>
      <c r="Q277" s="69" t="e">
        <f>+GETPIVOTDATA("Ampliación ",#REF!,"No. Ramo",8,"IPP","E","PP",4,"UR","IZC")+GETPIVOTDATA("Ampliación ",#REF!,"No. Ramo",8,"IPP","K","PP",9,"UR","IZC")+GETPIVOTDATA("Ampliación ",#REF!,"No. Ramo",8,"IPP","M","PP",1,"UR","IZC")+GETPIVOTDATA("Ampliación ",#REF!,"No. Ramo",8,"IPP","O","PP",1,"UR","IZC")</f>
        <v>#REF!</v>
      </c>
      <c r="R277" s="69" t="e">
        <f t="shared" si="58"/>
        <v>#REF!</v>
      </c>
      <c r="S277" s="69"/>
      <c r="T277" s="69"/>
      <c r="U277" s="69" t="e">
        <f t="shared" si="82"/>
        <v>#REF!</v>
      </c>
      <c r="V277" s="69" t="e">
        <f t="shared" si="82"/>
        <v>#REF!</v>
      </c>
      <c r="W277" s="69" t="e">
        <f t="shared" si="82"/>
        <v>#REF!</v>
      </c>
      <c r="X277" s="69" t="e">
        <f t="shared" si="82"/>
        <v>#REF!</v>
      </c>
      <c r="Y277" s="73"/>
      <c r="AH277" s="152"/>
      <c r="AI277" s="157" t="s">
        <v>112</v>
      </c>
      <c r="AJ277" s="158"/>
      <c r="AK277" s="158"/>
      <c r="AL277" s="155"/>
      <c r="AM277" s="150"/>
      <c r="AN277" s="150"/>
      <c r="AO277" s="151"/>
      <c r="AP277" s="146"/>
      <c r="AQ277" s="146"/>
      <c r="AR277" s="146"/>
      <c r="AS277" s="245"/>
      <c r="AT277" s="245"/>
      <c r="AU277" s="146"/>
      <c r="AX277" s="152"/>
      <c r="AY277" s="157" t="s">
        <v>112</v>
      </c>
      <c r="AZ277" s="158"/>
      <c r="BA277" s="158"/>
      <c r="BB277" s="155"/>
      <c r="BC277" s="189"/>
      <c r="BD277" s="189"/>
      <c r="BE277" s="190"/>
      <c r="BF277" s="187">
        <f>+AU277</f>
        <v>0</v>
      </c>
    </row>
    <row r="278" spans="1:75" s="113" customFormat="1">
      <c r="A278" s="122">
        <v>1</v>
      </c>
      <c r="B278" s="31"/>
      <c r="C278" s="30" t="s">
        <v>107</v>
      </c>
      <c r="D278" s="30"/>
      <c r="E278" s="30"/>
      <c r="F278" s="33"/>
      <c r="G278" s="33" t="s">
        <v>106</v>
      </c>
      <c r="H278" s="33"/>
      <c r="I278" s="67">
        <v>1</v>
      </c>
      <c r="J278" s="33"/>
      <c r="K278" s="69" t="e">
        <f>+GETPIVOTDATA("PPEF 2010 ",#REF!,"No. Ramo",8,"IPP","E","PP",1,"UR","A1I")+GETPIVOTDATA("PPEF 2010 ",#REF!,"No. Ramo",8,"IPP","E","PP",2,"UR","A1I")+GETPIVOTDATA("PPEF 2010 ",#REF!,"No. Ramo",8,"IPP","E","PP",3,"UR","A1I")+GETPIVOTDATA("PPEF 2010 ",#REF!,"No. Ramo",8,"IPP","E","PP",4,"UR","A1I")+GETPIVOTDATA("PPEF 2010 ",#REF!,"No. Ramo",8,"IPP","E","PP",5,"UR","A1I")+GETPIVOTDATA("PPEF 2010 ",#REF!,"No. Ramo",8,"IPP","K","PP",9,"UR","A1I")+GETPIVOTDATA("PPEF 2010 ",#REF!,"No. Ramo",8,"IPP","M","PP",1,"UR","A1I")+GETPIVOTDATA("PPEF 2010 ",#REF!,"No. Ramo",8,"IPP","O","PP",1,"UR","A1I")+GETPIVOTDATA("PPEF 2010 ",#REF!,"No. Ramo",8,"IPP","P","PP",1,"UR","A1I")</f>
        <v>#REF!</v>
      </c>
      <c r="L278" s="69" t="e">
        <f>+GETPIVOTDATA("Ampliación Neta DIP ",#REF!,"No. Ramo",8,"IPP","E","PP",1,"UR","A1I")+GETPIVOTDATA("Ampliación Neta DIP ",#REF!,"No. Ramo",8,"IPP","E","PP",2,"UR","A1I")+GETPIVOTDATA("Ampliación Neta DIP ",#REF!,"No. Ramo",8,"IPP","E","PP",3,"UR","A1I")+GETPIVOTDATA("Ampliación Neta DIP ",#REF!,"No. Ramo",8,"IPP","E","PP",4,"UR","A1I")+GETPIVOTDATA("Ampliación Neta DIP ",#REF!,"No. Ramo",8,"IPP","E","PP",5,"UR","A1I")+GETPIVOTDATA("Ampliación Neta DIP ",#REF!,"No. Ramo",8,"IPP","K","PP",9,"UR","A1I")+GETPIVOTDATA("Ampliación Neta DIP ",#REF!,"No. Ramo",8,"IPP","M","PP",1,"UR","A1I")+GETPIVOTDATA("Ampliación Neta DIP ",#REF!,"No. Ramo",8,"IPP","O","PP",1,"UR","A1I")+GETPIVOTDATA("Ampliación Neta DIP ",#REF!,"No. Ramo",8,"IPP","P","PP",1,"UR","A1I")</f>
        <v>#REF!</v>
      </c>
      <c r="M278" s="69" t="e">
        <f>+GETPIVOTDATA("Recorte SHCP ",#REF!,"No. Ramo",8,"IPP","E","PP",1,"UR","A1I")+GETPIVOTDATA("Recorte SHCP ",#REF!,"No. Ramo",8,"IPP","E","PP",2,"UR","A1I")+GETPIVOTDATA("Recorte SHCP ",#REF!,"No. Ramo",8,"IPP","E","PP",3,"UR","A1I")+GETPIVOTDATA("Recorte SHCP ",#REF!,"No. Ramo",8,"IPP","E","PP",4,"UR","A1I")+GETPIVOTDATA("Recorte SHCP ",#REF!,"No. Ramo",8,"IPP","E","PP",5,"UR","A1I")+GETPIVOTDATA("Recorte SHCP ",#REF!,"No. Ramo",8,"IPP","K","PP",9,"UR","A1I")+GETPIVOTDATA("Recorte SHCP ",#REF!,"No. Ramo",8,"IPP","M","PP",1,"UR","A1I")+GETPIVOTDATA("Recorte SHCP ",#REF!,"No. Ramo",8,"IPP","O","PP",1,"UR","A1I")+GETPIVOTDATA("Recorte SHCP ",#REF!,"No. Ramo",8,"IPP","P","PP",1,"UR","A1I")</f>
        <v>#REF!</v>
      </c>
      <c r="N278" s="69" t="e">
        <f>+GETPIVOTDATA("PEF 2010 ",#REF!,"No. Ramo",8,"IPP","E","PP",1,"UR","A1I")+GETPIVOTDATA("PEF 2010 ",#REF!,"No. Ramo",8,"IPP","E","PP",2,"UR","A1I")+GETPIVOTDATA("PEF 2010 ",#REF!,"No. Ramo",8,"IPP","E","PP",3,"UR","A1I")+GETPIVOTDATA("PEF 2010 ",#REF!,"No. Ramo",8,"IPP","E","PP",4,"UR","A1I")+GETPIVOTDATA("PEF 2010 ",#REF!,"No. Ramo",8,"IPP","E","PP",5,"UR","A1I")+GETPIVOTDATA("PEF 2010 ",#REF!,"No. Ramo",8,"IPP","K","PP",9,"UR","A1I")+GETPIVOTDATA("PEF 2010 ",#REF!,"No. Ramo",8,"IPP","M","PP",1,"UR","A1I")+GETPIVOTDATA("PEF 2010 ",#REF!,"No. Ramo",8,"IPP","O","PP",1,"UR","A1I")+GETPIVOTDATA("PEF 2010 ",#REF!,"No. Ramo",8,"IPP","P","PP",1,"UR","A1I")</f>
        <v>#REF!</v>
      </c>
      <c r="O278" s="69" t="e">
        <f>+GETPIVOTDATA("PPEF 2011 ",#REF!,"No. Ramo",8,"IPP","E","PP",1,"UR","A1I")+GETPIVOTDATA("PPEF 2011 ",#REF!,"No. Ramo",8,"IPP","E","PP",2,"UR","A1I")+GETPIVOTDATA("PPEF 2011 ",#REF!,"No. Ramo",8,"IPP","E","PP",3,"UR","A1I")+GETPIVOTDATA("PPEF 2011 ",#REF!,"No. Ramo",8,"IPP","E","PP",4,"UR","A1I")+GETPIVOTDATA("PPEF 2011 ",#REF!,"No. Ramo",8,"IPP","E","PP",5,"UR","A1I")+GETPIVOTDATA("PPEF 2011 ",#REF!,"No. Ramo",8,"IPP","K","PP",9,"UR","A1I")+GETPIVOTDATA("PPEF 2011 ",#REF!,"No. Ramo",8,"IPP","M","PP",1,"UR","A1I")+GETPIVOTDATA("PPEF 2011 ",#REF!,"No. Ramo",8,"IPP","O","PP",1,"UR","A1I")+GETPIVOTDATA("PPEF 2011 ",#REF!,"No. Ramo",8,"IPP","P","PP",1,"UR","A1I")</f>
        <v>#REF!</v>
      </c>
      <c r="P278" s="69" t="e">
        <f>+GETPIVOTDATA("Reducción ",#REF!,"No. Ramo",8,"IPP","E","PP",1,"UR","A1I")+GETPIVOTDATA("Reducción ",#REF!,"No. Ramo",8,"IPP","E","PP",2,"UR","A1I")+GETPIVOTDATA("Reducción ",#REF!,"No. Ramo",8,"IPP","E","PP",3,"UR","A1I")+GETPIVOTDATA("Reducción ",#REF!,"No. Ramo",8,"IPP","E","PP",4,"UR","A1I")+GETPIVOTDATA("Reducción ",#REF!,"No. Ramo",8,"IPP","E","PP",5,"UR","A1I")+GETPIVOTDATA("Reducción ",#REF!,"No. Ramo",8,"IPP","K","PP",9,"UR","A1I")+GETPIVOTDATA("Reducción ",#REF!,"No. Ramo",8,"IPP","M","PP",1,"UR","A1I")+GETPIVOTDATA("Reducción ",#REF!,"No. Ramo",8,"IPP","O","PP",1,"UR","A1I")+GETPIVOTDATA("Reducción ",#REF!,"No. Ramo",8,"IPP","P","PP",1,"UR","A1I")</f>
        <v>#REF!</v>
      </c>
      <c r="Q278" s="69" t="e">
        <f>+GETPIVOTDATA("Ampliación ",#REF!,"No. Ramo",8,"IPP","E","PP",1,"UR","A1I")+GETPIVOTDATA("Ampliación ",#REF!,"No. Ramo",8,"IPP","E","PP",2,"UR","A1I")+GETPIVOTDATA("Ampliación ",#REF!,"No. Ramo",8,"IPP","E","PP",3,"UR","A1I")+GETPIVOTDATA("Ampliación ",#REF!,"No. Ramo",8,"IPP","E","PP",4,"UR","A1I")+GETPIVOTDATA("Ampliación ",#REF!,"No. Ramo",8,"IPP","E","PP",5,"UR","A1I")+GETPIVOTDATA("Ampliación ",#REF!,"No. Ramo",8,"IPP","K","PP",9,"UR","A1I")+GETPIVOTDATA("Ampliación ",#REF!,"No. Ramo",8,"IPP","M","PP",1,"UR","A1I")+GETPIVOTDATA("Ampliación ",#REF!,"No. Ramo",8,"IPP","O","PP",1,"UR","A1I")+GETPIVOTDATA("Ampliación ",#REF!,"No. Ramo",8,"IPP","P","PP",1,"UR","A1I")</f>
        <v>#REF!</v>
      </c>
      <c r="R278" s="69" t="e">
        <f t="shared" si="58"/>
        <v>#REF!</v>
      </c>
      <c r="S278" s="69"/>
      <c r="T278" s="69"/>
      <c r="U278" s="69" t="e">
        <f t="shared" si="82"/>
        <v>#REF!</v>
      </c>
      <c r="V278" s="69" t="e">
        <f t="shared" si="82"/>
        <v>#REF!</v>
      </c>
      <c r="W278" s="69" t="e">
        <f t="shared" si="82"/>
        <v>#REF!</v>
      </c>
      <c r="X278" s="69" t="e">
        <f t="shared" si="82"/>
        <v>#REF!</v>
      </c>
      <c r="Y278" s="73"/>
      <c r="Z278"/>
      <c r="AA278"/>
      <c r="AB278"/>
      <c r="AC278"/>
      <c r="AD278"/>
      <c r="AE278"/>
      <c r="AF278"/>
      <c r="AG278"/>
      <c r="AH278" s="152"/>
      <c r="AI278" s="157" t="s">
        <v>107</v>
      </c>
      <c r="AJ278" s="158"/>
      <c r="AK278" s="158"/>
      <c r="AL278" s="155"/>
      <c r="AM278" s="150"/>
      <c r="AN278" s="150"/>
      <c r="AO278" s="151"/>
      <c r="AP278" s="146">
        <f>AP279</f>
        <v>0</v>
      </c>
      <c r="AQ278" s="146">
        <f>AQ279</f>
        <v>0</v>
      </c>
      <c r="AR278" s="146">
        <f>AR279</f>
        <v>0</v>
      </c>
      <c r="AS278" s="245"/>
      <c r="AT278" s="245"/>
      <c r="AU278" s="146">
        <f>AU279</f>
        <v>0</v>
      </c>
      <c r="AV278" s="195"/>
      <c r="AW278" s="195"/>
      <c r="AX278" s="152"/>
      <c r="AY278" s="157" t="s">
        <v>107</v>
      </c>
      <c r="AZ278" s="158"/>
      <c r="BA278" s="158"/>
      <c r="BB278" s="155"/>
      <c r="BC278" s="189"/>
      <c r="BD278" s="189"/>
      <c r="BE278" s="190"/>
      <c r="BF278" s="187">
        <f>BF279</f>
        <v>0</v>
      </c>
      <c r="BG278" s="195"/>
      <c r="BH278" s="195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>
      <c r="A279" s="122">
        <v>1</v>
      </c>
      <c r="B279" s="111"/>
      <c r="C279" s="104" t="s">
        <v>1004</v>
      </c>
      <c r="D279" s="110"/>
      <c r="E279" s="110"/>
      <c r="F279" s="80"/>
      <c r="G279" s="80"/>
      <c r="H279" s="80"/>
      <c r="I279" s="112"/>
      <c r="J279" s="80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114"/>
      <c r="Z279" s="113"/>
      <c r="AA279" s="113"/>
      <c r="AB279" s="113"/>
      <c r="AC279" s="113"/>
      <c r="AD279" s="113"/>
      <c r="AE279" s="113"/>
      <c r="AF279" s="113"/>
      <c r="AG279" s="113"/>
      <c r="AH279" s="152"/>
      <c r="AI279" s="159"/>
      <c r="AJ279" s="154" t="s">
        <v>1004</v>
      </c>
      <c r="AK279" s="158"/>
      <c r="AL279" s="155"/>
      <c r="AM279" s="150"/>
      <c r="AN279" s="150"/>
      <c r="AO279" s="151"/>
      <c r="AP279" s="146"/>
      <c r="AQ279" s="146"/>
      <c r="AR279" s="146"/>
      <c r="AS279" s="245"/>
      <c r="AT279" s="245"/>
      <c r="AU279" s="146"/>
      <c r="AX279" s="152"/>
      <c r="AY279" s="159"/>
      <c r="AZ279" s="154" t="s">
        <v>1004</v>
      </c>
      <c r="BA279" s="158"/>
      <c r="BB279" s="155"/>
      <c r="BC279" s="189"/>
      <c r="BD279" s="189"/>
      <c r="BE279" s="190"/>
      <c r="BF279" s="187">
        <f>+AU279</f>
        <v>0</v>
      </c>
    </row>
    <row r="280" spans="1:75">
      <c r="A280" s="122">
        <v>1</v>
      </c>
      <c r="B280" s="31"/>
      <c r="C280" s="30" t="s">
        <v>828</v>
      </c>
      <c r="D280" s="30"/>
      <c r="E280" s="30"/>
      <c r="F280" s="33"/>
      <c r="G280" s="33" t="s">
        <v>114</v>
      </c>
      <c r="H280" s="33"/>
      <c r="I280" s="67">
        <v>1</v>
      </c>
      <c r="J280" s="33"/>
      <c r="K280" s="69" t="e">
        <f>+GETPIVOTDATA("PPEF 2010 ",#REF!,"No. Ramo",8,"IPP","E","PP",6,"UR","JAG")+GETPIVOTDATA("PPEF 2010 ",#REF!,"No. Ramo",8,"IPP","E","PP",5,"UR","JAG")+GETPIVOTDATA("PPEF 2010 ",#REF!,"No. Ramo",8,"IPP","K","PP",27,"UR","JAG")+GETPIVOTDATA("PPEF 2010 ",#REF!,"No. Ramo",8,"IPP","M","PP",1,"UR","JAG")+GETPIVOTDATA("PPEF 2010 ",#REF!,"No. Ramo",8,"IPP","O","PP",1,"UR","JAG")</f>
        <v>#REF!</v>
      </c>
      <c r="L280" s="69" t="e">
        <f>+GETPIVOTDATA("Ampliación Neta DIP ",#REF!,"No. Ramo",8,"IPP","E","PP",6,"UR","JAG")+GETPIVOTDATA("Ampliación Neta DIP ",#REF!,"No. Ramo",8,"IPP","E","PP",5,"UR","JAG")+GETPIVOTDATA("Ampliación Neta DIP ",#REF!,"No. Ramo",8,"IPP","K","PP",27,"UR","JAG")+GETPIVOTDATA("Ampliación Neta DIP ",#REF!,"No. Ramo",8,"IPP","M","PP",1,"UR","JAG")+GETPIVOTDATA("Ampliación Neta DIP ",#REF!,"No. Ramo",8,"IPP","O","PP",1,"UR","JAG")</f>
        <v>#REF!</v>
      </c>
      <c r="M280" s="69" t="e">
        <f>+GETPIVOTDATA("Recorte SHCP ",#REF!,"No. Ramo",8,"IPP","E","PP",6,"UR","JAG")+GETPIVOTDATA("Recorte SHCP ",#REF!,"No. Ramo",8,"IPP","E","PP",5,"UR","JAG")+GETPIVOTDATA("Recorte SHCP ",#REF!,"No. Ramo",8,"IPP","K","PP",27,"UR","JAG")+GETPIVOTDATA("Recorte SHCP ",#REF!,"No. Ramo",8,"IPP","M","PP",1,"UR","JAG")+GETPIVOTDATA("Recorte SHCP ",#REF!,"No. Ramo",8,"IPP","O","PP",1,"UR","JAG")</f>
        <v>#REF!</v>
      </c>
      <c r="N280" s="69" t="e">
        <f>+GETPIVOTDATA("PEF 2010 ",#REF!,"No. Ramo",8,"IPP","E","PP",6,"UR","JAG")+GETPIVOTDATA("PEF 2010 ",#REF!,"No. Ramo",8,"IPP","E","PP",5,"UR","JAG")+GETPIVOTDATA("PEF 2010 ",#REF!,"No. Ramo",8,"IPP","K","PP",27,"UR","JAG")+GETPIVOTDATA("PEF 2010 ",#REF!,"No. Ramo",8,"IPP","M","PP",1,"UR","JAG")+GETPIVOTDATA("PEF 2010 ",#REF!,"No. Ramo",8,"IPP","O","PP",1,"UR","JAG")</f>
        <v>#REF!</v>
      </c>
      <c r="O280" s="69" t="e">
        <f>+GETPIVOTDATA("PPEF 2011 ",#REF!,"No. Ramo",8,"IPP","E","PP",6,"UR","JAG")+GETPIVOTDATA("PPEF 2011 ",#REF!,"No. Ramo",8,"IPP","E","PP",5,"UR","JAG")+GETPIVOTDATA("PPEF 2011 ",#REF!,"No. Ramo",8,"IPP","K","PP",27,"UR","JAG")+GETPIVOTDATA("PPEF 2011 ",#REF!,"No. Ramo",8,"IPP","M","PP",1,"UR","JAG")+GETPIVOTDATA("PPEF 2011 ",#REF!,"No. Ramo",8,"IPP","O","PP",1,"UR","JAG")</f>
        <v>#REF!</v>
      </c>
      <c r="P280" s="69" t="e">
        <f>+GETPIVOTDATA("Reducción ",#REF!,"No. Ramo",8,"IPP","E","PP",6,"UR","JAG")+GETPIVOTDATA("Reducción ",#REF!,"No. Ramo",8,"IPP","E","PP",5,"UR","JAG")+GETPIVOTDATA("Reducción ",#REF!,"No. Ramo",8,"IPP","K","PP",27,"UR","JAG")+GETPIVOTDATA("Reducción ",#REF!,"No. Ramo",8,"IPP","M","PP",1,"UR","JAG")+GETPIVOTDATA("Reducción ",#REF!,"No. Ramo",8,"IPP","O","PP",1,"UR","JAG")</f>
        <v>#REF!</v>
      </c>
      <c r="Q280" s="69" t="e">
        <f>+GETPIVOTDATA("Ampliación ",#REF!,"No. Ramo",8,"IPP","E","PP",6,"UR","JAG")+GETPIVOTDATA("Ampliación ",#REF!,"No. Ramo",8,"IPP","E","PP",5,"UR","JAG")+GETPIVOTDATA("Ampliación ",#REF!,"No. Ramo",8,"IPP","K","PP",27,"UR","JAG")+GETPIVOTDATA("Ampliación ",#REF!,"No. Ramo",8,"IPP","M","PP",1,"UR","JAG")+GETPIVOTDATA("Ampliación ",#REF!,"No. Ramo",8,"IPP","O","PP",1,"UR","JAG")</f>
        <v>#REF!</v>
      </c>
      <c r="R280" s="69" t="e">
        <f t="shared" si="58"/>
        <v>#REF!</v>
      </c>
      <c r="S280" s="69"/>
      <c r="T280" s="69"/>
      <c r="U280" s="69" t="e">
        <f t="shared" ref="U280:X281" si="83">+$I280*O280</f>
        <v>#REF!</v>
      </c>
      <c r="V280" s="69" t="e">
        <f t="shared" si="83"/>
        <v>#REF!</v>
      </c>
      <c r="W280" s="69" t="e">
        <f t="shared" si="83"/>
        <v>#REF!</v>
      </c>
      <c r="X280" s="69" t="e">
        <f t="shared" si="83"/>
        <v>#REF!</v>
      </c>
      <c r="Y280" s="73"/>
      <c r="AH280" s="152"/>
      <c r="AI280" s="157" t="s">
        <v>828</v>
      </c>
      <c r="AJ280" s="158"/>
      <c r="AK280" s="158"/>
      <c r="AL280" s="155"/>
      <c r="AM280" s="150"/>
      <c r="AN280" s="150"/>
      <c r="AO280" s="151"/>
      <c r="AP280" s="146"/>
      <c r="AQ280" s="146"/>
      <c r="AR280" s="146"/>
      <c r="AS280" s="245"/>
      <c r="AT280" s="245"/>
      <c r="AU280" s="146"/>
      <c r="AX280" s="152"/>
      <c r="AY280" s="157" t="s">
        <v>828</v>
      </c>
      <c r="AZ280" s="158"/>
      <c r="BA280" s="158"/>
      <c r="BB280" s="155"/>
      <c r="BC280" s="189"/>
      <c r="BD280" s="189"/>
      <c r="BE280" s="190"/>
      <c r="BF280" s="187">
        <f>+AU280</f>
        <v>0</v>
      </c>
    </row>
    <row r="281" spans="1:75">
      <c r="A281" s="122">
        <v>1</v>
      </c>
      <c r="B281" s="31"/>
      <c r="C281" s="30" t="s">
        <v>729</v>
      </c>
      <c r="D281" s="30"/>
      <c r="E281" s="30"/>
      <c r="F281" s="33"/>
      <c r="G281" s="33" t="s">
        <v>27</v>
      </c>
      <c r="H281" s="33"/>
      <c r="I281" s="67">
        <v>1</v>
      </c>
      <c r="J281" s="33"/>
      <c r="K281" s="69" t="e">
        <f>+GETPIVOTDATA("PPEF 2010 ",#REF!,"No. Ramo",8,"IPP","E","PP",6,"UR","H00")+GETPIVOTDATA("PPEF 2010 ",#REF!,"No. Ramo",8,"IPP","K","PP",14,"UR","H00")+GETPIVOTDATA("PPEF 2010 ",#REF!,"No. Ramo",8,"IPP","M","PP",1,"UR","H00")+GETPIVOTDATA("PPEF 2010 ",#REF!,"No. Ramo",8,"IPP","O","PP",99,"UR","H00")+GETPIVOTDATA("PPEF 2010 ",#REF!,"No. Ramo",8,"IPP","U","PP",7,"UR","H00")</f>
        <v>#REF!</v>
      </c>
      <c r="L281" s="69" t="e">
        <f>+GETPIVOTDATA("Ampliación Neta DIP ",#REF!,"No. Ramo",8,"IPP","E","PP",6,"UR","H00")+GETPIVOTDATA("Ampliación Neta DIP ",#REF!,"No. Ramo",8,"IPP","K","PP",14,"UR","H00")+GETPIVOTDATA("Ampliación Neta DIP ",#REF!,"No. Ramo",8,"IPP","M","PP",1,"UR","H00")+GETPIVOTDATA("Ampliación Neta DIP ",#REF!,"No. Ramo",8,"IPP","O","PP",99,"UR","H00")+GETPIVOTDATA("Ampliación Neta DIP ",#REF!,"No. Ramo",8,"IPP","U","PP",7,"UR","H00")</f>
        <v>#REF!</v>
      </c>
      <c r="M281" s="69" t="e">
        <f>+GETPIVOTDATA("Recorte SHCP ",#REF!,"No. Ramo",8,"IPP","E","PP",6,"UR","H00")+GETPIVOTDATA("Recorte SHCP ",#REF!,"No. Ramo",8,"IPP","K","PP",14,"UR","H00")+GETPIVOTDATA("Recorte SHCP ",#REF!,"No. Ramo",8,"IPP","M","PP",1,"UR","H00")+GETPIVOTDATA("Recorte SHCP ",#REF!,"No. Ramo",8,"IPP","O","PP",99,"UR","H00")+GETPIVOTDATA("Recorte SHCP ",#REF!,"No. Ramo",8,"IPP","U","PP",7,"UR","H00")</f>
        <v>#REF!</v>
      </c>
      <c r="N281" s="69" t="e">
        <f>+GETPIVOTDATA("PEF 2010 ",#REF!,"No. Ramo",8,"IPP","E","PP",6,"UR","H00")+GETPIVOTDATA("PEF 2010 ",#REF!,"No. Ramo",8,"IPP","K","PP",14,"UR","H00")+GETPIVOTDATA("PEF 2010 ",#REF!,"No. Ramo",8,"IPP","M","PP",1,"UR","H00")+GETPIVOTDATA("PEF 2010 ",#REF!,"No. Ramo",8,"IPP","O","PP",99,"UR","H00")+GETPIVOTDATA("PEF 2010 ",#REF!,"No. Ramo",8,"IPP","U","PP",7,"UR","H00")</f>
        <v>#REF!</v>
      </c>
      <c r="O281" s="69" t="e">
        <f>+GETPIVOTDATA("PPEF 2011 ",#REF!,"No. Ramo",8,"IPP","E","PP",6,"UR","H00")+GETPIVOTDATA("PPEF 2011 ",#REF!,"No. Ramo",8,"IPP","K","PP",14,"UR","H00")+GETPIVOTDATA("PPEF 2011 ",#REF!,"No. Ramo",8,"IPP","M","PP",1,"UR","H00")+GETPIVOTDATA("PPEF 2011 ",#REF!,"No. Ramo",8,"IPP","O","PP",99,"UR","H00")+GETPIVOTDATA("PPEF 2011 ",#REF!,"No. Ramo",8,"IPP","U","PP",7,"UR","H00")</f>
        <v>#REF!</v>
      </c>
      <c r="P281" s="69" t="e">
        <f>+GETPIVOTDATA("Reducción ",#REF!,"No. Ramo",8,"IPP","E","PP",6,"UR","H00")+GETPIVOTDATA("Reducción ",#REF!,"No. Ramo",8,"IPP","K","PP",14,"UR","H00")+GETPIVOTDATA("Reducción ",#REF!,"No. Ramo",8,"IPP","M","PP",1,"UR","H00")+GETPIVOTDATA("Reducción ",#REF!,"No. Ramo",8,"IPP","O","PP",99,"UR","H00")+GETPIVOTDATA("Reducción ",#REF!,"No. Ramo",8,"IPP","U","PP",7,"UR","H00")</f>
        <v>#REF!</v>
      </c>
      <c r="Q281" s="69" t="e">
        <f>+GETPIVOTDATA("Ampliación ",#REF!,"No. Ramo",8,"IPP","E","PP",6,"UR","H00")+GETPIVOTDATA("Ampliación ",#REF!,"No. Ramo",8,"IPP","K","PP",14,"UR","H00")+GETPIVOTDATA("Ampliación ",#REF!,"No. Ramo",8,"IPP","M","PP",1,"UR","H00")+GETPIVOTDATA("Ampliación ",#REF!,"No. Ramo",8,"IPP","O","PP",99,"UR","H00")+GETPIVOTDATA("Ampliación ",#REF!,"No. Ramo",8,"IPP","U","PP",7,"UR","H00")</f>
        <v>#REF!</v>
      </c>
      <c r="R281" s="69" t="e">
        <f t="shared" si="58"/>
        <v>#REF!</v>
      </c>
      <c r="S281" s="69"/>
      <c r="T281" s="69"/>
      <c r="U281" s="69" t="e">
        <f t="shared" si="83"/>
        <v>#REF!</v>
      </c>
      <c r="V281" s="69" t="e">
        <f t="shared" si="83"/>
        <v>#REF!</v>
      </c>
      <c r="W281" s="69" t="e">
        <f t="shared" si="83"/>
        <v>#REF!</v>
      </c>
      <c r="X281" s="69" t="e">
        <f t="shared" si="83"/>
        <v>#REF!</v>
      </c>
      <c r="Y281" s="73"/>
      <c r="AH281" s="152"/>
      <c r="AI281" s="157" t="s">
        <v>729</v>
      </c>
      <c r="AJ281" s="158"/>
      <c r="AK281" s="158"/>
      <c r="AL281" s="155"/>
      <c r="AM281" s="150"/>
      <c r="AN281" s="150"/>
      <c r="AO281" s="151"/>
      <c r="AP281" s="146"/>
      <c r="AQ281" s="146"/>
      <c r="AR281" s="146"/>
      <c r="AS281" s="245"/>
      <c r="AT281" s="245"/>
      <c r="AU281" s="146"/>
      <c r="AX281" s="152"/>
      <c r="AY281" s="157" t="s">
        <v>729</v>
      </c>
      <c r="AZ281" s="158"/>
      <c r="BA281" s="158"/>
      <c r="BB281" s="155"/>
      <c r="BC281" s="189"/>
      <c r="BD281" s="189"/>
      <c r="BE281" s="190"/>
      <c r="BF281" s="187">
        <f>+AU281</f>
        <v>0</v>
      </c>
    </row>
    <row r="282" spans="1:75">
      <c r="B282" s="28" t="s">
        <v>727</v>
      </c>
      <c r="C282" s="29" t="s">
        <v>730</v>
      </c>
      <c r="D282" s="29"/>
      <c r="E282" s="29"/>
      <c r="F282" s="28"/>
      <c r="G282" s="28"/>
      <c r="H282" s="28"/>
      <c r="I282" s="65"/>
      <c r="J282" s="28"/>
      <c r="K282" s="66" t="e">
        <f t="shared" ref="K282:Q282" si="84">SUM(K283:K287)</f>
        <v>#REF!</v>
      </c>
      <c r="L282" s="66" t="e">
        <f t="shared" si="84"/>
        <v>#REF!</v>
      </c>
      <c r="M282" s="66" t="e">
        <f t="shared" si="84"/>
        <v>#REF!</v>
      </c>
      <c r="N282" s="66" t="e">
        <f t="shared" si="84"/>
        <v>#REF!</v>
      </c>
      <c r="O282" s="66" t="e">
        <f t="shared" si="84"/>
        <v>#REF!</v>
      </c>
      <c r="P282" s="66" t="e">
        <f t="shared" si="84"/>
        <v>#REF!</v>
      </c>
      <c r="Q282" s="66" t="e">
        <f t="shared" si="84"/>
        <v>#REF!</v>
      </c>
      <c r="R282" s="66" t="e">
        <f t="shared" si="58"/>
        <v>#REF!</v>
      </c>
      <c r="S282" s="66"/>
      <c r="T282" s="66"/>
      <c r="U282" s="66" t="e">
        <f>SUM(U283:U287)</f>
        <v>#REF!</v>
      </c>
      <c r="V282" s="66" t="e">
        <f>SUM(V283:V287)</f>
        <v>#REF!</v>
      </c>
      <c r="W282" s="66" t="e">
        <f>SUM(W283:W287)</f>
        <v>#REF!</v>
      </c>
      <c r="X282" s="66" t="e">
        <f>SUM(X283:X287)</f>
        <v>#REF!</v>
      </c>
      <c r="Y282" s="73" t="e">
        <f>28804-X282/1000000</f>
        <v>#REF!</v>
      </c>
      <c r="AH282" s="147" t="s">
        <v>727</v>
      </c>
      <c r="AI282" s="148" t="s">
        <v>730</v>
      </c>
      <c r="AJ282" s="160"/>
      <c r="AK282" s="160"/>
      <c r="AL282" s="149"/>
      <c r="AM282" s="150"/>
      <c r="AN282" s="150"/>
      <c r="AO282" s="151"/>
      <c r="AP282" s="146">
        <f>SUM(AP283:AP287)</f>
        <v>0</v>
      </c>
      <c r="AQ282" s="146">
        <f>SUM(AQ283:AQ287)</f>
        <v>0</v>
      </c>
      <c r="AR282" s="146">
        <f>SUM(AR283:AR287)</f>
        <v>0</v>
      </c>
      <c r="AS282" s="245"/>
      <c r="AT282" s="245"/>
      <c r="AU282" s="146">
        <f>SUM(AU283:AU287)</f>
        <v>0</v>
      </c>
      <c r="AX282" s="147" t="s">
        <v>727</v>
      </c>
      <c r="AY282" s="148" t="s">
        <v>730</v>
      </c>
      <c r="AZ282" s="160"/>
      <c r="BA282" s="160"/>
      <c r="BB282" s="149"/>
      <c r="BC282" s="189"/>
      <c r="BD282" s="189"/>
      <c r="BE282" s="190"/>
      <c r="BF282" s="187">
        <f>SUM(BF283:BF287)</f>
        <v>0</v>
      </c>
    </row>
    <row r="283" spans="1:75">
      <c r="B283" s="31"/>
      <c r="C283" s="30" t="s">
        <v>731</v>
      </c>
      <c r="D283" s="30"/>
      <c r="E283" s="30"/>
      <c r="F283" s="33" t="s">
        <v>829</v>
      </c>
      <c r="G283" s="33">
        <v>610</v>
      </c>
      <c r="H283" s="33"/>
      <c r="I283" s="67">
        <v>1</v>
      </c>
      <c r="J283" s="33"/>
      <c r="K283" s="69" t="e">
        <f>+GETPIVOTDATA("PPEF 2010 ",#REF!,"No. Ramo",11,"IPP","E","PP",8,"UR",610)</f>
        <v>#REF!</v>
      </c>
      <c r="L283" s="69" t="e">
        <f>+GETPIVOTDATA("Ampliación Neta DIP ",#REF!,"No. Ramo",11,"IPP","E","PP",8,"UR",610)</f>
        <v>#REF!</v>
      </c>
      <c r="M283" s="69" t="e">
        <f>+GETPIVOTDATA("Recorte SHCP ",#REF!,"No. Ramo",11,"IPP","E","PP",8,"UR",610)</f>
        <v>#REF!</v>
      </c>
      <c r="N283" s="69" t="e">
        <f>+GETPIVOTDATA("PEF 2010 ",#REF!,"No. Ramo",11,"IPP","E","PP",8,"UR",610)</f>
        <v>#REF!</v>
      </c>
      <c r="O283" s="69" t="e">
        <f>+GETPIVOTDATA("PPEF 2011 ",#REF!,"No. Ramo",11,"IPP","E","PP",8,"UR",610)</f>
        <v>#REF!</v>
      </c>
      <c r="P283" s="69" t="e">
        <f>+GETPIVOTDATA("Reducción ",#REF!,"No. Ramo",11,"IPP","E","PP",8,"UR",610)</f>
        <v>#REF!</v>
      </c>
      <c r="Q283" s="69" t="e">
        <f>+GETPIVOTDATA("Ampliación ",#REF!,"No. Ramo",11,"IPP","E","PP",8,"UR",610)</f>
        <v>#REF!</v>
      </c>
      <c r="R283" s="69" t="e">
        <f t="shared" si="58"/>
        <v>#REF!</v>
      </c>
      <c r="S283" s="69"/>
      <c r="T283" s="69"/>
      <c r="U283" s="69" t="e">
        <f t="shared" ref="U283:X287" si="85">+$I283*O283</f>
        <v>#REF!</v>
      </c>
      <c r="V283" s="69" t="e">
        <f t="shared" si="85"/>
        <v>#REF!</v>
      </c>
      <c r="W283" s="69" t="e">
        <f t="shared" si="85"/>
        <v>#REF!</v>
      </c>
      <c r="X283" s="69" t="e">
        <f t="shared" si="85"/>
        <v>#REF!</v>
      </c>
      <c r="AH283" s="152"/>
      <c r="AI283" s="157" t="s">
        <v>731</v>
      </c>
      <c r="AJ283" s="158"/>
      <c r="AK283" s="158"/>
      <c r="AL283" s="150"/>
      <c r="AM283" s="150"/>
      <c r="AN283" s="150"/>
      <c r="AO283" s="151"/>
      <c r="AP283" s="146"/>
      <c r="AQ283" s="146"/>
      <c r="AR283" s="146"/>
      <c r="AS283" s="245"/>
      <c r="AT283" s="245"/>
      <c r="AU283" s="146"/>
      <c r="AX283" s="152"/>
      <c r="AY283" s="157" t="s">
        <v>731</v>
      </c>
      <c r="AZ283" s="158"/>
      <c r="BA283" s="158"/>
      <c r="BB283" s="189"/>
      <c r="BC283" s="189"/>
      <c r="BD283" s="189"/>
      <c r="BE283" s="190"/>
      <c r="BF283" s="187">
        <f>+AU283</f>
        <v>0</v>
      </c>
    </row>
    <row r="284" spans="1:75">
      <c r="B284" s="31"/>
      <c r="C284" s="30" t="s">
        <v>215</v>
      </c>
      <c r="D284" s="30"/>
      <c r="E284" s="30"/>
      <c r="F284" s="33" t="s">
        <v>830</v>
      </c>
      <c r="G284" s="33"/>
      <c r="H284" s="33"/>
      <c r="I284" s="67">
        <v>1</v>
      </c>
      <c r="J284" s="33"/>
      <c r="K284" s="79" t="e">
        <f>+GETPIVOTDATA("PPEF 2010 ",#REF!,"No. Ramo",11,"IPP","S","PP",126,"UR",513)+GETPIVOTDATA("PPEF 2010 ",#REF!,"No. Ramo",11,"IPP","S","PP",126,"UR",610)</f>
        <v>#REF!</v>
      </c>
      <c r="L284" s="79" t="e">
        <f>+GETPIVOTDATA("Ampliación Neta DIP ",#REF!,"No. Ramo",11,"IPP","S","PP",126,"UR",513)+GETPIVOTDATA("Ampliación Neta DIP ",#REF!,"No. Ramo",11,"IPP","S","PP",126,"UR",610)</f>
        <v>#REF!</v>
      </c>
      <c r="M284" s="79" t="e">
        <f>+GETPIVOTDATA("Recorte SHCP ",#REF!,"No. Ramo",11,"IPP","S","PP",126,"UR",513)+GETPIVOTDATA("Recorte SHCP ",#REF!,"No. Ramo",11,"IPP","S","PP",126,"UR",610)</f>
        <v>#REF!</v>
      </c>
      <c r="N284" s="79" t="e">
        <f>+GETPIVOTDATA("PEF 2010 ",#REF!,"No. Ramo",11,"IPP","S","PP",126,"UR",513)+GETPIVOTDATA("PEF 2010 ",#REF!,"No. Ramo",11,"IPP","S","PP",126,"UR",610)</f>
        <v>#REF!</v>
      </c>
      <c r="O284" s="79" t="e">
        <f>+GETPIVOTDATA("PPEF 2011 ",#REF!,"No. Ramo",11,"IPP","S","PP",126,"UR",513)+GETPIVOTDATA("PPEF 2011 ",#REF!,"No. Ramo",11,"IPP","S","PP",126,"UR",610)</f>
        <v>#REF!</v>
      </c>
      <c r="P284" s="79" t="e">
        <f>+GETPIVOTDATA("Reducción ",#REF!,"No. Ramo",11,"IPP","S","PP",126,"UR",513)+GETPIVOTDATA("Reducción ",#REF!,"No. Ramo",11,"IPP","S","PP",126,"UR",610)</f>
        <v>#REF!</v>
      </c>
      <c r="Q284" s="79" t="e">
        <f>+GETPIVOTDATA("Ampliación ",#REF!,"No. Ramo",11,"IPP","S","PP",126,"UR",513)+GETPIVOTDATA("Ampliación ",#REF!,"No. Ramo",11,"IPP","S","PP",126,"UR",610)</f>
        <v>#REF!</v>
      </c>
      <c r="R284" s="69" t="e">
        <f t="shared" si="58"/>
        <v>#REF!</v>
      </c>
      <c r="S284" s="69"/>
      <c r="T284" s="69"/>
      <c r="U284" s="69" t="e">
        <f t="shared" si="85"/>
        <v>#REF!</v>
      </c>
      <c r="V284" s="69" t="e">
        <f t="shared" si="85"/>
        <v>#REF!</v>
      </c>
      <c r="W284" s="69" t="e">
        <f t="shared" si="85"/>
        <v>#REF!</v>
      </c>
      <c r="X284" s="79" t="e">
        <f t="shared" si="85"/>
        <v>#REF!</v>
      </c>
      <c r="AH284" s="152"/>
      <c r="AI284" s="157" t="s">
        <v>215</v>
      </c>
      <c r="AJ284" s="158"/>
      <c r="AK284" s="158"/>
      <c r="AL284" s="150"/>
      <c r="AM284" s="150"/>
      <c r="AN284" s="150"/>
      <c r="AO284" s="151"/>
      <c r="AP284" s="146"/>
      <c r="AQ284" s="146"/>
      <c r="AR284" s="146"/>
      <c r="AS284" s="245"/>
      <c r="AT284" s="245"/>
      <c r="AU284" s="146"/>
      <c r="AX284" s="152"/>
      <c r="AY284" s="157" t="s">
        <v>215</v>
      </c>
      <c r="AZ284" s="158"/>
      <c r="BA284" s="158"/>
      <c r="BB284" s="189"/>
      <c r="BC284" s="189"/>
      <c r="BD284" s="189"/>
      <c r="BE284" s="190"/>
      <c r="BF284" s="187">
        <f>+AU284</f>
        <v>0</v>
      </c>
    </row>
    <row r="285" spans="1:75">
      <c r="B285" s="31"/>
      <c r="C285" s="30" t="s">
        <v>732</v>
      </c>
      <c r="D285" s="30"/>
      <c r="E285" s="30"/>
      <c r="F285" s="33" t="s">
        <v>820</v>
      </c>
      <c r="G285" s="33" t="s">
        <v>196</v>
      </c>
      <c r="H285" s="33"/>
      <c r="I285" s="67">
        <v>1</v>
      </c>
      <c r="J285" s="33"/>
      <c r="K285" s="79" t="e">
        <f>+GETPIVOTDATA("PPEF 2010 ",#REF!,"No. Ramo",11,"IPP","E","PP",10,"UR","MGH")</f>
        <v>#REF!</v>
      </c>
      <c r="L285" s="79" t="e">
        <f>+GETPIVOTDATA("Ampliación Neta DIP ",#REF!,"No. Ramo",11,"IPP","E","PP",10,"UR","MGH")</f>
        <v>#REF!</v>
      </c>
      <c r="M285" s="79" t="e">
        <f>+GETPIVOTDATA("Recorte SHCP ",#REF!,"No. Ramo",11,"IPP","E","PP",10,"UR","MGH")</f>
        <v>#REF!</v>
      </c>
      <c r="N285" s="79" t="e">
        <f>+GETPIVOTDATA("PEF 2010 ",#REF!,"No. Ramo",11,"IPP","E","PP",10,"UR","MGH")</f>
        <v>#REF!</v>
      </c>
      <c r="O285" s="79" t="e">
        <f>+GETPIVOTDATA("PPEF 2011 ",#REF!,"No. Ramo",11,"IPP","E","PP",10,"UR","MGH")</f>
        <v>#REF!</v>
      </c>
      <c r="P285" s="79" t="e">
        <f>+GETPIVOTDATA("Reducción ",#REF!,"No. Ramo",11,"IPP","E","PP",10,"UR","MGH")</f>
        <v>#REF!</v>
      </c>
      <c r="Q285" s="79" t="e">
        <f>+GETPIVOTDATA("Ampliación ",#REF!,"No. Ramo",11,"IPP","E","PP",10,"UR","MGH")</f>
        <v>#REF!</v>
      </c>
      <c r="R285" s="69" t="e">
        <f t="shared" si="58"/>
        <v>#REF!</v>
      </c>
      <c r="S285" s="69"/>
      <c r="T285" s="69"/>
      <c r="U285" s="69" t="e">
        <f t="shared" si="85"/>
        <v>#REF!</v>
      </c>
      <c r="V285" s="69" t="e">
        <f t="shared" si="85"/>
        <v>#REF!</v>
      </c>
      <c r="W285" s="69" t="e">
        <f t="shared" si="85"/>
        <v>#REF!</v>
      </c>
      <c r="X285" s="79" t="e">
        <f t="shared" si="85"/>
        <v>#REF!</v>
      </c>
      <c r="AH285" s="152"/>
      <c r="AI285" s="157" t="s">
        <v>732</v>
      </c>
      <c r="AJ285" s="158"/>
      <c r="AK285" s="158"/>
      <c r="AL285" s="150"/>
      <c r="AM285" s="150"/>
      <c r="AN285" s="150"/>
      <c r="AO285" s="151"/>
      <c r="AP285" s="146"/>
      <c r="AQ285" s="146"/>
      <c r="AR285" s="146"/>
      <c r="AS285" s="245"/>
      <c r="AT285" s="245"/>
      <c r="AU285" s="146"/>
      <c r="AX285" s="152"/>
      <c r="AY285" s="157" t="s">
        <v>732</v>
      </c>
      <c r="AZ285" s="158"/>
      <c r="BA285" s="158"/>
      <c r="BB285" s="189"/>
      <c r="BC285" s="189"/>
      <c r="BD285" s="189"/>
      <c r="BE285" s="190"/>
      <c r="BF285" s="187">
        <f>+AU285</f>
        <v>0</v>
      </c>
    </row>
    <row r="286" spans="1:75">
      <c r="B286" s="31"/>
      <c r="C286" s="30" t="s">
        <v>733</v>
      </c>
      <c r="D286" s="30"/>
      <c r="E286" s="30"/>
      <c r="F286" s="33" t="s">
        <v>831</v>
      </c>
      <c r="G286" s="33" t="s">
        <v>210</v>
      </c>
      <c r="H286" s="33"/>
      <c r="I286" s="67" t="e">
        <f>17872500000/O286</f>
        <v>#REF!</v>
      </c>
      <c r="J286" s="33"/>
      <c r="K286" s="69" t="e">
        <f>+GETPIVOTDATA("PPEF 2010 ",#REF!,"No. Ramo",11,"IPP","S","PP",72,"UR","L6W")</f>
        <v>#REF!</v>
      </c>
      <c r="L286" s="69" t="e">
        <f>+GETPIVOTDATA("Ampliación Neta DIP ",#REF!,"No. Ramo",11,"IPP","S","PP",72,"UR","L6W")</f>
        <v>#REF!</v>
      </c>
      <c r="M286" s="69" t="e">
        <f>+GETPIVOTDATA("Recorte SHCP ",#REF!,"No. Ramo",11,"IPP","S","PP",72,"UR","L6W")</f>
        <v>#REF!</v>
      </c>
      <c r="N286" s="69" t="e">
        <f>+GETPIVOTDATA("PEF 2010 ",#REF!,"No. Ramo",11,"IPP","S","PP",72,"UR","L6W")</f>
        <v>#REF!</v>
      </c>
      <c r="O286" s="69" t="e">
        <f>+GETPIVOTDATA("PPEF 2011 ",#REF!,"No. Ramo",11,"IPP","S","PP",72,"UR","L6W")</f>
        <v>#REF!</v>
      </c>
      <c r="P286" s="69" t="e">
        <f>+GETPIVOTDATA("Reducción ",#REF!,"No. Ramo",11,"IPP","S","PP",72,"UR","L6W")</f>
        <v>#REF!</v>
      </c>
      <c r="Q286" s="69" t="e">
        <f>+GETPIVOTDATA("Ampliación ",#REF!,"No. Ramo",11,"IPP","S","PP",72,"UR","L6W")</f>
        <v>#REF!</v>
      </c>
      <c r="R286" s="69" t="e">
        <f t="shared" si="58"/>
        <v>#REF!</v>
      </c>
      <c r="S286" s="69"/>
      <c r="T286" s="69"/>
      <c r="U286" s="69" t="e">
        <f t="shared" si="85"/>
        <v>#REF!</v>
      </c>
      <c r="V286" s="69" t="e">
        <f t="shared" si="85"/>
        <v>#REF!</v>
      </c>
      <c r="W286" s="69" t="e">
        <f t="shared" si="85"/>
        <v>#REF!</v>
      </c>
      <c r="X286" s="69" t="e">
        <f t="shared" si="85"/>
        <v>#REF!</v>
      </c>
      <c r="AH286" s="152"/>
      <c r="AI286" s="157" t="s">
        <v>733</v>
      </c>
      <c r="AJ286" s="158"/>
      <c r="AK286" s="158"/>
      <c r="AL286" s="150"/>
      <c r="AM286" s="150"/>
      <c r="AN286" s="150"/>
      <c r="AO286" s="151"/>
      <c r="AP286" s="146"/>
      <c r="AQ286" s="146"/>
      <c r="AR286" s="146"/>
      <c r="AS286" s="245"/>
      <c r="AT286" s="245"/>
      <c r="AU286" s="146"/>
      <c r="AX286" s="152"/>
      <c r="AY286" s="157" t="s">
        <v>733</v>
      </c>
      <c r="AZ286" s="158"/>
      <c r="BA286" s="158"/>
      <c r="BB286" s="189"/>
      <c r="BC286" s="189"/>
      <c r="BD286" s="189"/>
      <c r="BE286" s="190"/>
      <c r="BF286" s="187">
        <f>+AU286</f>
        <v>0</v>
      </c>
    </row>
    <row r="287" spans="1:75">
      <c r="B287" s="31"/>
      <c r="C287" s="30" t="s">
        <v>734</v>
      </c>
      <c r="D287" s="30"/>
      <c r="E287" s="30"/>
      <c r="F287" s="33" t="s">
        <v>832</v>
      </c>
      <c r="G287" s="33" t="s">
        <v>833</v>
      </c>
      <c r="H287" s="33"/>
      <c r="I287" s="67">
        <v>1</v>
      </c>
      <c r="J287" s="33"/>
      <c r="K287" s="79" t="e">
        <f>+GETPIVOTDATA("PPEF 2010 ",#REF!,"No. Ramo",11,"IPP","G","PP",1,"UR",313)+GETPIVOTDATA("PPEF 2010 ",#REF!,"No. Ramo",11,"IPP","K","PP",9,"UR","L6W")+GETPIVOTDATA("PPEF 2010 ",#REF!,"No. Ramo",11,"IPP","S","PP",22,"UR","L6W")</f>
        <v>#REF!</v>
      </c>
      <c r="L287" s="79" t="e">
        <f>+GETPIVOTDATA("Ampliación Neta DIP ",#REF!,"No. Ramo",11,"IPP","G","PP",1,"UR",313)+GETPIVOTDATA("Ampliación Neta DIP ",#REF!,"No. Ramo",11,"IPP","K","PP",9,"UR","L6W")+GETPIVOTDATA("Ampliación Neta DIP ",#REF!,"No. Ramo",11,"IPP","S","PP",22,"UR","L6W")</f>
        <v>#REF!</v>
      </c>
      <c r="M287" s="79" t="e">
        <f>+GETPIVOTDATA("Recorte SHCP ",#REF!,"No. Ramo",11,"IPP","G","PP",1,"UR",313)+GETPIVOTDATA("Recorte SHCP ",#REF!,"No. Ramo",11,"IPP","K","PP",9,"UR","L6W")+GETPIVOTDATA("Recorte SHCP ",#REF!,"No. Ramo",11,"IPP","S","PP",22,"UR","L6W")</f>
        <v>#REF!</v>
      </c>
      <c r="N287" s="79" t="e">
        <f>+GETPIVOTDATA("PEF 2010 ",#REF!,"No. Ramo",11,"IPP","G","PP",1,"UR",313)+GETPIVOTDATA("PEF 2010 ",#REF!,"No. Ramo",11,"IPP","K","PP",9,"UR","L6W")+GETPIVOTDATA("PEF 2010 ",#REF!,"No. Ramo",11,"IPP","S","PP",22,"UR","L6W")</f>
        <v>#REF!</v>
      </c>
      <c r="O287" s="79" t="e">
        <f>+GETPIVOTDATA("PPEF 2011 ",#REF!,"No. Ramo",11,"IPP","G","PP",1,"UR",313)+GETPIVOTDATA("PPEF 2011 ",#REF!,"No. Ramo",11,"IPP","K","PP",9,"UR","L6W")+GETPIVOTDATA("PPEF 2011 ",#REF!,"No. Ramo",11,"IPP","S","PP",22,"UR","L6W")</f>
        <v>#REF!</v>
      </c>
      <c r="P287" s="79" t="e">
        <f>+GETPIVOTDATA("Reducción ",#REF!,"No. Ramo",11,"IPP","G","PP",1,"UR",313)+GETPIVOTDATA("Reducción ",#REF!,"No. Ramo",11,"IPP","K","PP",9,"UR","L6W")+GETPIVOTDATA("Reducción ",#REF!,"No. Ramo",11,"IPP","S","PP",22,"UR","L6W")</f>
        <v>#REF!</v>
      </c>
      <c r="Q287" s="79" t="e">
        <f>+GETPIVOTDATA("Ampliación ",#REF!,"No. Ramo",11,"IPP","G","PP",1,"UR",313)+GETPIVOTDATA("Ampliación ",#REF!,"No. Ramo",11,"IPP","K","PP",9,"UR","L6W")+GETPIVOTDATA("Ampliación ",#REF!,"No. Ramo",11,"IPP","S","PP",22,"UR","L6W")</f>
        <v>#REF!</v>
      </c>
      <c r="R287" s="69" t="e">
        <f t="shared" si="58"/>
        <v>#REF!</v>
      </c>
      <c r="S287" s="69"/>
      <c r="T287" s="69"/>
      <c r="U287" s="69" t="e">
        <f t="shared" si="85"/>
        <v>#REF!</v>
      </c>
      <c r="V287" s="69" t="e">
        <f t="shared" si="85"/>
        <v>#REF!</v>
      </c>
      <c r="W287" s="69" t="e">
        <f t="shared" si="85"/>
        <v>#REF!</v>
      </c>
      <c r="X287" s="79" t="e">
        <f t="shared" si="85"/>
        <v>#REF!</v>
      </c>
      <c r="AH287" s="174"/>
      <c r="AI287" s="157" t="s">
        <v>734</v>
      </c>
      <c r="AJ287" s="158"/>
      <c r="AK287" s="158"/>
      <c r="AL287" s="150"/>
      <c r="AM287" s="150"/>
      <c r="AN287" s="150"/>
      <c r="AO287" s="151"/>
      <c r="AP287" s="146"/>
      <c r="AQ287" s="146"/>
      <c r="AR287" s="146"/>
      <c r="AS287" s="245"/>
      <c r="AT287" s="245"/>
      <c r="AU287" s="146"/>
      <c r="AX287" s="174"/>
      <c r="AY287" s="157" t="s">
        <v>734</v>
      </c>
      <c r="AZ287" s="158"/>
      <c r="BA287" s="158"/>
      <c r="BB287" s="189"/>
      <c r="BC287" s="189"/>
      <c r="BD287" s="189"/>
      <c r="BE287" s="190"/>
      <c r="BF287" s="187">
        <f>+AU287</f>
        <v>0</v>
      </c>
    </row>
    <row r="288" spans="1:75">
      <c r="B288" s="26"/>
      <c r="C288" s="27" t="s">
        <v>735</v>
      </c>
      <c r="D288" s="27"/>
      <c r="E288" s="27"/>
      <c r="F288" s="61"/>
      <c r="G288" s="61"/>
      <c r="H288" s="61"/>
      <c r="I288" s="62"/>
      <c r="J288" s="61"/>
      <c r="K288" s="63" t="e">
        <f t="shared" ref="K288:Q288" si="86">+K289+K291+K293+K295</f>
        <v>#REF!</v>
      </c>
      <c r="L288" s="63" t="e">
        <f t="shared" si="86"/>
        <v>#REF!</v>
      </c>
      <c r="M288" s="63" t="e">
        <f t="shared" si="86"/>
        <v>#REF!</v>
      </c>
      <c r="N288" s="63" t="e">
        <f t="shared" si="86"/>
        <v>#REF!</v>
      </c>
      <c r="O288" s="63" t="e">
        <f t="shared" si="86"/>
        <v>#REF!</v>
      </c>
      <c r="P288" s="63" t="e">
        <f t="shared" si="86"/>
        <v>#REF!</v>
      </c>
      <c r="Q288" s="63" t="e">
        <f t="shared" si="86"/>
        <v>#REF!</v>
      </c>
      <c r="R288" s="63" t="e">
        <f t="shared" si="58"/>
        <v>#REF!</v>
      </c>
      <c r="S288" s="63"/>
      <c r="T288" s="63"/>
      <c r="U288" s="63" t="e">
        <f>+U289+U291+U293+U295</f>
        <v>#REF!</v>
      </c>
      <c r="V288" s="63" t="e">
        <f>+V289+V291+V293+V295</f>
        <v>#REF!</v>
      </c>
      <c r="W288" s="63" t="e">
        <f>+W289+W291+W293+W295</f>
        <v>#REF!</v>
      </c>
      <c r="X288" s="63" t="e">
        <f>+X289+X291+X293+X295</f>
        <v>#REF!</v>
      </c>
      <c r="AH288" s="147"/>
      <c r="AI288" s="148" t="s">
        <v>1366</v>
      </c>
      <c r="AJ288" s="160"/>
      <c r="AK288" s="160"/>
      <c r="AL288" s="149"/>
      <c r="AM288" s="150"/>
      <c r="AN288" s="150"/>
      <c r="AO288" s="151"/>
      <c r="AP288" s="146">
        <f t="shared" ref="AP288:AU288" si="87">AP289+AP291+AP293+AP295</f>
        <v>0</v>
      </c>
      <c r="AQ288" s="146">
        <f t="shared" si="87"/>
        <v>0</v>
      </c>
      <c r="AR288" s="146">
        <f t="shared" si="87"/>
        <v>0</v>
      </c>
      <c r="AS288" s="245"/>
      <c r="AT288" s="245"/>
      <c r="AU288" s="146">
        <f t="shared" si="87"/>
        <v>0</v>
      </c>
      <c r="AX288" s="147"/>
      <c r="AY288" s="148" t="s">
        <v>1366</v>
      </c>
      <c r="AZ288" s="160"/>
      <c r="BA288" s="160"/>
      <c r="BB288" s="149"/>
      <c r="BC288" s="189"/>
      <c r="BD288" s="189"/>
      <c r="BE288" s="190"/>
      <c r="BF288" s="187">
        <f>BF289+BF291+BF293+BF295</f>
        <v>0</v>
      </c>
    </row>
    <row r="289" spans="1:75">
      <c r="B289" s="28" t="s">
        <v>736</v>
      </c>
      <c r="C289" s="29" t="s">
        <v>737</v>
      </c>
      <c r="D289" s="29"/>
      <c r="E289" s="29"/>
      <c r="F289" s="28"/>
      <c r="G289" s="28"/>
      <c r="H289" s="28"/>
      <c r="I289" s="65"/>
      <c r="J289" s="28"/>
      <c r="K289" s="66" t="e">
        <f t="shared" ref="K289:Q289" si="88">+K290</f>
        <v>#REF!</v>
      </c>
      <c r="L289" s="66" t="e">
        <f t="shared" si="88"/>
        <v>#REF!</v>
      </c>
      <c r="M289" s="66" t="e">
        <f t="shared" si="88"/>
        <v>#REF!</v>
      </c>
      <c r="N289" s="66" t="e">
        <f t="shared" si="88"/>
        <v>#REF!</v>
      </c>
      <c r="O289" s="66" t="e">
        <f t="shared" si="88"/>
        <v>#REF!</v>
      </c>
      <c r="P289" s="66" t="e">
        <f t="shared" si="88"/>
        <v>#REF!</v>
      </c>
      <c r="Q289" s="66" t="e">
        <f t="shared" si="88"/>
        <v>#REF!</v>
      </c>
      <c r="R289" s="66" t="e">
        <f t="shared" si="58"/>
        <v>#REF!</v>
      </c>
      <c r="S289" s="66"/>
      <c r="T289" s="66"/>
      <c r="U289" s="66" t="e">
        <f>+U290</f>
        <v>#REF!</v>
      </c>
      <c r="V289" s="66" t="e">
        <f>+V290</f>
        <v>#REF!</v>
      </c>
      <c r="W289" s="66" t="e">
        <f>+W290</f>
        <v>#REF!</v>
      </c>
      <c r="X289" s="66" t="e">
        <f>+X290</f>
        <v>#REF!</v>
      </c>
      <c r="AH289" s="147" t="s">
        <v>736</v>
      </c>
      <c r="AI289" s="148" t="s">
        <v>737</v>
      </c>
      <c r="AJ289" s="160"/>
      <c r="AK289" s="160"/>
      <c r="AL289" s="149"/>
      <c r="AM289" s="150"/>
      <c r="AN289" s="150"/>
      <c r="AO289" s="151"/>
      <c r="AP289" s="146">
        <f>AP290</f>
        <v>0</v>
      </c>
      <c r="AQ289" s="146">
        <f>AQ290</f>
        <v>0</v>
      </c>
      <c r="AR289" s="146">
        <f>AR290</f>
        <v>0</v>
      </c>
      <c r="AS289" s="245"/>
      <c r="AT289" s="245"/>
      <c r="AU289" s="146">
        <f>AU290</f>
        <v>0</v>
      </c>
      <c r="AX289" s="147" t="s">
        <v>736</v>
      </c>
      <c r="AY289" s="148" t="s">
        <v>737</v>
      </c>
      <c r="AZ289" s="160"/>
      <c r="BA289" s="160"/>
      <c r="BB289" s="149"/>
      <c r="BC289" s="189"/>
      <c r="BD289" s="189"/>
      <c r="BE289" s="190"/>
      <c r="BF289" s="187">
        <f>BF290</f>
        <v>0</v>
      </c>
    </row>
    <row r="290" spans="1:75">
      <c r="B290" s="31"/>
      <c r="C290" s="30" t="s">
        <v>738</v>
      </c>
      <c r="D290" s="30"/>
      <c r="E290" s="30"/>
      <c r="F290" s="33" t="s">
        <v>834</v>
      </c>
      <c r="G290" s="33">
        <v>200</v>
      </c>
      <c r="H290" s="33"/>
      <c r="I290" s="67">
        <v>1</v>
      </c>
      <c r="J290" s="33"/>
      <c r="K290" s="69" t="e">
        <f>+GETPIVOTDATA("PPEF 2010 ",#REF!,"No. Ramo",4,"IPP","R","PP",2,"UR",200)</f>
        <v>#REF!</v>
      </c>
      <c r="L290" s="69" t="e">
        <f>+GETPIVOTDATA("Ampliación Neta DIP ",#REF!,"No. Ramo",4,"IPP","R","PP",2,"UR",200)</f>
        <v>#REF!</v>
      </c>
      <c r="M290" s="69" t="e">
        <f>+GETPIVOTDATA("Recorte SHCP ",#REF!,"No. Ramo",4,"IPP","R","PP",2,"UR",200)</f>
        <v>#REF!</v>
      </c>
      <c r="N290" s="69" t="e">
        <f>+GETPIVOTDATA("PEF 2010 ",#REF!,"No. Ramo",4,"IPP","R","PP",2,"UR",200)</f>
        <v>#REF!</v>
      </c>
      <c r="O290" s="69" t="e">
        <f>+GETPIVOTDATA("PPEF 2011 ",#REF!,"No. Ramo",4,"IPP","R","PP",2,"UR",200)</f>
        <v>#REF!</v>
      </c>
      <c r="P290" s="69" t="e">
        <f>+GETPIVOTDATA("Reducción ",#REF!,"No. Ramo",4,"IPP","R","PP",2,"UR",200)</f>
        <v>#REF!</v>
      </c>
      <c r="Q290" s="69" t="e">
        <f>+GETPIVOTDATA("Ampliación ",#REF!,"No. Ramo",4,"IPP","R","PP",2,"UR",200)</f>
        <v>#REF!</v>
      </c>
      <c r="R290" s="69" t="e">
        <f t="shared" si="58"/>
        <v>#REF!</v>
      </c>
      <c r="S290" s="69"/>
      <c r="T290" s="69"/>
      <c r="U290" s="69" t="e">
        <f>+$I290*O290</f>
        <v>#REF!</v>
      </c>
      <c r="V290" s="69" t="e">
        <f>+$I290*P290</f>
        <v>#REF!</v>
      </c>
      <c r="W290" s="69" t="e">
        <f>+$I290*Q290</f>
        <v>#REF!</v>
      </c>
      <c r="X290" s="69" t="e">
        <f>+$I290*R290</f>
        <v>#REF!</v>
      </c>
      <c r="AH290" s="152"/>
      <c r="AI290" s="157" t="s">
        <v>738</v>
      </c>
      <c r="AJ290" s="158"/>
      <c r="AK290" s="158"/>
      <c r="AL290" s="150"/>
      <c r="AM290" s="150"/>
      <c r="AN290" s="150"/>
      <c r="AO290" s="151"/>
      <c r="AP290" s="146"/>
      <c r="AQ290" s="146"/>
      <c r="AR290" s="146"/>
      <c r="AS290" s="245"/>
      <c r="AT290" s="245"/>
      <c r="AU290" s="146"/>
      <c r="AX290" s="152"/>
      <c r="AY290" s="157" t="s">
        <v>738</v>
      </c>
      <c r="AZ290" s="158"/>
      <c r="BA290" s="158"/>
      <c r="BB290" s="189"/>
      <c r="BC290" s="189"/>
      <c r="BD290" s="189"/>
      <c r="BE290" s="190"/>
      <c r="BF290" s="187">
        <f>+AU290</f>
        <v>0</v>
      </c>
    </row>
    <row r="291" spans="1:75">
      <c r="B291" s="28" t="s">
        <v>736</v>
      </c>
      <c r="C291" s="29" t="s">
        <v>739</v>
      </c>
      <c r="D291" s="29"/>
      <c r="E291" s="29"/>
      <c r="F291" s="28"/>
      <c r="G291" s="28"/>
      <c r="H291" s="28"/>
      <c r="I291" s="65"/>
      <c r="J291" s="28"/>
      <c r="K291" s="66" t="e">
        <f t="shared" ref="K291:Q291" si="89">+K292</f>
        <v>#REF!</v>
      </c>
      <c r="L291" s="66" t="e">
        <f t="shared" si="89"/>
        <v>#REF!</v>
      </c>
      <c r="M291" s="66" t="e">
        <f t="shared" si="89"/>
        <v>#REF!</v>
      </c>
      <c r="N291" s="66" t="e">
        <f t="shared" si="89"/>
        <v>#REF!</v>
      </c>
      <c r="O291" s="66" t="e">
        <f t="shared" si="89"/>
        <v>#REF!</v>
      </c>
      <c r="P291" s="66" t="e">
        <f t="shared" si="89"/>
        <v>#REF!</v>
      </c>
      <c r="Q291" s="66" t="e">
        <f t="shared" si="89"/>
        <v>#REF!</v>
      </c>
      <c r="R291" s="66" t="e">
        <f t="shared" si="58"/>
        <v>#REF!</v>
      </c>
      <c r="S291" s="66"/>
      <c r="T291" s="66"/>
      <c r="U291" s="66" t="e">
        <f>+U292</f>
        <v>#REF!</v>
      </c>
      <c r="V291" s="66" t="e">
        <f>+V292</f>
        <v>#REF!</v>
      </c>
      <c r="W291" s="66" t="e">
        <f>+W292</f>
        <v>#REF!</v>
      </c>
      <c r="X291" s="66" t="e">
        <f>+X292</f>
        <v>#REF!</v>
      </c>
      <c r="AH291" s="147" t="s">
        <v>736</v>
      </c>
      <c r="AI291" s="148" t="s">
        <v>739</v>
      </c>
      <c r="AJ291" s="160"/>
      <c r="AK291" s="160"/>
      <c r="AL291" s="150"/>
      <c r="AM291" s="150"/>
      <c r="AN291" s="150"/>
      <c r="AO291" s="151"/>
      <c r="AP291" s="146">
        <f t="shared" ref="AP291:AU291" si="90">AP292</f>
        <v>0</v>
      </c>
      <c r="AQ291" s="146">
        <f t="shared" si="90"/>
        <v>0</v>
      </c>
      <c r="AR291" s="146">
        <f t="shared" si="90"/>
        <v>0</v>
      </c>
      <c r="AS291" s="245"/>
      <c r="AT291" s="245"/>
      <c r="AU291" s="146">
        <f t="shared" si="90"/>
        <v>0</v>
      </c>
      <c r="AX291" s="147" t="s">
        <v>736</v>
      </c>
      <c r="AY291" s="148" t="s">
        <v>739</v>
      </c>
      <c r="AZ291" s="160"/>
      <c r="BA291" s="160"/>
      <c r="BB291" s="189"/>
      <c r="BC291" s="189"/>
      <c r="BD291" s="189"/>
      <c r="BE291" s="190"/>
      <c r="BF291" s="187">
        <f>BF292</f>
        <v>0</v>
      </c>
    </row>
    <row r="292" spans="1:75">
      <c r="B292" s="31"/>
      <c r="C292" s="30" t="s">
        <v>740</v>
      </c>
      <c r="D292" s="30"/>
      <c r="E292" s="30"/>
      <c r="F292" s="33" t="s">
        <v>825</v>
      </c>
      <c r="G292" s="33"/>
      <c r="H292" s="33"/>
      <c r="I292" s="67">
        <v>1</v>
      </c>
      <c r="J292" s="33"/>
      <c r="K292" s="69" t="e">
        <f>+GETPIVOTDATA("PPEF 2010 ",#REF!,"No. Ramo",9,"IPP","S","PP",71)</f>
        <v>#REF!</v>
      </c>
      <c r="L292" s="69" t="e">
        <f>+GETPIVOTDATA("Ampliación Neta DIP ",#REF!,"No. Ramo",9,"IPP","S","PP",71)</f>
        <v>#REF!</v>
      </c>
      <c r="M292" s="69" t="e">
        <f>+GETPIVOTDATA("Recorte SHCP ",#REF!,"No. Ramo",9,"IPP","S","PP",71)</f>
        <v>#REF!</v>
      </c>
      <c r="N292" s="69" t="e">
        <f>+GETPIVOTDATA("PEF 2010 ",#REF!,"No. Ramo",9,"IPP","S","PP",71)</f>
        <v>#REF!</v>
      </c>
      <c r="O292" s="69" t="e">
        <f>+GETPIVOTDATA("PPEF 2011 ",#REF!,"No. Ramo",9,"IPP","S","PP",71)</f>
        <v>#REF!</v>
      </c>
      <c r="P292" s="69" t="e">
        <f>+GETPIVOTDATA("Reducción ",#REF!,"No. Ramo",9,"IPP","S","PP",71)</f>
        <v>#REF!</v>
      </c>
      <c r="Q292" s="69" t="e">
        <f>+GETPIVOTDATA("Ampliación ",#REF!,"No. Ramo",9,"IPP","S","PP",71)</f>
        <v>#REF!</v>
      </c>
      <c r="R292" s="69" t="e">
        <f t="shared" si="58"/>
        <v>#REF!</v>
      </c>
      <c r="S292" s="69"/>
      <c r="T292" s="69"/>
      <c r="U292" s="69" t="e">
        <f>+$I292*O292</f>
        <v>#REF!</v>
      </c>
      <c r="V292" s="69" t="e">
        <f>+$I292*P292</f>
        <v>#REF!</v>
      </c>
      <c r="W292" s="69" t="e">
        <f>+$I292*Q292</f>
        <v>#REF!</v>
      </c>
      <c r="X292" s="69" t="e">
        <f>+$I292*R292</f>
        <v>#REF!</v>
      </c>
      <c r="AH292" s="152"/>
      <c r="AI292" s="157" t="s">
        <v>740</v>
      </c>
      <c r="AJ292" s="158"/>
      <c r="AK292" s="158"/>
      <c r="AL292" s="150"/>
      <c r="AM292" s="150"/>
      <c r="AN292" s="150"/>
      <c r="AO292" s="151"/>
      <c r="AP292" s="146"/>
      <c r="AQ292" s="146"/>
      <c r="AR292" s="146"/>
      <c r="AS292" s="245"/>
      <c r="AT292" s="245"/>
      <c r="AU292" s="146"/>
      <c r="AX292" s="152"/>
      <c r="AY292" s="157" t="s">
        <v>740</v>
      </c>
      <c r="AZ292" s="158"/>
      <c r="BA292" s="158"/>
      <c r="BB292" s="189"/>
      <c r="BC292" s="189"/>
      <c r="BD292" s="189"/>
      <c r="BE292" s="190"/>
      <c r="BF292" s="187">
        <f>+AU292</f>
        <v>0</v>
      </c>
    </row>
    <row r="293" spans="1:75">
      <c r="B293" s="28" t="s">
        <v>736</v>
      </c>
      <c r="C293" s="29" t="s">
        <v>741</v>
      </c>
      <c r="D293" s="29"/>
      <c r="E293" s="29"/>
      <c r="F293" s="28"/>
      <c r="G293" s="28"/>
      <c r="H293" s="28"/>
      <c r="I293" s="65"/>
      <c r="J293" s="28"/>
      <c r="K293" s="66" t="e">
        <f t="shared" ref="K293:Q293" si="91">+K294</f>
        <v>#REF!</v>
      </c>
      <c r="L293" s="66" t="e">
        <f t="shared" si="91"/>
        <v>#REF!</v>
      </c>
      <c r="M293" s="66" t="e">
        <f t="shared" si="91"/>
        <v>#REF!</v>
      </c>
      <c r="N293" s="66" t="e">
        <f t="shared" si="91"/>
        <v>#REF!</v>
      </c>
      <c r="O293" s="66" t="e">
        <f t="shared" si="91"/>
        <v>#REF!</v>
      </c>
      <c r="P293" s="66" t="e">
        <f t="shared" si="91"/>
        <v>#REF!</v>
      </c>
      <c r="Q293" s="66" t="e">
        <f t="shared" si="91"/>
        <v>#REF!</v>
      </c>
      <c r="R293" s="66" t="e">
        <f t="shared" si="58"/>
        <v>#REF!</v>
      </c>
      <c r="S293" s="66"/>
      <c r="T293" s="66"/>
      <c r="U293" s="66" t="e">
        <f>+U294</f>
        <v>#REF!</v>
      </c>
      <c r="V293" s="66" t="e">
        <f>+V294</f>
        <v>#REF!</v>
      </c>
      <c r="W293" s="66" t="e">
        <f>+W294</f>
        <v>#REF!</v>
      </c>
      <c r="X293" s="66" t="e">
        <f>+X294</f>
        <v>#REF!</v>
      </c>
      <c r="AH293" s="147" t="s">
        <v>736</v>
      </c>
      <c r="AI293" s="148" t="s">
        <v>741</v>
      </c>
      <c r="AJ293" s="160"/>
      <c r="AK293" s="160"/>
      <c r="AL293" s="150"/>
      <c r="AM293" s="150"/>
      <c r="AN293" s="150"/>
      <c r="AO293" s="151"/>
      <c r="AP293" s="146">
        <v>0</v>
      </c>
      <c r="AQ293" s="146">
        <v>0</v>
      </c>
      <c r="AR293" s="146">
        <v>0</v>
      </c>
      <c r="AS293" s="245"/>
      <c r="AT293" s="245"/>
      <c r="AU293" s="146">
        <v>0</v>
      </c>
      <c r="AX293" s="147" t="s">
        <v>736</v>
      </c>
      <c r="AY293" s="148" t="s">
        <v>741</v>
      </c>
      <c r="AZ293" s="160"/>
      <c r="BA293" s="160"/>
      <c r="BB293" s="189"/>
      <c r="BC293" s="189"/>
      <c r="BD293" s="189"/>
      <c r="BE293" s="190"/>
      <c r="BF293" s="187">
        <v>0</v>
      </c>
    </row>
    <row r="294" spans="1:75">
      <c r="B294" s="31"/>
      <c r="C294" s="30" t="s">
        <v>742</v>
      </c>
      <c r="D294" s="30"/>
      <c r="E294" s="30"/>
      <c r="F294" s="33" t="s">
        <v>835</v>
      </c>
      <c r="G294" s="33">
        <v>310</v>
      </c>
      <c r="H294" s="33"/>
      <c r="I294" s="67">
        <v>1</v>
      </c>
      <c r="J294" s="33"/>
      <c r="K294" s="69" t="e">
        <f>+GETPIVOTDATA("PPEF 2010 ",#REF!,"No. Ramo",14,"IPP","S","PP",43,"UR",310)</f>
        <v>#REF!</v>
      </c>
      <c r="L294" s="69" t="e">
        <f>+GETPIVOTDATA("Ampliación Neta DIP ",#REF!,"No. Ramo",14,"IPP","S","PP",43,"UR",310)</f>
        <v>#REF!</v>
      </c>
      <c r="M294" s="69" t="e">
        <f>+GETPIVOTDATA("Recorte SHCP ",#REF!,"No. Ramo",14,"IPP","S","PP",43,"UR",310)</f>
        <v>#REF!</v>
      </c>
      <c r="N294" s="69" t="e">
        <f>+GETPIVOTDATA("PEF 2010 ",#REF!,"No. Ramo",14,"IPP","S","PP",43,"UR",310)</f>
        <v>#REF!</v>
      </c>
      <c r="O294" s="69" t="e">
        <f>+GETPIVOTDATA("PPEF 2011 ",#REF!,"No. Ramo",14,"IPP","S","PP",43,"UR",310)</f>
        <v>#REF!</v>
      </c>
      <c r="P294" s="69" t="e">
        <f>+GETPIVOTDATA("Reducción ",#REF!,"No. Ramo",14,"IPP","S","PP",43,"UR",310)</f>
        <v>#REF!</v>
      </c>
      <c r="Q294" s="69" t="e">
        <f>+GETPIVOTDATA("Ampliación ",#REF!,"No. Ramo",14,"IPP","S","PP",43,"UR",310)</f>
        <v>#REF!</v>
      </c>
      <c r="R294" s="69" t="e">
        <f t="shared" si="58"/>
        <v>#REF!</v>
      </c>
      <c r="S294" s="69"/>
      <c r="T294" s="69"/>
      <c r="U294" s="69" t="e">
        <f>+$I294*O294</f>
        <v>#REF!</v>
      </c>
      <c r="V294" s="69" t="e">
        <f>+$I294*P294</f>
        <v>#REF!</v>
      </c>
      <c r="W294" s="69" t="e">
        <f>+$I294*Q294</f>
        <v>#REF!</v>
      </c>
      <c r="X294" s="69" t="e">
        <f>+$I294*R294</f>
        <v>#REF!</v>
      </c>
      <c r="AH294" s="152"/>
      <c r="AI294" s="157" t="s">
        <v>742</v>
      </c>
      <c r="AJ294" s="158"/>
      <c r="AK294" s="158"/>
      <c r="AL294" s="150"/>
      <c r="AM294" s="150"/>
      <c r="AN294" s="150"/>
      <c r="AO294" s="151"/>
      <c r="AP294" s="146"/>
      <c r="AQ294" s="146"/>
      <c r="AR294" s="146"/>
      <c r="AS294" s="245"/>
      <c r="AT294" s="245"/>
      <c r="AU294" s="146"/>
      <c r="AX294" s="152"/>
      <c r="AY294" s="157" t="s">
        <v>742</v>
      </c>
      <c r="AZ294" s="158"/>
      <c r="BA294" s="158"/>
      <c r="BB294" s="189"/>
      <c r="BC294" s="189"/>
      <c r="BD294" s="189"/>
      <c r="BE294" s="190"/>
      <c r="BF294" s="187">
        <f>+AU294</f>
        <v>0</v>
      </c>
    </row>
    <row r="295" spans="1:75">
      <c r="B295" s="28" t="s">
        <v>736</v>
      </c>
      <c r="C295" s="29" t="s">
        <v>690</v>
      </c>
      <c r="D295" s="29"/>
      <c r="E295" s="29"/>
      <c r="F295" s="28"/>
      <c r="G295" s="28"/>
      <c r="H295" s="28"/>
      <c r="I295" s="65"/>
      <c r="J295" s="28"/>
      <c r="K295" s="66" t="e">
        <f t="shared" ref="K295:Q295" si="92">+K296</f>
        <v>#REF!</v>
      </c>
      <c r="L295" s="66" t="e">
        <f t="shared" si="92"/>
        <v>#REF!</v>
      </c>
      <c r="M295" s="66" t="e">
        <f t="shared" si="92"/>
        <v>#REF!</v>
      </c>
      <c r="N295" s="66" t="e">
        <f t="shared" si="92"/>
        <v>#REF!</v>
      </c>
      <c r="O295" s="66" t="e">
        <f t="shared" si="92"/>
        <v>#REF!</v>
      </c>
      <c r="P295" s="66" t="e">
        <f t="shared" si="92"/>
        <v>#REF!</v>
      </c>
      <c r="Q295" s="66" t="e">
        <f t="shared" si="92"/>
        <v>#REF!</v>
      </c>
      <c r="R295" s="66" t="e">
        <f t="shared" si="58"/>
        <v>#REF!</v>
      </c>
      <c r="S295" s="66"/>
      <c r="T295" s="66"/>
      <c r="U295" s="66" t="e">
        <f>+U296</f>
        <v>#REF!</v>
      </c>
      <c r="V295" s="66" t="e">
        <f>+V296</f>
        <v>#REF!</v>
      </c>
      <c r="W295" s="66" t="e">
        <f>+W296</f>
        <v>#REF!</v>
      </c>
      <c r="X295" s="66" t="e">
        <f>+X296</f>
        <v>#REF!</v>
      </c>
      <c r="AH295" s="147" t="s">
        <v>736</v>
      </c>
      <c r="AI295" s="148" t="s">
        <v>690</v>
      </c>
      <c r="AJ295" s="160"/>
      <c r="AK295" s="160"/>
      <c r="AL295" s="150"/>
      <c r="AM295" s="150"/>
      <c r="AN295" s="150"/>
      <c r="AO295" s="151"/>
      <c r="AP295" s="146">
        <f>AP296</f>
        <v>0</v>
      </c>
      <c r="AQ295" s="146">
        <f>AQ296</f>
        <v>0</v>
      </c>
      <c r="AR295" s="146">
        <f>AR296</f>
        <v>0</v>
      </c>
      <c r="AS295" s="245"/>
      <c r="AT295" s="245"/>
      <c r="AU295" s="146">
        <f>AU296</f>
        <v>0</v>
      </c>
      <c r="AX295" s="147" t="s">
        <v>736</v>
      </c>
      <c r="AY295" s="148" t="s">
        <v>690</v>
      </c>
      <c r="AZ295" s="160"/>
      <c r="BA295" s="160"/>
      <c r="BB295" s="189"/>
      <c r="BC295" s="189"/>
      <c r="BD295" s="189"/>
      <c r="BE295" s="190"/>
      <c r="BF295" s="187">
        <f>BF296</f>
        <v>0</v>
      </c>
    </row>
    <row r="296" spans="1:75">
      <c r="B296" s="31"/>
      <c r="C296" s="30" t="s">
        <v>740</v>
      </c>
      <c r="D296" s="30"/>
      <c r="E296" s="30"/>
      <c r="F296" s="33" t="s">
        <v>825</v>
      </c>
      <c r="G296" s="33"/>
      <c r="H296" s="33"/>
      <c r="I296" s="67">
        <v>1</v>
      </c>
      <c r="J296" s="33"/>
      <c r="K296" s="69" t="e">
        <f>+GETPIVOTDATA("PPEF 2010 ",#REF!,"No. Ramo",20,"IPP","S","PP",71)</f>
        <v>#REF!</v>
      </c>
      <c r="L296" s="69" t="e">
        <f>+GETPIVOTDATA("Ampliación Neta DIP ",#REF!,"No. Ramo",20,"IPP","S","PP",71)</f>
        <v>#REF!</v>
      </c>
      <c r="M296" s="69" t="e">
        <f>+GETPIVOTDATA("Recorte SHCP ",#REF!,"No. Ramo",20,"IPP","S","PP",71)</f>
        <v>#REF!</v>
      </c>
      <c r="N296" s="69" t="e">
        <f>+GETPIVOTDATA("PEF 2010 ",#REF!,"No. Ramo",20,"IPP","S","PP",71)</f>
        <v>#REF!</v>
      </c>
      <c r="O296" s="69" t="e">
        <f>+GETPIVOTDATA("PPEF 2011 ",#REF!,"No. Ramo",20,"IPP","S","PP",71)</f>
        <v>#REF!</v>
      </c>
      <c r="P296" s="69" t="e">
        <f>+GETPIVOTDATA("Reducción ",#REF!,"No. Ramo",20,"IPP","S","PP",71)</f>
        <v>#REF!</v>
      </c>
      <c r="Q296" s="69" t="e">
        <f>+GETPIVOTDATA("Ampliación ",#REF!,"No. Ramo",20,"IPP","S","PP",71)</f>
        <v>#REF!</v>
      </c>
      <c r="R296" s="69" t="e">
        <f t="shared" si="58"/>
        <v>#REF!</v>
      </c>
      <c r="S296" s="69"/>
      <c r="T296" s="69"/>
      <c r="U296" s="69" t="e">
        <f>+$I296*O296</f>
        <v>#REF!</v>
      </c>
      <c r="V296" s="69" t="e">
        <f>+$I296*P296</f>
        <v>#REF!</v>
      </c>
      <c r="W296" s="69" t="e">
        <f>+$I296*Q296</f>
        <v>#REF!</v>
      </c>
      <c r="X296" s="69" t="e">
        <f>+$I296*R296</f>
        <v>#REF!</v>
      </c>
      <c r="AH296" s="152"/>
      <c r="AI296" s="157" t="s">
        <v>740</v>
      </c>
      <c r="AJ296" s="158"/>
      <c r="AK296" s="158"/>
      <c r="AL296" s="150"/>
      <c r="AM296" s="150"/>
      <c r="AN296" s="150"/>
      <c r="AO296" s="151"/>
      <c r="AP296" s="146"/>
      <c r="AQ296" s="146"/>
      <c r="AR296" s="146"/>
      <c r="AS296" s="245"/>
      <c r="AT296" s="245"/>
      <c r="AU296" s="146"/>
      <c r="AX296" s="152"/>
      <c r="AY296" s="157" t="s">
        <v>740</v>
      </c>
      <c r="AZ296" s="158"/>
      <c r="BA296" s="158"/>
      <c r="BB296" s="189"/>
      <c r="BC296" s="189"/>
      <c r="BD296" s="189"/>
      <c r="BE296" s="190"/>
      <c r="BF296" s="187">
        <f>+AU296</f>
        <v>0</v>
      </c>
    </row>
    <row r="297" spans="1:75">
      <c r="B297" s="26"/>
      <c r="C297" s="27" t="s">
        <v>743</v>
      </c>
      <c r="D297" s="27"/>
      <c r="E297" s="27"/>
      <c r="F297" s="61"/>
      <c r="G297" s="61"/>
      <c r="H297" s="61"/>
      <c r="I297" s="62"/>
      <c r="J297" s="61"/>
      <c r="K297" s="63" t="e">
        <f t="shared" ref="K297:Q297" si="93">+K298+K300+K326</f>
        <v>#REF!</v>
      </c>
      <c r="L297" s="63" t="e">
        <f t="shared" si="93"/>
        <v>#REF!</v>
      </c>
      <c r="M297" s="63" t="e">
        <f t="shared" si="93"/>
        <v>#REF!</v>
      </c>
      <c r="N297" s="63" t="e">
        <f t="shared" si="93"/>
        <v>#REF!</v>
      </c>
      <c r="O297" s="63" t="e">
        <f t="shared" si="93"/>
        <v>#REF!</v>
      </c>
      <c r="P297" s="63" t="e">
        <f t="shared" si="93"/>
        <v>#REF!</v>
      </c>
      <c r="Q297" s="63" t="e">
        <f t="shared" si="93"/>
        <v>#REF!</v>
      </c>
      <c r="R297" s="63" t="e">
        <f t="shared" si="58"/>
        <v>#REF!</v>
      </c>
      <c r="S297" s="63"/>
      <c r="T297" s="63"/>
      <c r="U297" s="63" t="e">
        <f>+U298+U300+U326</f>
        <v>#REF!</v>
      </c>
      <c r="V297" s="63" t="e">
        <f>+V298+V300+V326</f>
        <v>#REF!</v>
      </c>
      <c r="W297" s="63" t="e">
        <f>+W298+W300+W326</f>
        <v>#REF!</v>
      </c>
      <c r="X297" s="63" t="e">
        <f>+X298+X300+X326</f>
        <v>#REF!</v>
      </c>
      <c r="AH297" s="147"/>
      <c r="AI297" s="148" t="s">
        <v>743</v>
      </c>
      <c r="AJ297" s="160"/>
      <c r="AK297" s="160"/>
      <c r="AL297" s="150"/>
      <c r="AM297" s="150"/>
      <c r="AN297" s="150"/>
      <c r="AO297" s="151"/>
      <c r="AP297" s="146">
        <f>AP298+AP300+AP326</f>
        <v>0</v>
      </c>
      <c r="AQ297" s="146">
        <f>AQ298+AQ300+AQ326</f>
        <v>0</v>
      </c>
      <c r="AR297" s="146">
        <f>AR298+AR300+AR326</f>
        <v>0</v>
      </c>
      <c r="AS297" s="245"/>
      <c r="AT297" s="245"/>
      <c r="AU297" s="146">
        <f>AU298+AU300+AU326</f>
        <v>0</v>
      </c>
      <c r="AX297" s="147"/>
      <c r="AY297" s="148" t="s">
        <v>743</v>
      </c>
      <c r="AZ297" s="160"/>
      <c r="BA297" s="160"/>
      <c r="BB297" s="189"/>
      <c r="BC297" s="189"/>
      <c r="BD297" s="189"/>
      <c r="BE297" s="190"/>
      <c r="BF297" s="187">
        <f>BF298+BF300+BF326</f>
        <v>0</v>
      </c>
    </row>
    <row r="298" spans="1:75">
      <c r="B298" s="28" t="s">
        <v>744</v>
      </c>
      <c r="C298" s="29" t="s">
        <v>745</v>
      </c>
      <c r="D298" s="29"/>
      <c r="E298" s="29"/>
      <c r="F298" s="28"/>
      <c r="G298" s="28"/>
      <c r="H298" s="28"/>
      <c r="I298" s="65"/>
      <c r="J298" s="28"/>
      <c r="K298" s="66" t="e">
        <f t="shared" ref="K298:Q298" si="94">+K299</f>
        <v>#REF!</v>
      </c>
      <c r="L298" s="66" t="e">
        <f t="shared" si="94"/>
        <v>#REF!</v>
      </c>
      <c r="M298" s="66" t="e">
        <f t="shared" si="94"/>
        <v>#REF!</v>
      </c>
      <c r="N298" s="66" t="e">
        <f t="shared" si="94"/>
        <v>#REF!</v>
      </c>
      <c r="O298" s="66" t="e">
        <f t="shared" si="94"/>
        <v>#REF!</v>
      </c>
      <c r="P298" s="66" t="e">
        <f t="shared" si="94"/>
        <v>#REF!</v>
      </c>
      <c r="Q298" s="66" t="e">
        <f t="shared" si="94"/>
        <v>#REF!</v>
      </c>
      <c r="R298" s="66" t="e">
        <f t="shared" si="58"/>
        <v>#REF!</v>
      </c>
      <c r="S298" s="66"/>
      <c r="T298" s="66"/>
      <c r="U298" s="66" t="e">
        <f>+U299</f>
        <v>#REF!</v>
      </c>
      <c r="V298" s="66" t="e">
        <f>+V299</f>
        <v>#REF!</v>
      </c>
      <c r="W298" s="66" t="e">
        <f>+W299</f>
        <v>#REF!</v>
      </c>
      <c r="X298" s="66" t="e">
        <f>+X299</f>
        <v>#REF!</v>
      </c>
      <c r="AH298" s="147" t="s">
        <v>744</v>
      </c>
      <c r="AI298" s="148" t="s">
        <v>745</v>
      </c>
      <c r="AJ298" s="160"/>
      <c r="AK298" s="160"/>
      <c r="AL298" s="150"/>
      <c r="AM298" s="150"/>
      <c r="AN298" s="150"/>
      <c r="AO298" s="151"/>
      <c r="AP298" s="146">
        <f t="shared" ref="AP298:AU298" si="95">AP299</f>
        <v>0</v>
      </c>
      <c r="AQ298" s="146">
        <f t="shared" si="95"/>
        <v>0</v>
      </c>
      <c r="AR298" s="146">
        <f t="shared" si="95"/>
        <v>0</v>
      </c>
      <c r="AS298" s="245"/>
      <c r="AT298" s="245"/>
      <c r="AU298" s="146">
        <f t="shared" si="95"/>
        <v>0</v>
      </c>
      <c r="AX298" s="147" t="s">
        <v>744</v>
      </c>
      <c r="AY298" s="148" t="s">
        <v>745</v>
      </c>
      <c r="AZ298" s="160"/>
      <c r="BA298" s="160"/>
      <c r="BB298" s="189"/>
      <c r="BC298" s="189"/>
      <c r="BD298" s="189"/>
      <c r="BE298" s="190"/>
      <c r="BF298" s="187">
        <f>BF299</f>
        <v>0</v>
      </c>
    </row>
    <row r="299" spans="1:75">
      <c r="B299" s="31"/>
      <c r="C299" s="30" t="s">
        <v>746</v>
      </c>
      <c r="D299" s="30"/>
      <c r="E299" s="30"/>
      <c r="F299" s="33" t="s">
        <v>836</v>
      </c>
      <c r="G299" s="80">
        <v>211</v>
      </c>
      <c r="H299" s="33"/>
      <c r="I299" s="67" t="e">
        <f>75000000/O299</f>
        <v>#REF!</v>
      </c>
      <c r="J299" s="88"/>
      <c r="K299" s="69" t="e">
        <f>+GETPIVOTDATA("PPEF 2010 ",#REF!,"No. Ramo",5,"IPP","E","PP",2,"UR",211)</f>
        <v>#REF!</v>
      </c>
      <c r="L299" s="69" t="e">
        <f>+GETPIVOTDATA("Ampliación Neta DIP ",#REF!,"No. Ramo",5,"IPP","E","PP",2,"UR",211)</f>
        <v>#REF!</v>
      </c>
      <c r="M299" s="69" t="e">
        <f>+GETPIVOTDATA("Recorte SHCP ",#REF!,"No. Ramo",5,"IPP","E","PP",2,"UR",211)</f>
        <v>#REF!</v>
      </c>
      <c r="N299" s="69" t="e">
        <f>+GETPIVOTDATA("PEF 2010 ",#REF!,"No. Ramo",5,"IPP","E","PP",2,"UR",211)</f>
        <v>#REF!</v>
      </c>
      <c r="O299" s="69" t="e">
        <f>+GETPIVOTDATA("PPEF 2011 ",#REF!,"No. Ramo",5,"IPP","E","PP",2,"UR",211)</f>
        <v>#REF!</v>
      </c>
      <c r="P299" s="69" t="e">
        <f>+GETPIVOTDATA("Reducción ",#REF!,"No. Ramo",5,"IPP","E","PP",2,"UR",211)</f>
        <v>#REF!</v>
      </c>
      <c r="Q299" s="69" t="e">
        <f>+GETPIVOTDATA("Ampliación ",#REF!,"No. Ramo",5,"IPP","E","PP",2,"UR",211)</f>
        <v>#REF!</v>
      </c>
      <c r="R299" s="69" t="e">
        <f t="shared" si="58"/>
        <v>#REF!</v>
      </c>
      <c r="S299" s="69"/>
      <c r="T299" s="69"/>
      <c r="U299" s="69" t="e">
        <f>+$I299*O299</f>
        <v>#REF!</v>
      </c>
      <c r="V299" s="69" t="e">
        <f>+$I299*P299</f>
        <v>#REF!</v>
      </c>
      <c r="W299" s="69" t="e">
        <f>+$I299*Q299</f>
        <v>#REF!</v>
      </c>
      <c r="X299" s="69" t="e">
        <f>+$I299*R299</f>
        <v>#REF!</v>
      </c>
      <c r="AH299" s="152"/>
      <c r="AI299" s="157" t="s">
        <v>746</v>
      </c>
      <c r="AJ299" s="158"/>
      <c r="AK299" s="158"/>
      <c r="AL299" s="150"/>
      <c r="AM299" s="150"/>
      <c r="AN299" s="150"/>
      <c r="AO299" s="151"/>
      <c r="AP299" s="146"/>
      <c r="AQ299" s="146"/>
      <c r="AR299" s="146"/>
      <c r="AS299" s="245"/>
      <c r="AT299" s="245"/>
      <c r="AU299" s="146"/>
      <c r="AX299" s="152"/>
      <c r="AY299" s="157" t="s">
        <v>746</v>
      </c>
      <c r="AZ299" s="158"/>
      <c r="BA299" s="158"/>
      <c r="BB299" s="189"/>
      <c r="BC299" s="189"/>
      <c r="BD299" s="189"/>
      <c r="BE299" s="190"/>
      <c r="BF299" s="187">
        <f>+AU299</f>
        <v>0</v>
      </c>
      <c r="BI299" s="113"/>
      <c r="BJ299" s="113"/>
      <c r="BK299" s="113"/>
      <c r="BL299" s="113"/>
      <c r="BM299" s="113"/>
      <c r="BN299" s="113"/>
      <c r="BO299" s="113"/>
      <c r="BP299" s="113"/>
      <c r="BQ299" s="113"/>
      <c r="BR299" s="113"/>
      <c r="BS299" s="113"/>
      <c r="BT299" s="113"/>
      <c r="BU299" s="113"/>
      <c r="BV299" s="113"/>
      <c r="BW299" s="113"/>
    </row>
    <row r="300" spans="1:75">
      <c r="B300" s="28" t="s">
        <v>744</v>
      </c>
      <c r="C300" s="29" t="s">
        <v>653</v>
      </c>
      <c r="D300" s="29"/>
      <c r="E300" s="29"/>
      <c r="F300" s="28"/>
      <c r="G300" s="28"/>
      <c r="H300" s="28"/>
      <c r="I300" s="65"/>
      <c r="J300" s="28"/>
      <c r="K300" s="66" t="e">
        <f t="shared" ref="K300:Q300" si="96">+K301</f>
        <v>#REF!</v>
      </c>
      <c r="L300" s="66" t="e">
        <f t="shared" si="96"/>
        <v>#REF!</v>
      </c>
      <c r="M300" s="66" t="e">
        <f t="shared" si="96"/>
        <v>#REF!</v>
      </c>
      <c r="N300" s="66" t="e">
        <f t="shared" si="96"/>
        <v>#REF!</v>
      </c>
      <c r="O300" s="66" t="e">
        <f t="shared" si="96"/>
        <v>#REF!</v>
      </c>
      <c r="P300" s="66" t="e">
        <f t="shared" si="96"/>
        <v>#REF!</v>
      </c>
      <c r="Q300" s="66" t="e">
        <f t="shared" si="96"/>
        <v>#REF!</v>
      </c>
      <c r="R300" s="66" t="e">
        <f t="shared" si="58"/>
        <v>#REF!</v>
      </c>
      <c r="S300" s="66"/>
      <c r="T300" s="66"/>
      <c r="U300" s="66" t="e">
        <f>+U301</f>
        <v>#REF!</v>
      </c>
      <c r="V300" s="66" t="e">
        <f>+V301</f>
        <v>#REF!</v>
      </c>
      <c r="W300" s="66" t="e">
        <f>+W301</f>
        <v>#REF!</v>
      </c>
      <c r="X300" s="66" t="e">
        <f>+X301</f>
        <v>#REF!</v>
      </c>
      <c r="AH300" s="147" t="s">
        <v>744</v>
      </c>
      <c r="AI300" s="148" t="s">
        <v>653</v>
      </c>
      <c r="AJ300" s="160"/>
      <c r="AK300" s="160"/>
      <c r="AL300" s="149"/>
      <c r="AM300" s="150"/>
      <c r="AN300" s="150"/>
      <c r="AO300" s="151"/>
      <c r="AP300" s="146">
        <f t="shared" ref="AP300:AU300" si="97">AP301</f>
        <v>0</v>
      </c>
      <c r="AQ300" s="146">
        <f t="shared" si="97"/>
        <v>0</v>
      </c>
      <c r="AR300" s="146">
        <f t="shared" si="97"/>
        <v>0</v>
      </c>
      <c r="AS300" s="245"/>
      <c r="AT300" s="245"/>
      <c r="AU300" s="146">
        <f t="shared" si="97"/>
        <v>0</v>
      </c>
      <c r="AX300" s="147" t="s">
        <v>744</v>
      </c>
      <c r="AY300" s="148" t="s">
        <v>653</v>
      </c>
      <c r="AZ300" s="160"/>
      <c r="BA300" s="160"/>
      <c r="BB300" s="149"/>
      <c r="BC300" s="189"/>
      <c r="BD300" s="189"/>
      <c r="BE300" s="190"/>
      <c r="BF300" s="187">
        <f>BF301</f>
        <v>0</v>
      </c>
      <c r="BI300" s="113"/>
      <c r="BJ300" s="113"/>
      <c r="BK300" s="113"/>
      <c r="BL300" s="113"/>
      <c r="BM300" s="113"/>
      <c r="BN300" s="113"/>
      <c r="BO300" s="113"/>
      <c r="BP300" s="113"/>
      <c r="BQ300" s="113"/>
      <c r="BR300" s="113"/>
      <c r="BS300" s="113"/>
      <c r="BT300" s="113"/>
      <c r="BU300" s="113"/>
      <c r="BV300" s="113"/>
      <c r="BW300" s="113"/>
    </row>
    <row r="301" spans="1:75" s="113" customFormat="1">
      <c r="A301"/>
      <c r="B301" s="31"/>
      <c r="C301" s="30" t="s">
        <v>747</v>
      </c>
      <c r="D301" s="30"/>
      <c r="E301" s="30"/>
      <c r="F301" s="33"/>
      <c r="G301" s="33" t="s">
        <v>61</v>
      </c>
      <c r="H301" s="33"/>
      <c r="I301" s="67">
        <v>1</v>
      </c>
      <c r="J301" s="33"/>
      <c r="K301" s="69" t="e">
        <f>+GETPIVOTDATA("PPEF 2010 ",#REF!,"No. Ramo",6,"IPP","F","PP",19,"UR","AYB")+GETPIVOTDATA("PPEF 2010 ",#REF!,"No. Ramo",6,"IPP","F","PP",31,"UR","AYB")+GETPIVOTDATA("PPEF 2010 ",#REF!,"No. Ramo",6,"IPP","F","PP",32,"UR","AYB")+GETPIVOTDATA("PPEF 2010 ",#REF!,"No. Ramo",6,"IPP","K","PP",14,"UR","AYB")+GETPIVOTDATA("PPEF 2010 ",#REF!,"No. Ramo",6,"IPP","K","PP",25,"UR","AYB")+GETPIVOTDATA("PPEF 2010 ",#REF!,"No. Ramo",6,"IPP","K","PP",27,"UR","AYB")+GETPIVOTDATA("PPEF 2010 ",#REF!,"No. Ramo",6,"IPP","K","PP",28,"UR","AYB")+GETPIVOTDATA("PPEF 2010 ",#REF!,"No. Ramo",6,"IPP","M","PP",1,"UR","AYB")+GETPIVOTDATA("PPEF 2010 ",#REF!,"No. Ramo",6,"IPP","O","PP",1,"UR","AYB")+GETPIVOTDATA("PPEF 2010 ",#REF!,"No. Ramo",6,"IPP","P","PP",12,"UR","AYB")+GETPIVOTDATA("PPEF 2010 ",#REF!,"No. Ramo",6,"IPP","P","PP",13,"UR","AYB")+GETPIVOTDATA("PPEF 2010 ",#REF!,"No. Ramo",6,"IPP","P","PP",14,"UR","AYB")+GETPIVOTDATA("PPEF 2010 ",#REF!,"No. Ramo",6,"IPP","S","PP",178,"UR","AYB")+GETPIVOTDATA("PPEF 2010 ",#REF!,"No. Ramo",6,"IPP","S","PP",179,"UR","AYB")+GETPIVOTDATA("PPEF 2010 ",#REF!,"No. Ramo",6,"IPP","S","PP",180,"UR","AYB")+GETPIVOTDATA("PPEF 2010 ",#REF!,"No. Ramo",6,"IPP","S","PP",181,"UR","AYB")+GETPIVOTDATA("PPEF 2010 ",#REF!,"No. Ramo",6,"IPP","S","PP",182,"UR","AYB")+GETPIVOTDATA("PPEF 2010 ",#REF!,"No. Ramo",6,"IPP","S","PP",183,"UR","AYB")+GETPIVOTDATA("PPEF 2010 ",#REF!,"No. Ramo",6,"IPP","S","PP",184,"UR","AYB")+GETPIVOTDATA("PPEF 2010 ",#REF!,"No. Ramo",6,"IPP","S","PP",185,"UR","AYB")+GETPIVOTDATA("PPEF 2010 ",#REF!,"No. Ramo",6,"IPP","U","PP",2,"UR","AYB")+GETPIVOTDATA("PPEF 2010 ",#REF!,"No. Ramo",6,"IPP","U","PP",4,"UR","AYB")+GETPIVOTDATA("PPEF 2010 ",#REF!,"No. Ramo",6,"IPP","U","PP",7,"UR","AYB")+GETPIVOTDATA("PPEF 2010 ",#REF!,"No. Ramo",6,"IPP","U","PP",8,"UR","AYB")+GETPIVOTDATA("PPEF 2010 ",#REF!,"No. Ramo",6,"IPP","U","PP",9,"UR","AYB")</f>
        <v>#REF!</v>
      </c>
      <c r="L301" s="69" t="e">
        <f>+GETPIVOTDATA("Ampliación Neta DIP ",#REF!,"No. Ramo",6,"IPP","F","PP",19,"UR","AYB")+GETPIVOTDATA("Ampliación Neta DIP ",#REF!,"No. Ramo",6,"IPP","F","PP",31,"UR","AYB")+GETPIVOTDATA("Ampliación Neta DIP ",#REF!,"No. Ramo",6,"IPP","F","PP",32,"UR","AYB")+GETPIVOTDATA("Ampliación Neta DIP ",#REF!,"No. Ramo",6,"IPP","K","PP",14,"UR","AYB")+GETPIVOTDATA("Ampliación Neta DIP ",#REF!,"No. Ramo",6,"IPP","K","PP",25,"UR","AYB")+GETPIVOTDATA("Ampliación Neta DIP ",#REF!,"No. Ramo",6,"IPP","K","PP",27,"UR","AYB")+GETPIVOTDATA("Ampliación Neta DIP ",#REF!,"No. Ramo",6,"IPP","K","PP",28,"UR","AYB")+GETPIVOTDATA("Ampliación Neta DIP ",#REF!,"No. Ramo",6,"IPP","M","PP",1,"UR","AYB")+GETPIVOTDATA("Ampliación Neta DIP ",#REF!,"No. Ramo",6,"IPP","O","PP",1,"UR","AYB")+GETPIVOTDATA("Ampliación Neta DIP ",#REF!,"No. Ramo",6,"IPP","P","PP",12,"UR","AYB")+GETPIVOTDATA("Ampliación Neta DIP ",#REF!,"No. Ramo",6,"IPP","P","PP",13,"UR","AYB")+GETPIVOTDATA("Ampliación Neta DIP ",#REF!,"No. Ramo",6,"IPP","P","PP",14,"UR","AYB")+GETPIVOTDATA("Ampliación Neta DIP ",#REF!,"No. Ramo",6,"IPP","S","PP",178,"UR","AYB")+GETPIVOTDATA("Ampliación Neta DIP ",#REF!,"No. Ramo",6,"IPP","S","PP",179,"UR","AYB")+GETPIVOTDATA("Ampliación Neta DIP ",#REF!,"No. Ramo",6,"IPP","S","PP",180,"UR","AYB")+GETPIVOTDATA("Ampliación Neta DIP ",#REF!,"No. Ramo",6,"IPP","S","PP",181,"UR","AYB")+GETPIVOTDATA("Ampliación Neta DIP ",#REF!,"No. Ramo",6,"IPP","S","PP",182,"UR","AYB")+GETPIVOTDATA("Ampliación Neta DIP ",#REF!,"No. Ramo",6,"IPP","S","PP",183,"UR","AYB")+GETPIVOTDATA("Ampliación Neta DIP ",#REF!,"No. Ramo",6,"IPP","S","PP",184,"UR","AYB")+GETPIVOTDATA("Ampliación Neta DIP ",#REF!,"No. Ramo",6,"IPP","S","PP",185,"UR","AYB")+GETPIVOTDATA("Ampliación Neta DIP ",#REF!,"No. Ramo",6,"IPP","U","PP",2,"UR","AYB")+GETPIVOTDATA("Ampliación Neta DIP ",#REF!,"No. Ramo",6,"IPP","U","PP",4,"UR","AYB")+GETPIVOTDATA("Ampliación Neta DIP ",#REF!,"No. Ramo",6,"IPP","U","PP",7,"UR","AYB")+GETPIVOTDATA("Ampliación Neta DIP ",#REF!,"No. Ramo",6,"IPP","U","PP",8,"UR","AYB")+GETPIVOTDATA("Ampliación Neta DIP ",#REF!,"No. Ramo",6,"IPP","U","PP",9,"UR","AYB")</f>
        <v>#REF!</v>
      </c>
      <c r="M301" s="69" t="e">
        <f>+GETPIVOTDATA("Recorte SHCP ",#REF!,"No. Ramo",6,"IPP","F","PP",19,"UR","AYB")+GETPIVOTDATA("Recorte SHCP ",#REF!,"No. Ramo",6,"IPP","F","PP",31,"UR","AYB")+GETPIVOTDATA("Recorte SHCP ",#REF!,"No. Ramo",6,"IPP","F","PP",32,"UR","AYB")+GETPIVOTDATA("Recorte SHCP ",#REF!,"No. Ramo",6,"IPP","K","PP",14,"UR","AYB")+GETPIVOTDATA("Recorte SHCP ",#REF!,"No. Ramo",6,"IPP","K","PP",25,"UR","AYB")+GETPIVOTDATA("Recorte SHCP ",#REF!,"No. Ramo",6,"IPP","K","PP",27,"UR","AYB")+GETPIVOTDATA("Recorte SHCP ",#REF!,"No. Ramo",6,"IPP","K","PP",28,"UR","AYB")+GETPIVOTDATA("Recorte SHCP ",#REF!,"No. Ramo",6,"IPP","M","PP",1,"UR","AYB")+GETPIVOTDATA("Recorte SHCP ",#REF!,"No. Ramo",6,"IPP","O","PP",1,"UR","AYB")+GETPIVOTDATA("Recorte SHCP ",#REF!,"No. Ramo",6,"IPP","P","PP",12,"UR","AYB")+GETPIVOTDATA("Recorte SHCP ",#REF!,"No. Ramo",6,"IPP","P","PP",13,"UR","AYB")+GETPIVOTDATA("Recorte SHCP ",#REF!,"No. Ramo",6,"IPP","P","PP",14,"UR","AYB")+GETPIVOTDATA("Recorte SHCP ",#REF!,"No. Ramo",6,"IPP","S","PP",178,"UR","AYB")+GETPIVOTDATA("Recorte SHCP ",#REF!,"No. Ramo",6,"IPP","S","PP",179,"UR","AYB")+GETPIVOTDATA("Recorte SHCP ",#REF!,"No. Ramo",6,"IPP","S","PP",180,"UR","AYB")+GETPIVOTDATA("Recorte SHCP ",#REF!,"No. Ramo",6,"IPP","S","PP",181,"UR","AYB")+GETPIVOTDATA("Recorte SHCP ",#REF!,"No. Ramo",6,"IPP","S","PP",182,"UR","AYB")+GETPIVOTDATA("Recorte SHCP ",#REF!,"No. Ramo",6,"IPP","S","PP",183,"UR","AYB")+GETPIVOTDATA("Recorte SHCP ",#REF!,"No. Ramo",6,"IPP","S","PP",184,"UR","AYB")+GETPIVOTDATA("Recorte SHCP ",#REF!,"No. Ramo",6,"IPP","S","PP",185,"UR","AYB")+GETPIVOTDATA("Recorte SHCP ",#REF!,"No. Ramo",6,"IPP","U","PP",2,"UR","AYB")+GETPIVOTDATA("Recorte SHCP ",#REF!,"No. Ramo",6,"IPP","U","PP",4,"UR","AYB")+GETPIVOTDATA("Recorte SHCP ",#REF!,"No. Ramo",6,"IPP","U","PP",7,"UR","AYB")+GETPIVOTDATA("Recorte SHCP ",#REF!,"No. Ramo",6,"IPP","U","PP",8,"UR","AYB")+GETPIVOTDATA("Recorte SHCP ",#REF!,"No. Ramo",6,"IPP","U","PP",9,"UR","AYB")</f>
        <v>#REF!</v>
      </c>
      <c r="N301" s="69" t="e">
        <f>+GETPIVOTDATA("PEF 2010 ",#REF!,"No. Ramo",6,"IPP","F","PP",19,"UR","AYB")+GETPIVOTDATA("PEF 2010 ",#REF!,"No. Ramo",6,"IPP","F","PP",31,"UR","AYB")+GETPIVOTDATA("PEF 2010 ",#REF!,"No. Ramo",6,"IPP","F","PP",32,"UR","AYB")+GETPIVOTDATA("PEF 2010 ",#REF!,"No. Ramo",6,"IPP","K","PP",14,"UR","AYB")+GETPIVOTDATA("PEF 2010 ",#REF!,"No. Ramo",6,"IPP","K","PP",25,"UR","AYB")+GETPIVOTDATA("PEF 2010 ",#REF!,"No. Ramo",6,"IPP","K","PP",27,"UR","AYB")+GETPIVOTDATA("PEF 2010 ",#REF!,"No. Ramo",6,"IPP","K","PP",28,"UR","AYB")+GETPIVOTDATA("PEF 2010 ",#REF!,"No. Ramo",6,"IPP","M","PP",1,"UR","AYB")+GETPIVOTDATA("PEF 2010 ",#REF!,"No. Ramo",6,"IPP","O","PP",1,"UR","AYB")+GETPIVOTDATA("PEF 2010 ",#REF!,"No. Ramo",6,"IPP","P","PP",12,"UR","AYB")+GETPIVOTDATA("PEF 2010 ",#REF!,"No. Ramo",6,"IPP","P","PP",13,"UR","AYB")+GETPIVOTDATA("PEF 2010 ",#REF!,"No. Ramo",6,"IPP","P","PP",14,"UR","AYB")+GETPIVOTDATA("PEF 2010 ",#REF!,"No. Ramo",6,"IPP","S","PP",178,"UR","AYB")+GETPIVOTDATA("PEF 2010 ",#REF!,"No. Ramo",6,"IPP","S","PP",179,"UR","AYB")+GETPIVOTDATA("PEF 2010 ",#REF!,"No. Ramo",6,"IPP","S","PP",180,"UR","AYB")+GETPIVOTDATA("PEF 2010 ",#REF!,"No. Ramo",6,"IPP","S","PP",181,"UR","AYB")+GETPIVOTDATA("PEF 2010 ",#REF!,"No. Ramo",6,"IPP","S","PP",182,"UR","AYB")+GETPIVOTDATA("PEF 2010 ",#REF!,"No. Ramo",6,"IPP","S","PP",183,"UR","AYB")+GETPIVOTDATA("PEF 2010 ",#REF!,"No. Ramo",6,"IPP","S","PP",184,"UR","AYB")+GETPIVOTDATA("PEF 2010 ",#REF!,"No. Ramo",6,"IPP","S","PP",185,"UR","AYB")+GETPIVOTDATA("PEF 2010 ",#REF!,"No. Ramo",6,"IPP","U","PP",2,"UR","AYB")+GETPIVOTDATA("PEF 2010 ",#REF!,"No. Ramo",6,"IPP","U","PP",4,"UR","AYB")+GETPIVOTDATA("PEF 2010 ",#REF!,"No. Ramo",6,"IPP","U","PP",7,"UR","AYB")+GETPIVOTDATA("PEF 2010 ",#REF!,"No. Ramo",6,"IPP","U","PP",8,"UR","AYB")+GETPIVOTDATA("PEF 2010 ",#REF!,"No. Ramo",6,"IPP","U","PP",9,"UR","AYB")</f>
        <v>#REF!</v>
      </c>
      <c r="O301" s="69" t="e">
        <f>+GETPIVOTDATA("PPEF 2011 ",#REF!,"No. Ramo",6,"IPP","F","PP",19,"UR","AYB")+GETPIVOTDATA("PPEF 2011 ",#REF!,"No. Ramo",6,"IPP","F","PP",31,"UR","AYB")+GETPIVOTDATA("PPEF 2011 ",#REF!,"No. Ramo",6,"IPP","F","PP",32,"UR","AYB")+GETPIVOTDATA("PPEF 2011 ",#REF!,"No. Ramo",6,"IPP","K","PP",14,"UR","AYB")+GETPIVOTDATA("PPEF 2011 ",#REF!,"No. Ramo",6,"IPP","K","PP",25,"UR","AYB")+GETPIVOTDATA("PPEF 2011 ",#REF!,"No. Ramo",6,"IPP","K","PP",27,"UR","AYB")+GETPIVOTDATA("PPEF 2011 ",#REF!,"No. Ramo",6,"IPP","K","PP",28,"UR","AYB")+GETPIVOTDATA("PPEF 2011 ",#REF!,"No. Ramo",6,"IPP","M","PP",1,"UR","AYB")+GETPIVOTDATA("PPEF 2011 ",#REF!,"No. Ramo",6,"IPP","O","PP",1,"UR","AYB")+GETPIVOTDATA("PPEF 2011 ",#REF!,"No. Ramo",6,"IPP","P","PP",12,"UR","AYB")+GETPIVOTDATA("PPEF 2011 ",#REF!,"No. Ramo",6,"IPP","P","PP",13,"UR","AYB")+GETPIVOTDATA("PPEF 2011 ",#REF!,"No. Ramo",6,"IPP","P","PP",14,"UR","AYB")+GETPIVOTDATA("PPEF 2011 ",#REF!,"No. Ramo",6,"IPP","S","PP",178,"UR","AYB")+GETPIVOTDATA("PPEF 2011 ",#REF!,"No. Ramo",6,"IPP","S","PP",179,"UR","AYB")+GETPIVOTDATA("PPEF 2011 ",#REF!,"No. Ramo",6,"IPP","S","PP",180,"UR","AYB")+GETPIVOTDATA("PPEF 2011 ",#REF!,"No. Ramo",6,"IPP","S","PP",181,"UR","AYB")+GETPIVOTDATA("PPEF 2011 ",#REF!,"No. Ramo",6,"IPP","S","PP",182,"UR","AYB")+GETPIVOTDATA("PPEF 2011 ",#REF!,"No. Ramo",6,"IPP","S","PP",183,"UR","AYB")+GETPIVOTDATA("PPEF 2011 ",#REF!,"No. Ramo",6,"IPP","S","PP",184,"UR","AYB")+GETPIVOTDATA("PPEF 2011 ",#REF!,"No. Ramo",6,"IPP","S","PP",185,"UR","AYB")+GETPIVOTDATA("PPEF 2011 ",#REF!,"No. Ramo",6,"IPP","U","PP",2,"UR","AYB")+GETPIVOTDATA("PPEF 2011 ",#REF!,"No. Ramo",6,"IPP","U","PP",4,"UR","AYB")+GETPIVOTDATA("PPEF 2011 ",#REF!,"No. Ramo",6,"IPP","U","PP",7,"UR","AYB")+GETPIVOTDATA("PPEF 2011 ",#REF!,"No. Ramo",6,"IPP","U","PP",8,"UR","AYB")+GETPIVOTDATA("PPEF 2011 ",#REF!,"No. Ramo",6,"IPP","U","PP",9,"UR","AYB")</f>
        <v>#REF!</v>
      </c>
      <c r="P301" s="69" t="e">
        <f>+GETPIVOTDATA("Reducción ",#REF!,"No. Ramo",6,"IPP","F","PP",19,"UR","AYB")+GETPIVOTDATA("Reducción ",#REF!,"No. Ramo",6,"IPP","F","PP",31,"UR","AYB")+GETPIVOTDATA("Reducción ",#REF!,"No. Ramo",6,"IPP","F","PP",32,"UR","AYB")+GETPIVOTDATA("Reducción ",#REF!,"No. Ramo",6,"IPP","K","PP",14,"UR","AYB")+GETPIVOTDATA("Reducción ",#REF!,"No. Ramo",6,"IPP","K","PP",25,"UR","AYB")+GETPIVOTDATA("Reducción ",#REF!,"No. Ramo",6,"IPP","K","PP",27,"UR","AYB")+GETPIVOTDATA("Reducción ",#REF!,"No. Ramo",6,"IPP","K","PP",28,"UR","AYB")+GETPIVOTDATA("Reducción ",#REF!,"No. Ramo",6,"IPP","M","PP",1,"UR","AYB")+GETPIVOTDATA("Reducción ",#REF!,"No. Ramo",6,"IPP","O","PP",1,"UR","AYB")+GETPIVOTDATA("Reducción ",#REF!,"No. Ramo",6,"IPP","P","PP",12,"UR","AYB")+GETPIVOTDATA("Reducción ",#REF!,"No. Ramo",6,"IPP","P","PP",13,"UR","AYB")+GETPIVOTDATA("Reducción ",#REF!,"No. Ramo",6,"IPP","P","PP",14,"UR","AYB")+GETPIVOTDATA("Reducción ",#REF!,"No. Ramo",6,"IPP","S","PP",178,"UR","AYB")+GETPIVOTDATA("Reducción ",#REF!,"No. Ramo",6,"IPP","S","PP",179,"UR","AYB")+GETPIVOTDATA("Reducción ",#REF!,"No. Ramo",6,"IPP","S","PP",180,"UR","AYB")+GETPIVOTDATA("Reducción ",#REF!,"No. Ramo",6,"IPP","S","PP",181,"UR","AYB")+GETPIVOTDATA("Reducción ",#REF!,"No. Ramo",6,"IPP","S","PP",182,"UR","AYB")+GETPIVOTDATA("Reducción ",#REF!,"No. Ramo",6,"IPP","S","PP",183,"UR","AYB")+GETPIVOTDATA("Reducción ",#REF!,"No. Ramo",6,"IPP","S","PP",184,"UR","AYB")+GETPIVOTDATA("Reducción ",#REF!,"No. Ramo",6,"IPP","S","PP",185,"UR","AYB")+GETPIVOTDATA("Reducción ",#REF!,"No. Ramo",6,"IPP","U","PP",2,"UR","AYB")+GETPIVOTDATA("Reducción ",#REF!,"No. Ramo",6,"IPP","U","PP",4,"UR","AYB")+GETPIVOTDATA("Reducción ",#REF!,"No. Ramo",6,"IPP","U","PP",7,"UR","AYB")+GETPIVOTDATA("Reducción ",#REF!,"No. Ramo",6,"IPP","U","PP",8,"UR","AYB")+GETPIVOTDATA("Reducción ",#REF!,"No. Ramo",6,"IPP","U","PP",9,"UR","AYB")</f>
        <v>#REF!</v>
      </c>
      <c r="Q301" s="69" t="e">
        <f>+GETPIVOTDATA("Ampliación ",#REF!,"No. Ramo",6,"IPP","F","PP",19,"UR","AYB")+GETPIVOTDATA("Ampliación ",#REF!,"No. Ramo",6,"IPP","F","PP",31,"UR","AYB")+GETPIVOTDATA("Ampliación ",#REF!,"No. Ramo",6,"IPP","F","PP",32,"UR","AYB")+GETPIVOTDATA("Ampliación ",#REF!,"No. Ramo",6,"IPP","K","PP",14,"UR","AYB")+GETPIVOTDATA("Ampliación ",#REF!,"No. Ramo",6,"IPP","K","PP",25,"UR","AYB")+GETPIVOTDATA("Ampliación ",#REF!,"No. Ramo",6,"IPP","K","PP",27,"UR","AYB")+GETPIVOTDATA("Ampliación ",#REF!,"No. Ramo",6,"IPP","K","PP",28,"UR","AYB")+GETPIVOTDATA("Ampliación ",#REF!,"No. Ramo",6,"IPP","M","PP",1,"UR","AYB")+GETPIVOTDATA("Ampliación ",#REF!,"No. Ramo",6,"IPP","O","PP",1,"UR","AYB")+GETPIVOTDATA("Ampliación ",#REF!,"No. Ramo",6,"IPP","P","PP",12,"UR","AYB")+GETPIVOTDATA("Ampliación ",#REF!,"No. Ramo",6,"IPP","P","PP",13,"UR","AYB")+GETPIVOTDATA("Ampliación ",#REF!,"No. Ramo",6,"IPP","P","PP",14,"UR","AYB")+GETPIVOTDATA("Ampliación ",#REF!,"No. Ramo",6,"IPP","S","PP",178,"UR","AYB")+GETPIVOTDATA("Ampliación ",#REF!,"No. Ramo",6,"IPP","S","PP",179,"UR","AYB")+GETPIVOTDATA("Ampliación ",#REF!,"No. Ramo",6,"IPP","S","PP",180,"UR","AYB")+GETPIVOTDATA("Ampliación ",#REF!,"No. Ramo",6,"IPP","S","PP",181,"UR","AYB")+GETPIVOTDATA("Ampliación ",#REF!,"No. Ramo",6,"IPP","S","PP",182,"UR","AYB")+GETPIVOTDATA("Ampliación ",#REF!,"No. Ramo",6,"IPP","S","PP",183,"UR","AYB")+GETPIVOTDATA("Ampliación ",#REF!,"No. Ramo",6,"IPP","S","PP",184,"UR","AYB")+GETPIVOTDATA("Ampliación ",#REF!,"No. Ramo",6,"IPP","S","PP",185,"UR","AYB")+GETPIVOTDATA("Ampliación ",#REF!,"No. Ramo",6,"IPP","U","PP",2,"UR","AYB")+GETPIVOTDATA("Ampliación ",#REF!,"No. Ramo",6,"IPP","U","PP",4,"UR","AYB")+GETPIVOTDATA("Ampliación ",#REF!,"No. Ramo",6,"IPP","U","PP",7,"UR","AYB")+GETPIVOTDATA("Ampliación ",#REF!,"No. Ramo",6,"IPP","U","PP",8,"UR","AYB")+GETPIVOTDATA("Ampliación ",#REF!,"No. Ramo",6,"IPP","U","PP",9,"UR","AYB")</f>
        <v>#REF!</v>
      </c>
      <c r="R301" s="69" t="e">
        <f t="shared" si="58"/>
        <v>#REF!</v>
      </c>
      <c r="S301" s="69"/>
      <c r="T301" s="69"/>
      <c r="U301" s="69" t="e">
        <f>+$I301*O301</f>
        <v>#REF!</v>
      </c>
      <c r="V301" s="69" t="e">
        <f>+$I301*P301</f>
        <v>#REF!</v>
      </c>
      <c r="W301" s="69" t="e">
        <f>+$I301*Q301</f>
        <v>#REF!</v>
      </c>
      <c r="X301" s="69" t="e">
        <f>+$I301*R301</f>
        <v>#REF!</v>
      </c>
      <c r="Y301"/>
      <c r="Z301"/>
      <c r="AA301"/>
      <c r="AB301"/>
      <c r="AC301"/>
      <c r="AD301"/>
      <c r="AE301"/>
      <c r="AF301"/>
      <c r="AG301"/>
      <c r="AH301" s="152"/>
      <c r="AI301" s="157" t="s">
        <v>747</v>
      </c>
      <c r="AJ301" s="158"/>
      <c r="AK301" s="158"/>
      <c r="AL301" s="155"/>
      <c r="AM301" s="150"/>
      <c r="AN301" s="150"/>
      <c r="AO301" s="151"/>
      <c r="AP301" s="146">
        <f>SUM(AP302:AP325)</f>
        <v>0</v>
      </c>
      <c r="AQ301" s="146">
        <f>SUM(AQ302:AQ325)</f>
        <v>0</v>
      </c>
      <c r="AR301" s="146">
        <f>SUM(AR302:AR325)</f>
        <v>0</v>
      </c>
      <c r="AS301" s="245"/>
      <c r="AT301" s="245"/>
      <c r="AU301" s="146">
        <f>SUM(AU302:AU325)</f>
        <v>0</v>
      </c>
      <c r="AV301" s="195"/>
      <c r="AW301" s="195"/>
      <c r="AX301" s="152"/>
      <c r="AY301" s="157" t="s">
        <v>747</v>
      </c>
      <c r="AZ301" s="158"/>
      <c r="BA301" s="158"/>
      <c r="BB301" s="155"/>
      <c r="BC301" s="189"/>
      <c r="BD301" s="189"/>
      <c r="BE301" s="190"/>
      <c r="BF301" s="187">
        <f>SUM(BF302:BF325)</f>
        <v>0</v>
      </c>
      <c r="BG301" s="195"/>
      <c r="BH301" s="195"/>
    </row>
    <row r="302" spans="1:75" s="113" customFormat="1">
      <c r="B302" s="111"/>
      <c r="C302" s="110"/>
      <c r="D302" s="110" t="s">
        <v>60</v>
      </c>
      <c r="E302" s="110"/>
      <c r="F302" s="80" t="s">
        <v>1010</v>
      </c>
      <c r="G302" s="80"/>
      <c r="H302" s="80"/>
      <c r="I302" s="112"/>
      <c r="J302" s="80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AH302" s="152"/>
      <c r="AI302" s="157"/>
      <c r="AJ302" s="158" t="s">
        <v>60</v>
      </c>
      <c r="AK302" s="158"/>
      <c r="AL302" s="150"/>
      <c r="AM302" s="150"/>
      <c r="AN302" s="150"/>
      <c r="AO302" s="151"/>
      <c r="AP302" s="146"/>
      <c r="AQ302" s="146"/>
      <c r="AR302" s="146"/>
      <c r="AS302" s="245"/>
      <c r="AT302" s="245"/>
      <c r="AU302" s="146"/>
      <c r="AV302" s="195"/>
      <c r="AW302" s="195"/>
      <c r="AX302" s="152"/>
      <c r="AY302" s="157"/>
      <c r="AZ302" s="158" t="s">
        <v>60</v>
      </c>
      <c r="BA302" s="158"/>
      <c r="BB302" s="189"/>
      <c r="BC302" s="189"/>
      <c r="BD302" s="189"/>
      <c r="BE302" s="190"/>
      <c r="BF302" s="187">
        <f t="shared" ref="BF302:BF325" si="98">+AU302</f>
        <v>0</v>
      </c>
      <c r="BG302" s="195"/>
      <c r="BH302" s="195"/>
    </row>
    <row r="303" spans="1:75" s="113" customFormat="1">
      <c r="B303" s="111"/>
      <c r="C303" s="110"/>
      <c r="D303" s="110" t="s">
        <v>66</v>
      </c>
      <c r="E303" s="110"/>
      <c r="F303" s="80" t="s">
        <v>1011</v>
      </c>
      <c r="G303" s="80"/>
      <c r="H303" s="80"/>
      <c r="I303" s="112"/>
      <c r="J303" s="80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AH303" s="152"/>
      <c r="AI303" s="157"/>
      <c r="AJ303" s="158" t="s">
        <v>66</v>
      </c>
      <c r="AK303" s="158"/>
      <c r="AL303" s="150"/>
      <c r="AM303" s="150"/>
      <c r="AN303" s="150"/>
      <c r="AO303" s="151"/>
      <c r="AP303" s="146"/>
      <c r="AQ303" s="146"/>
      <c r="AR303" s="146"/>
      <c r="AS303" s="245"/>
      <c r="AT303" s="245"/>
      <c r="AU303" s="146"/>
      <c r="AV303" s="195"/>
      <c r="AW303" s="195"/>
      <c r="AX303" s="152"/>
      <c r="AY303" s="157"/>
      <c r="AZ303" s="158" t="s">
        <v>66</v>
      </c>
      <c r="BA303" s="158"/>
      <c r="BB303" s="189"/>
      <c r="BC303" s="189"/>
      <c r="BD303" s="189"/>
      <c r="BE303" s="190"/>
      <c r="BF303" s="187">
        <f t="shared" si="98"/>
        <v>0</v>
      </c>
      <c r="BG303" s="195"/>
      <c r="BH303" s="195"/>
    </row>
    <row r="304" spans="1:75" s="113" customFormat="1">
      <c r="B304" s="111"/>
      <c r="C304" s="110"/>
      <c r="D304" s="110" t="s">
        <v>67</v>
      </c>
      <c r="E304" s="110"/>
      <c r="F304" s="80" t="s">
        <v>1012</v>
      </c>
      <c r="G304" s="80"/>
      <c r="H304" s="80"/>
      <c r="I304" s="112"/>
      <c r="J304" s="80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AH304" s="152"/>
      <c r="AI304" s="157"/>
      <c r="AJ304" s="158" t="s">
        <v>67</v>
      </c>
      <c r="AK304" s="158"/>
      <c r="AL304" s="150"/>
      <c r="AM304" s="150"/>
      <c r="AN304" s="150"/>
      <c r="AO304" s="151"/>
      <c r="AP304" s="146"/>
      <c r="AQ304" s="146"/>
      <c r="AR304" s="146"/>
      <c r="AS304" s="245"/>
      <c r="AT304" s="245"/>
      <c r="AU304" s="146"/>
      <c r="AV304" s="195"/>
      <c r="AW304" s="195"/>
      <c r="AX304" s="152"/>
      <c r="AY304" s="157"/>
      <c r="AZ304" s="158" t="s">
        <v>67</v>
      </c>
      <c r="BA304" s="158"/>
      <c r="BB304" s="189"/>
      <c r="BC304" s="189"/>
      <c r="BD304" s="189"/>
      <c r="BE304" s="190"/>
      <c r="BF304" s="187">
        <f t="shared" si="98"/>
        <v>0</v>
      </c>
      <c r="BG304" s="195"/>
      <c r="BH304" s="195"/>
    </row>
    <row r="305" spans="2:60" s="113" customFormat="1">
      <c r="B305" s="111"/>
      <c r="C305" s="110"/>
      <c r="D305" s="110" t="s">
        <v>1005</v>
      </c>
      <c r="E305" s="110"/>
      <c r="F305" s="80" t="s">
        <v>1013</v>
      </c>
      <c r="G305" s="80"/>
      <c r="H305" s="80"/>
      <c r="I305" s="112"/>
      <c r="J305" s="80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AH305" s="152"/>
      <c r="AI305" s="157"/>
      <c r="AJ305" s="158" t="s">
        <v>1005</v>
      </c>
      <c r="AK305" s="158"/>
      <c r="AL305" s="150"/>
      <c r="AM305" s="150"/>
      <c r="AN305" s="150"/>
      <c r="AO305" s="151"/>
      <c r="AP305" s="146"/>
      <c r="AQ305" s="146"/>
      <c r="AR305" s="146"/>
      <c r="AS305" s="245"/>
      <c r="AT305" s="245"/>
      <c r="AU305" s="146"/>
      <c r="AV305" s="195"/>
      <c r="AW305" s="195"/>
      <c r="AX305" s="152"/>
      <c r="AY305" s="157"/>
      <c r="AZ305" s="158" t="s">
        <v>1005</v>
      </c>
      <c r="BA305" s="158"/>
      <c r="BB305" s="189"/>
      <c r="BC305" s="189"/>
      <c r="BD305" s="189"/>
      <c r="BE305" s="190"/>
      <c r="BF305" s="187">
        <f t="shared" si="98"/>
        <v>0</v>
      </c>
      <c r="BG305" s="195"/>
      <c r="BH305" s="195"/>
    </row>
    <row r="306" spans="2:60" s="113" customFormat="1">
      <c r="B306" s="111"/>
      <c r="C306" s="110"/>
      <c r="D306" s="110" t="s">
        <v>1006</v>
      </c>
      <c r="E306" s="110"/>
      <c r="F306" s="80" t="s">
        <v>1014</v>
      </c>
      <c r="G306" s="80"/>
      <c r="H306" s="80"/>
      <c r="I306" s="112"/>
      <c r="J306" s="80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AH306" s="152"/>
      <c r="AI306" s="157"/>
      <c r="AJ306" s="158" t="s">
        <v>1006</v>
      </c>
      <c r="AK306" s="158"/>
      <c r="AL306" s="150"/>
      <c r="AM306" s="150"/>
      <c r="AN306" s="150"/>
      <c r="AO306" s="151"/>
      <c r="AP306" s="146"/>
      <c r="AQ306" s="146"/>
      <c r="AR306" s="146"/>
      <c r="AS306" s="245"/>
      <c r="AT306" s="245"/>
      <c r="AU306" s="146"/>
      <c r="AV306" s="195"/>
      <c r="AW306" s="195"/>
      <c r="AX306" s="152"/>
      <c r="AY306" s="157"/>
      <c r="AZ306" s="158" t="s">
        <v>1006</v>
      </c>
      <c r="BA306" s="158"/>
      <c r="BB306" s="189"/>
      <c r="BC306" s="189"/>
      <c r="BD306" s="189"/>
      <c r="BE306" s="190"/>
      <c r="BF306" s="187">
        <f t="shared" si="98"/>
        <v>0</v>
      </c>
      <c r="BG306" s="195"/>
      <c r="BH306" s="195"/>
    </row>
    <row r="307" spans="2:60" s="113" customFormat="1">
      <c r="B307" s="111"/>
      <c r="C307" s="110"/>
      <c r="D307" s="110" t="s">
        <v>71</v>
      </c>
      <c r="E307" s="110"/>
      <c r="F307" s="80" t="s">
        <v>1015</v>
      </c>
      <c r="G307" s="80"/>
      <c r="H307" s="80"/>
      <c r="I307" s="112"/>
      <c r="J307" s="80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AH307" s="152"/>
      <c r="AI307" s="157"/>
      <c r="AJ307" s="158" t="s">
        <v>71</v>
      </c>
      <c r="AK307" s="158"/>
      <c r="AL307" s="150"/>
      <c r="AM307" s="150"/>
      <c r="AN307" s="150"/>
      <c r="AO307" s="151"/>
      <c r="AP307" s="146"/>
      <c r="AQ307" s="146"/>
      <c r="AR307" s="146"/>
      <c r="AS307" s="245"/>
      <c r="AT307" s="245"/>
      <c r="AU307" s="146"/>
      <c r="AV307" s="195"/>
      <c r="AW307" s="195"/>
      <c r="AX307" s="152"/>
      <c r="AY307" s="157"/>
      <c r="AZ307" s="158" t="s">
        <v>71</v>
      </c>
      <c r="BA307" s="158"/>
      <c r="BB307" s="189"/>
      <c r="BC307" s="189"/>
      <c r="BD307" s="189"/>
      <c r="BE307" s="190"/>
      <c r="BF307" s="187">
        <f t="shared" si="98"/>
        <v>0</v>
      </c>
      <c r="BG307" s="195"/>
      <c r="BH307" s="195"/>
    </row>
    <row r="308" spans="2:60" s="113" customFormat="1">
      <c r="B308" s="111"/>
      <c r="C308" s="110"/>
      <c r="D308" s="110" t="s">
        <v>476</v>
      </c>
      <c r="E308" s="110"/>
      <c r="F308" s="80" t="s">
        <v>1016</v>
      </c>
      <c r="G308" s="80"/>
      <c r="H308" s="80"/>
      <c r="I308" s="112"/>
      <c r="J308" s="80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AH308" s="152"/>
      <c r="AI308" s="157"/>
      <c r="AJ308" s="158" t="s">
        <v>476</v>
      </c>
      <c r="AK308" s="158"/>
      <c r="AL308" s="150"/>
      <c r="AM308" s="150"/>
      <c r="AN308" s="150"/>
      <c r="AO308" s="151"/>
      <c r="AP308" s="146"/>
      <c r="AQ308" s="146"/>
      <c r="AR308" s="146"/>
      <c r="AS308" s="245"/>
      <c r="AT308" s="245"/>
      <c r="AU308" s="146"/>
      <c r="AV308" s="195"/>
      <c r="AW308" s="195"/>
      <c r="AX308" s="152"/>
      <c r="AY308" s="157"/>
      <c r="AZ308" s="158" t="s">
        <v>476</v>
      </c>
      <c r="BA308" s="158"/>
      <c r="BB308" s="189"/>
      <c r="BC308" s="189"/>
      <c r="BD308" s="189"/>
      <c r="BE308" s="190"/>
      <c r="BF308" s="187">
        <f t="shared" si="98"/>
        <v>0</v>
      </c>
      <c r="BG308" s="195"/>
      <c r="BH308" s="195"/>
    </row>
    <row r="309" spans="2:60" s="113" customFormat="1">
      <c r="B309" s="111"/>
      <c r="C309" s="110"/>
      <c r="D309" s="110" t="s">
        <v>1007</v>
      </c>
      <c r="E309" s="110"/>
      <c r="F309" s="80" t="s">
        <v>1017</v>
      </c>
      <c r="G309" s="80"/>
      <c r="H309" s="80"/>
      <c r="I309" s="112"/>
      <c r="J309" s="80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AH309" s="152"/>
      <c r="AI309" s="157"/>
      <c r="AJ309" s="158" t="s">
        <v>1007</v>
      </c>
      <c r="AK309" s="158"/>
      <c r="AL309" s="150"/>
      <c r="AM309" s="150"/>
      <c r="AN309" s="150"/>
      <c r="AO309" s="151"/>
      <c r="AP309" s="146"/>
      <c r="AQ309" s="146"/>
      <c r="AR309" s="146"/>
      <c r="AS309" s="245"/>
      <c r="AT309" s="245"/>
      <c r="AU309" s="146"/>
      <c r="AV309" s="195"/>
      <c r="AW309" s="195"/>
      <c r="AX309" s="152"/>
      <c r="AY309" s="157"/>
      <c r="AZ309" s="158" t="s">
        <v>1007</v>
      </c>
      <c r="BA309" s="158"/>
      <c r="BB309" s="189"/>
      <c r="BC309" s="189"/>
      <c r="BD309" s="189"/>
      <c r="BE309" s="190"/>
      <c r="BF309" s="187">
        <f t="shared" si="98"/>
        <v>0</v>
      </c>
      <c r="BG309" s="195"/>
      <c r="BH309" s="195"/>
    </row>
    <row r="310" spans="2:60" s="113" customFormat="1">
      <c r="B310" s="111"/>
      <c r="C310" s="110"/>
      <c r="D310" s="110" t="s">
        <v>77</v>
      </c>
      <c r="E310" s="110"/>
      <c r="F310" s="80" t="s">
        <v>1018</v>
      </c>
      <c r="G310" s="80"/>
      <c r="H310" s="80"/>
      <c r="I310" s="112"/>
      <c r="J310" s="80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AH310" s="152"/>
      <c r="AI310" s="157"/>
      <c r="AJ310" s="158" t="s">
        <v>77</v>
      </c>
      <c r="AK310" s="158"/>
      <c r="AL310" s="150"/>
      <c r="AM310" s="150"/>
      <c r="AN310" s="150"/>
      <c r="AO310" s="151"/>
      <c r="AP310" s="146"/>
      <c r="AQ310" s="146"/>
      <c r="AR310" s="146"/>
      <c r="AS310" s="245"/>
      <c r="AT310" s="245"/>
      <c r="AU310" s="146"/>
      <c r="AV310" s="195"/>
      <c r="AW310" s="195"/>
      <c r="AX310" s="152"/>
      <c r="AY310" s="157"/>
      <c r="AZ310" s="158" t="s">
        <v>77</v>
      </c>
      <c r="BA310" s="158"/>
      <c r="BB310" s="189"/>
      <c r="BC310" s="189"/>
      <c r="BD310" s="189"/>
      <c r="BE310" s="190"/>
      <c r="BF310" s="187">
        <f t="shared" si="98"/>
        <v>0</v>
      </c>
      <c r="BG310" s="195"/>
      <c r="BH310" s="195"/>
    </row>
    <row r="311" spans="2:60" s="113" customFormat="1">
      <c r="B311" s="111"/>
      <c r="C311" s="110"/>
      <c r="D311" s="110" t="s">
        <v>78</v>
      </c>
      <c r="E311" s="110"/>
      <c r="F311" s="80" t="s">
        <v>1019</v>
      </c>
      <c r="G311" s="80"/>
      <c r="H311" s="80"/>
      <c r="I311" s="112"/>
      <c r="J311" s="80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AH311" s="152"/>
      <c r="AI311" s="157"/>
      <c r="AJ311" s="158" t="s">
        <v>78</v>
      </c>
      <c r="AK311" s="158"/>
      <c r="AL311" s="150"/>
      <c r="AM311" s="150"/>
      <c r="AN311" s="150"/>
      <c r="AO311" s="151"/>
      <c r="AP311" s="146"/>
      <c r="AQ311" s="146"/>
      <c r="AR311" s="146"/>
      <c r="AS311" s="245"/>
      <c r="AT311" s="245"/>
      <c r="AU311" s="146"/>
      <c r="AV311" s="195"/>
      <c r="AW311" s="195"/>
      <c r="AX311" s="152"/>
      <c r="AY311" s="157"/>
      <c r="AZ311" s="158" t="s">
        <v>78</v>
      </c>
      <c r="BA311" s="158"/>
      <c r="BB311" s="189"/>
      <c r="BC311" s="189"/>
      <c r="BD311" s="189"/>
      <c r="BE311" s="190"/>
      <c r="BF311" s="187">
        <f t="shared" si="98"/>
        <v>0</v>
      </c>
      <c r="BG311" s="195"/>
      <c r="BH311" s="195"/>
    </row>
    <row r="312" spans="2:60" s="113" customFormat="1">
      <c r="B312" s="111"/>
      <c r="C312" s="110"/>
      <c r="D312" s="110" t="s">
        <v>79</v>
      </c>
      <c r="E312" s="110"/>
      <c r="F312" s="80" t="s">
        <v>1020</v>
      </c>
      <c r="G312" s="80"/>
      <c r="H312" s="80"/>
      <c r="I312" s="112"/>
      <c r="J312" s="80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AH312" s="152"/>
      <c r="AI312" s="157"/>
      <c r="AJ312" s="158" t="s">
        <v>79</v>
      </c>
      <c r="AK312" s="158"/>
      <c r="AL312" s="150"/>
      <c r="AM312" s="150"/>
      <c r="AN312" s="150"/>
      <c r="AO312" s="151"/>
      <c r="AP312" s="146"/>
      <c r="AQ312" s="146"/>
      <c r="AR312" s="146"/>
      <c r="AS312" s="245"/>
      <c r="AT312" s="245"/>
      <c r="AU312" s="146"/>
      <c r="AV312" s="195"/>
      <c r="AW312" s="195"/>
      <c r="AX312" s="152"/>
      <c r="AY312" s="157"/>
      <c r="AZ312" s="158" t="s">
        <v>79</v>
      </c>
      <c r="BA312" s="158"/>
      <c r="BB312" s="189"/>
      <c r="BC312" s="189"/>
      <c r="BD312" s="189"/>
      <c r="BE312" s="190"/>
      <c r="BF312" s="187">
        <f t="shared" si="98"/>
        <v>0</v>
      </c>
      <c r="BG312" s="195"/>
      <c r="BH312" s="195"/>
    </row>
    <row r="313" spans="2:60" s="113" customFormat="1">
      <c r="B313" s="111"/>
      <c r="C313" s="110"/>
      <c r="D313" s="110" t="s">
        <v>85</v>
      </c>
      <c r="E313" s="110"/>
      <c r="F313" s="80" t="s">
        <v>1021</v>
      </c>
      <c r="G313" s="80"/>
      <c r="H313" s="80"/>
      <c r="I313" s="112"/>
      <c r="J313" s="80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AH313" s="152"/>
      <c r="AI313" s="157"/>
      <c r="AJ313" s="158" t="s">
        <v>85</v>
      </c>
      <c r="AK313" s="158"/>
      <c r="AL313" s="150"/>
      <c r="AM313" s="150"/>
      <c r="AN313" s="150"/>
      <c r="AO313" s="151"/>
      <c r="AP313" s="146"/>
      <c r="AQ313" s="146"/>
      <c r="AR313" s="146"/>
      <c r="AS313" s="245"/>
      <c r="AT313" s="245"/>
      <c r="AU313" s="146"/>
      <c r="AV313" s="195"/>
      <c r="AW313" s="195"/>
      <c r="AX313" s="152"/>
      <c r="AY313" s="157"/>
      <c r="AZ313" s="158" t="s">
        <v>85</v>
      </c>
      <c r="BA313" s="158"/>
      <c r="BB313" s="189"/>
      <c r="BC313" s="189"/>
      <c r="BD313" s="189"/>
      <c r="BE313" s="190"/>
      <c r="BF313" s="187">
        <f t="shared" si="98"/>
        <v>0</v>
      </c>
      <c r="BG313" s="195"/>
      <c r="BH313" s="195"/>
    </row>
    <row r="314" spans="2:60" s="113" customFormat="1">
      <c r="B314" s="111"/>
      <c r="C314" s="110"/>
      <c r="D314" s="110" t="s">
        <v>86</v>
      </c>
      <c r="E314" s="110"/>
      <c r="F314" s="80" t="s">
        <v>1022</v>
      </c>
      <c r="G314" s="80"/>
      <c r="H314" s="80"/>
      <c r="I314" s="112"/>
      <c r="J314" s="80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AH314" s="152"/>
      <c r="AI314" s="157"/>
      <c r="AJ314" s="158" t="s">
        <v>86</v>
      </c>
      <c r="AK314" s="158"/>
      <c r="AL314" s="150"/>
      <c r="AM314" s="150"/>
      <c r="AN314" s="150"/>
      <c r="AO314" s="151"/>
      <c r="AP314" s="146"/>
      <c r="AQ314" s="146"/>
      <c r="AR314" s="146"/>
      <c r="AS314" s="245"/>
      <c r="AT314" s="245"/>
      <c r="AU314" s="146"/>
      <c r="AV314" s="195"/>
      <c r="AW314" s="195"/>
      <c r="AX314" s="152"/>
      <c r="AY314" s="157"/>
      <c r="AZ314" s="158" t="s">
        <v>86</v>
      </c>
      <c r="BA314" s="158"/>
      <c r="BB314" s="189"/>
      <c r="BC314" s="189"/>
      <c r="BD314" s="189"/>
      <c r="BE314" s="190"/>
      <c r="BF314" s="187">
        <f t="shared" si="98"/>
        <v>0</v>
      </c>
      <c r="BG314" s="195"/>
      <c r="BH314" s="195"/>
    </row>
    <row r="315" spans="2:60" s="113" customFormat="1">
      <c r="B315" s="111"/>
      <c r="C315" s="110"/>
      <c r="D315" s="110" t="s">
        <v>87</v>
      </c>
      <c r="E315" s="110"/>
      <c r="F315" s="80" t="s">
        <v>1023</v>
      </c>
      <c r="G315" s="80"/>
      <c r="H315" s="80"/>
      <c r="I315" s="112"/>
      <c r="J315" s="80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AH315" s="152"/>
      <c r="AI315" s="157"/>
      <c r="AJ315" s="158" t="s">
        <v>87</v>
      </c>
      <c r="AK315" s="158"/>
      <c r="AL315" s="150"/>
      <c r="AM315" s="150"/>
      <c r="AN315" s="150"/>
      <c r="AO315" s="151"/>
      <c r="AP315" s="146"/>
      <c r="AQ315" s="146"/>
      <c r="AR315" s="146"/>
      <c r="AS315" s="245"/>
      <c r="AT315" s="245"/>
      <c r="AU315" s="146"/>
      <c r="AV315" s="195"/>
      <c r="AW315" s="195"/>
      <c r="AX315" s="152"/>
      <c r="AY315" s="157"/>
      <c r="AZ315" s="158" t="s">
        <v>87</v>
      </c>
      <c r="BA315" s="158"/>
      <c r="BB315" s="189"/>
      <c r="BC315" s="189"/>
      <c r="BD315" s="189"/>
      <c r="BE315" s="190"/>
      <c r="BF315" s="187">
        <f t="shared" si="98"/>
        <v>0</v>
      </c>
      <c r="BG315" s="195"/>
      <c r="BH315" s="195"/>
    </row>
    <row r="316" spans="2:60" s="113" customFormat="1">
      <c r="B316" s="111"/>
      <c r="C316" s="110"/>
      <c r="D316" s="110" t="s">
        <v>88</v>
      </c>
      <c r="E316" s="110"/>
      <c r="F316" s="80" t="s">
        <v>1024</v>
      </c>
      <c r="G316" s="80"/>
      <c r="H316" s="80"/>
      <c r="I316" s="112"/>
      <c r="J316" s="80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AH316" s="152"/>
      <c r="AI316" s="157"/>
      <c r="AJ316" s="158" t="s">
        <v>88</v>
      </c>
      <c r="AK316" s="158"/>
      <c r="AL316" s="150"/>
      <c r="AM316" s="150"/>
      <c r="AN316" s="150"/>
      <c r="AO316" s="151"/>
      <c r="AP316" s="146"/>
      <c r="AQ316" s="146"/>
      <c r="AR316" s="146"/>
      <c r="AS316" s="245"/>
      <c r="AT316" s="245"/>
      <c r="AU316" s="146"/>
      <c r="AV316" s="195"/>
      <c r="AW316" s="195"/>
      <c r="AX316" s="152"/>
      <c r="AY316" s="157"/>
      <c r="AZ316" s="158" t="s">
        <v>88</v>
      </c>
      <c r="BA316" s="158"/>
      <c r="BB316" s="189"/>
      <c r="BC316" s="189"/>
      <c r="BD316" s="189"/>
      <c r="BE316" s="190"/>
      <c r="BF316" s="187">
        <f t="shared" si="98"/>
        <v>0</v>
      </c>
      <c r="BG316" s="195"/>
      <c r="BH316" s="195"/>
    </row>
    <row r="317" spans="2:60" s="113" customFormat="1">
      <c r="B317" s="111"/>
      <c r="C317" s="110"/>
      <c r="D317" s="110" t="s">
        <v>1008</v>
      </c>
      <c r="E317" s="110"/>
      <c r="F317" s="80" t="s">
        <v>1025</v>
      </c>
      <c r="G317" s="80"/>
      <c r="H317" s="80"/>
      <c r="I317" s="112"/>
      <c r="J317" s="80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AH317" s="152"/>
      <c r="AI317" s="157"/>
      <c r="AJ317" s="158" t="s">
        <v>1008</v>
      </c>
      <c r="AK317" s="158"/>
      <c r="AL317" s="150"/>
      <c r="AM317" s="150"/>
      <c r="AN317" s="150"/>
      <c r="AO317" s="151"/>
      <c r="AP317" s="146"/>
      <c r="AQ317" s="146"/>
      <c r="AR317" s="146"/>
      <c r="AS317" s="245"/>
      <c r="AT317" s="245"/>
      <c r="AU317" s="146"/>
      <c r="AV317" s="195"/>
      <c r="AW317" s="195"/>
      <c r="AX317" s="152"/>
      <c r="AY317" s="157"/>
      <c r="AZ317" s="158" t="s">
        <v>1008</v>
      </c>
      <c r="BA317" s="158"/>
      <c r="BB317" s="189"/>
      <c r="BC317" s="189"/>
      <c r="BD317" s="189"/>
      <c r="BE317" s="190"/>
      <c r="BF317" s="187">
        <f t="shared" si="98"/>
        <v>0</v>
      </c>
      <c r="BG317" s="195"/>
      <c r="BH317" s="195"/>
    </row>
    <row r="318" spans="2:60" s="113" customFormat="1">
      <c r="B318" s="111"/>
      <c r="C318" s="110"/>
      <c r="D318" s="110" t="s">
        <v>90</v>
      </c>
      <c r="E318" s="110"/>
      <c r="F318" s="80" t="s">
        <v>1026</v>
      </c>
      <c r="G318" s="80"/>
      <c r="H318" s="80"/>
      <c r="I318" s="112"/>
      <c r="J318" s="80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AH318" s="152"/>
      <c r="AI318" s="157"/>
      <c r="AJ318" s="158" t="s">
        <v>90</v>
      </c>
      <c r="AK318" s="158"/>
      <c r="AL318" s="150"/>
      <c r="AM318" s="150"/>
      <c r="AN318" s="150"/>
      <c r="AO318" s="151"/>
      <c r="AP318" s="146"/>
      <c r="AQ318" s="146"/>
      <c r="AR318" s="146"/>
      <c r="AS318" s="245"/>
      <c r="AT318" s="245"/>
      <c r="AU318" s="146"/>
      <c r="AV318" s="195"/>
      <c r="AW318" s="195"/>
      <c r="AX318" s="152"/>
      <c r="AY318" s="157"/>
      <c r="AZ318" s="158" t="s">
        <v>90</v>
      </c>
      <c r="BA318" s="158"/>
      <c r="BB318" s="189"/>
      <c r="BC318" s="189"/>
      <c r="BD318" s="189"/>
      <c r="BE318" s="190"/>
      <c r="BF318" s="187">
        <f t="shared" si="98"/>
        <v>0</v>
      </c>
      <c r="BG318" s="195"/>
      <c r="BH318" s="195"/>
    </row>
    <row r="319" spans="2:60" s="113" customFormat="1">
      <c r="B319" s="111"/>
      <c r="C319" s="110"/>
      <c r="D319" s="110" t="s">
        <v>91</v>
      </c>
      <c r="E319" s="110"/>
      <c r="F319" s="80" t="s">
        <v>1027</v>
      </c>
      <c r="G319" s="80"/>
      <c r="H319" s="80"/>
      <c r="I319" s="112"/>
      <c r="J319" s="80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AH319" s="152"/>
      <c r="AI319" s="157"/>
      <c r="AJ319" s="158" t="s">
        <v>91</v>
      </c>
      <c r="AK319" s="158"/>
      <c r="AL319" s="150"/>
      <c r="AM319" s="150"/>
      <c r="AN319" s="150"/>
      <c r="AO319" s="151"/>
      <c r="AP319" s="146"/>
      <c r="AQ319" s="146"/>
      <c r="AR319" s="146"/>
      <c r="AS319" s="245"/>
      <c r="AT319" s="245"/>
      <c r="AU319" s="146"/>
      <c r="AV319" s="195"/>
      <c r="AW319" s="195"/>
      <c r="AX319" s="152"/>
      <c r="AY319" s="157"/>
      <c r="AZ319" s="158" t="s">
        <v>91</v>
      </c>
      <c r="BA319" s="158"/>
      <c r="BB319" s="189"/>
      <c r="BC319" s="189"/>
      <c r="BD319" s="189"/>
      <c r="BE319" s="190"/>
      <c r="BF319" s="187">
        <f t="shared" si="98"/>
        <v>0</v>
      </c>
      <c r="BG319" s="195"/>
      <c r="BH319" s="195"/>
    </row>
    <row r="320" spans="2:60" s="113" customFormat="1">
      <c r="B320" s="111"/>
      <c r="C320" s="110"/>
      <c r="D320" s="110" t="s">
        <v>92</v>
      </c>
      <c r="E320" s="110"/>
      <c r="F320" s="80" t="s">
        <v>1028</v>
      </c>
      <c r="G320" s="80"/>
      <c r="H320" s="80"/>
      <c r="I320" s="112"/>
      <c r="J320" s="80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AH320" s="152"/>
      <c r="AI320" s="157"/>
      <c r="AJ320" s="158" t="s">
        <v>92</v>
      </c>
      <c r="AK320" s="158"/>
      <c r="AL320" s="150"/>
      <c r="AM320" s="150"/>
      <c r="AN320" s="150"/>
      <c r="AO320" s="151"/>
      <c r="AP320" s="146"/>
      <c r="AQ320" s="146"/>
      <c r="AR320" s="146"/>
      <c r="AS320" s="245"/>
      <c r="AT320" s="245"/>
      <c r="AU320" s="146"/>
      <c r="AV320" s="195"/>
      <c r="AW320" s="195"/>
      <c r="AX320" s="152"/>
      <c r="AY320" s="157"/>
      <c r="AZ320" s="158" t="s">
        <v>92</v>
      </c>
      <c r="BA320" s="158"/>
      <c r="BB320" s="189"/>
      <c r="BC320" s="189"/>
      <c r="BD320" s="189"/>
      <c r="BE320" s="190"/>
      <c r="BF320" s="187">
        <f t="shared" si="98"/>
        <v>0</v>
      </c>
      <c r="BG320" s="195"/>
      <c r="BH320" s="195"/>
    </row>
    <row r="321" spans="1:75" s="113" customFormat="1">
      <c r="B321" s="111"/>
      <c r="C321" s="110"/>
      <c r="D321" s="110" t="s">
        <v>1009</v>
      </c>
      <c r="E321" s="110"/>
      <c r="F321" s="80" t="s">
        <v>1029</v>
      </c>
      <c r="G321" s="80"/>
      <c r="H321" s="80"/>
      <c r="I321" s="112"/>
      <c r="J321" s="80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AH321" s="152"/>
      <c r="AI321" s="157"/>
      <c r="AJ321" s="158" t="s">
        <v>1009</v>
      </c>
      <c r="AK321" s="158"/>
      <c r="AL321" s="150"/>
      <c r="AM321" s="150"/>
      <c r="AN321" s="150"/>
      <c r="AO321" s="151"/>
      <c r="AP321" s="146"/>
      <c r="AQ321" s="146"/>
      <c r="AR321" s="146"/>
      <c r="AS321" s="245"/>
      <c r="AT321" s="245"/>
      <c r="AU321" s="146"/>
      <c r="AV321" s="195"/>
      <c r="AW321" s="195"/>
      <c r="AX321" s="152"/>
      <c r="AY321" s="157"/>
      <c r="AZ321" s="158" t="s">
        <v>1009</v>
      </c>
      <c r="BA321" s="158"/>
      <c r="BB321" s="189"/>
      <c r="BC321" s="189"/>
      <c r="BD321" s="189"/>
      <c r="BE321" s="190"/>
      <c r="BF321" s="187">
        <f t="shared" si="98"/>
        <v>0</v>
      </c>
      <c r="BG321" s="195"/>
      <c r="BH321" s="195"/>
    </row>
    <row r="322" spans="1:75" s="113" customFormat="1">
      <c r="B322" s="111"/>
      <c r="C322" s="110"/>
      <c r="D322" s="110" t="s">
        <v>97</v>
      </c>
      <c r="E322" s="110"/>
      <c r="F322" s="80" t="s">
        <v>1030</v>
      </c>
      <c r="G322" s="80"/>
      <c r="H322" s="80"/>
      <c r="I322" s="112"/>
      <c r="J322" s="80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AH322" s="152"/>
      <c r="AI322" s="157"/>
      <c r="AJ322" s="158" t="s">
        <v>97</v>
      </c>
      <c r="AK322" s="158"/>
      <c r="AL322" s="150"/>
      <c r="AM322" s="150"/>
      <c r="AN322" s="150"/>
      <c r="AO322" s="151"/>
      <c r="AP322" s="146"/>
      <c r="AQ322" s="146"/>
      <c r="AR322" s="146"/>
      <c r="AS322" s="245"/>
      <c r="AT322" s="245"/>
      <c r="AU322" s="146"/>
      <c r="AV322" s="195"/>
      <c r="AW322" s="195"/>
      <c r="AX322" s="152"/>
      <c r="AY322" s="157"/>
      <c r="AZ322" s="158" t="s">
        <v>97</v>
      </c>
      <c r="BA322" s="158"/>
      <c r="BB322" s="189"/>
      <c r="BC322" s="189"/>
      <c r="BD322" s="189"/>
      <c r="BE322" s="190"/>
      <c r="BF322" s="187">
        <f t="shared" si="98"/>
        <v>0</v>
      </c>
      <c r="BG322" s="195"/>
      <c r="BH322" s="195"/>
    </row>
    <row r="323" spans="1:75" s="113" customFormat="1">
      <c r="B323" s="111"/>
      <c r="C323" s="110"/>
      <c r="D323" s="110" t="s">
        <v>98</v>
      </c>
      <c r="E323" s="110"/>
      <c r="F323" s="80" t="s">
        <v>1031</v>
      </c>
      <c r="G323" s="80"/>
      <c r="H323" s="80"/>
      <c r="I323" s="112"/>
      <c r="J323" s="80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AH323" s="152"/>
      <c r="AI323" s="157"/>
      <c r="AJ323" s="158" t="s">
        <v>98</v>
      </c>
      <c r="AK323" s="158"/>
      <c r="AL323" s="150"/>
      <c r="AM323" s="150"/>
      <c r="AN323" s="150"/>
      <c r="AO323" s="151"/>
      <c r="AP323" s="146"/>
      <c r="AQ323" s="146"/>
      <c r="AR323" s="146"/>
      <c r="AS323" s="245"/>
      <c r="AT323" s="245"/>
      <c r="AU323" s="146"/>
      <c r="AV323" s="195"/>
      <c r="AW323" s="195"/>
      <c r="AX323" s="152"/>
      <c r="AY323" s="157"/>
      <c r="AZ323" s="158" t="s">
        <v>98</v>
      </c>
      <c r="BA323" s="158"/>
      <c r="BB323" s="189"/>
      <c r="BC323" s="189"/>
      <c r="BD323" s="189"/>
      <c r="BE323" s="190"/>
      <c r="BF323" s="187">
        <f t="shared" si="98"/>
        <v>0</v>
      </c>
      <c r="BG323" s="195"/>
      <c r="BH323" s="195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13" customFormat="1">
      <c r="B324" s="111"/>
      <c r="C324" s="110"/>
      <c r="D324" s="110" t="s">
        <v>99</v>
      </c>
      <c r="E324" s="110"/>
      <c r="F324" s="80" t="s">
        <v>1032</v>
      </c>
      <c r="G324" s="80"/>
      <c r="H324" s="80"/>
      <c r="I324" s="112"/>
      <c r="J324" s="80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AH324" s="152"/>
      <c r="AI324" s="157"/>
      <c r="AJ324" s="158" t="s">
        <v>99</v>
      </c>
      <c r="AK324" s="158"/>
      <c r="AL324" s="150"/>
      <c r="AM324" s="150"/>
      <c r="AN324" s="150"/>
      <c r="AO324" s="151"/>
      <c r="AP324" s="146"/>
      <c r="AQ324" s="146"/>
      <c r="AR324" s="146"/>
      <c r="AS324" s="245"/>
      <c r="AT324" s="245"/>
      <c r="AU324" s="146"/>
      <c r="AV324" s="195"/>
      <c r="AW324" s="195"/>
      <c r="AX324" s="152"/>
      <c r="AY324" s="157"/>
      <c r="AZ324" s="158" t="s">
        <v>99</v>
      </c>
      <c r="BA324" s="158"/>
      <c r="BB324" s="189"/>
      <c r="BC324" s="189"/>
      <c r="BD324" s="189"/>
      <c r="BE324" s="190"/>
      <c r="BF324" s="187">
        <f t="shared" si="98"/>
        <v>0</v>
      </c>
      <c r="BG324" s="195"/>
      <c r="BH324" s="195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>
      <c r="A325" s="113"/>
      <c r="B325" s="111"/>
      <c r="C325" s="110"/>
      <c r="D325" s="110" t="s">
        <v>100</v>
      </c>
      <c r="E325" s="110"/>
      <c r="F325" s="80" t="s">
        <v>1033</v>
      </c>
      <c r="G325" s="80"/>
      <c r="H325" s="80"/>
      <c r="I325" s="112"/>
      <c r="J325" s="80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113"/>
      <c r="Z325" s="113"/>
      <c r="AA325" s="113"/>
      <c r="AB325" s="113"/>
      <c r="AC325" s="113"/>
      <c r="AD325" s="113"/>
      <c r="AE325" s="113"/>
      <c r="AF325" s="113"/>
      <c r="AG325" s="113"/>
      <c r="AH325" s="152"/>
      <c r="AI325" s="157"/>
      <c r="AJ325" s="158" t="s">
        <v>100</v>
      </c>
      <c r="AK325" s="158"/>
      <c r="AL325" s="150"/>
      <c r="AM325" s="150"/>
      <c r="AN325" s="150"/>
      <c r="AO325" s="151"/>
      <c r="AP325" s="146"/>
      <c r="AQ325" s="146"/>
      <c r="AR325" s="146"/>
      <c r="AS325" s="245"/>
      <c r="AT325" s="245"/>
      <c r="AU325" s="146"/>
      <c r="AX325" s="152"/>
      <c r="AY325" s="157"/>
      <c r="AZ325" s="158" t="s">
        <v>100</v>
      </c>
      <c r="BA325" s="158"/>
      <c r="BB325" s="189"/>
      <c r="BC325" s="189"/>
      <c r="BD325" s="189"/>
      <c r="BE325" s="190"/>
      <c r="BF325" s="187">
        <f t="shared" si="98"/>
        <v>0</v>
      </c>
    </row>
    <row r="326" spans="1:75">
      <c r="B326" s="28" t="s">
        <v>744</v>
      </c>
      <c r="C326" s="29" t="s">
        <v>690</v>
      </c>
      <c r="D326" s="29"/>
      <c r="E326" s="29"/>
      <c r="F326" s="28"/>
      <c r="G326" s="28"/>
      <c r="H326" s="28"/>
      <c r="I326" s="65"/>
      <c r="J326" s="28"/>
      <c r="K326" s="66" t="e">
        <f t="shared" ref="K326:Q326" si="99">+K327</f>
        <v>#REF!</v>
      </c>
      <c r="L326" s="66" t="e">
        <f t="shared" si="99"/>
        <v>#REF!</v>
      </c>
      <c r="M326" s="66" t="e">
        <f t="shared" si="99"/>
        <v>#REF!</v>
      </c>
      <c r="N326" s="66" t="e">
        <f t="shared" si="99"/>
        <v>#REF!</v>
      </c>
      <c r="O326" s="66" t="e">
        <f t="shared" si="99"/>
        <v>#REF!</v>
      </c>
      <c r="P326" s="66" t="e">
        <f t="shared" si="99"/>
        <v>#REF!</v>
      </c>
      <c r="Q326" s="66" t="e">
        <f t="shared" si="99"/>
        <v>#REF!</v>
      </c>
      <c r="R326" s="66" t="e">
        <f t="shared" ref="R326:R382" si="100">O326+Q326-P326</f>
        <v>#REF!</v>
      </c>
      <c r="S326" s="66"/>
      <c r="T326" s="66"/>
      <c r="U326" s="66" t="e">
        <f>+U327</f>
        <v>#REF!</v>
      </c>
      <c r="V326" s="66" t="e">
        <f>+V327</f>
        <v>#REF!</v>
      </c>
      <c r="W326" s="66" t="e">
        <f>+W327</f>
        <v>#REF!</v>
      </c>
      <c r="X326" s="66" t="e">
        <f>+X327</f>
        <v>#REF!</v>
      </c>
      <c r="AH326" s="147" t="s">
        <v>744</v>
      </c>
      <c r="AI326" s="148" t="s">
        <v>690</v>
      </c>
      <c r="AJ326" s="160"/>
      <c r="AK326" s="160"/>
      <c r="AL326" s="149"/>
      <c r="AM326" s="150"/>
      <c r="AN326" s="150"/>
      <c r="AO326" s="151"/>
      <c r="AP326" s="146">
        <f t="shared" ref="AP326:AU326" si="101">AP327</f>
        <v>0</v>
      </c>
      <c r="AQ326" s="146">
        <f t="shared" si="101"/>
        <v>0</v>
      </c>
      <c r="AR326" s="146">
        <f t="shared" si="101"/>
        <v>0</v>
      </c>
      <c r="AS326" s="245"/>
      <c r="AT326" s="245"/>
      <c r="AU326" s="146">
        <f t="shared" si="101"/>
        <v>0</v>
      </c>
      <c r="AX326" s="147" t="s">
        <v>744</v>
      </c>
      <c r="AY326" s="148" t="s">
        <v>690</v>
      </c>
      <c r="AZ326" s="160"/>
      <c r="BA326" s="160"/>
      <c r="BB326" s="149"/>
      <c r="BC326" s="189"/>
      <c r="BD326" s="189"/>
      <c r="BE326" s="190"/>
      <c r="BF326" s="187">
        <f>BF327</f>
        <v>0</v>
      </c>
    </row>
    <row r="327" spans="1:75">
      <c r="B327" s="31"/>
      <c r="C327" s="30" t="s">
        <v>748</v>
      </c>
      <c r="D327" s="30"/>
      <c r="E327" s="30"/>
      <c r="F327" s="33"/>
      <c r="G327" s="33"/>
      <c r="H327" s="33"/>
      <c r="I327" s="67"/>
      <c r="J327" s="33"/>
      <c r="K327" s="69" t="e">
        <f t="shared" ref="K327:Q327" si="102">SUM(K328:K334)</f>
        <v>#REF!</v>
      </c>
      <c r="L327" s="69" t="e">
        <f t="shared" si="102"/>
        <v>#REF!</v>
      </c>
      <c r="M327" s="69" t="e">
        <f t="shared" si="102"/>
        <v>#REF!</v>
      </c>
      <c r="N327" s="69" t="e">
        <f t="shared" si="102"/>
        <v>#REF!</v>
      </c>
      <c r="O327" s="69" t="e">
        <f t="shared" si="102"/>
        <v>#REF!</v>
      </c>
      <c r="P327" s="69" t="e">
        <f t="shared" si="102"/>
        <v>#REF!</v>
      </c>
      <c r="Q327" s="69" t="e">
        <f t="shared" si="102"/>
        <v>#REF!</v>
      </c>
      <c r="R327" s="69" t="e">
        <f t="shared" si="100"/>
        <v>#REF!</v>
      </c>
      <c r="S327" s="69"/>
      <c r="T327" s="69"/>
      <c r="U327" s="69" t="e">
        <f>SUM(U328:U334)</f>
        <v>#REF!</v>
      </c>
      <c r="V327" s="69" t="e">
        <f>SUM(V328:V334)</f>
        <v>#REF!</v>
      </c>
      <c r="W327" s="69" t="e">
        <f>SUM(W328:W334)</f>
        <v>#REF!</v>
      </c>
      <c r="X327" s="69" t="e">
        <f>SUM(X328:X334)</f>
        <v>#REF!</v>
      </c>
      <c r="AH327" s="152"/>
      <c r="AI327" s="157" t="s">
        <v>748</v>
      </c>
      <c r="AJ327" s="158"/>
      <c r="AK327" s="158"/>
      <c r="AL327" s="155"/>
      <c r="AM327" s="150"/>
      <c r="AN327" s="150"/>
      <c r="AO327" s="151"/>
      <c r="AP327" s="146">
        <f t="shared" ref="AP327:AU327" si="103">SUM(AP328:AP334)</f>
        <v>0</v>
      </c>
      <c r="AQ327" s="146">
        <f t="shared" si="103"/>
        <v>0</v>
      </c>
      <c r="AR327" s="146">
        <f t="shared" si="103"/>
        <v>0</v>
      </c>
      <c r="AS327" s="245"/>
      <c r="AT327" s="245"/>
      <c r="AU327" s="146">
        <f t="shared" si="103"/>
        <v>0</v>
      </c>
      <c r="AX327" s="152"/>
      <c r="AY327" s="157" t="s">
        <v>748</v>
      </c>
      <c r="AZ327" s="158"/>
      <c r="BA327" s="158"/>
      <c r="BB327" s="155"/>
      <c r="BC327" s="189"/>
      <c r="BD327" s="189"/>
      <c r="BE327" s="190"/>
      <c r="BF327" s="187">
        <f>SUM(BF328:BF334)</f>
        <v>0</v>
      </c>
    </row>
    <row r="328" spans="1:75">
      <c r="B328" s="31"/>
      <c r="C328" s="30"/>
      <c r="D328" s="30" t="s">
        <v>423</v>
      </c>
      <c r="E328" s="30"/>
      <c r="F328" s="33" t="s">
        <v>837</v>
      </c>
      <c r="G328" s="33" t="s">
        <v>827</v>
      </c>
      <c r="H328" s="33"/>
      <c r="I328" s="67">
        <v>1</v>
      </c>
      <c r="J328" s="33"/>
      <c r="K328" s="69" t="e">
        <f>+GETPIVOTDATA("PPEF 2010 ",#REF!,"No. Ramo",20,"IPP","S","PP",176)</f>
        <v>#REF!</v>
      </c>
      <c r="L328" s="69" t="e">
        <f>+GETPIVOTDATA("Ampliación Neta DIP ",#REF!,"No. Ramo",20,"IPP","S","PP",176)</f>
        <v>#REF!</v>
      </c>
      <c r="M328" s="69" t="e">
        <f>+GETPIVOTDATA("Recorte SHCP ",#REF!,"No. Ramo",20,"IPP","S","PP",176)</f>
        <v>#REF!</v>
      </c>
      <c r="N328" s="69" t="e">
        <f>+GETPIVOTDATA("PEF 2010 ",#REF!,"No. Ramo",20,"IPP","S","PP",176)</f>
        <v>#REF!</v>
      </c>
      <c r="O328" s="69" t="e">
        <f>+GETPIVOTDATA("PPEF 2011 ",#REF!,"No. Ramo",20,"IPP","S","PP",176)</f>
        <v>#REF!</v>
      </c>
      <c r="P328" s="69" t="e">
        <f>+GETPIVOTDATA("Reducción ",#REF!,"No. Ramo",20,"IPP","S","PP",176)</f>
        <v>#REF!</v>
      </c>
      <c r="Q328" s="69" t="e">
        <f>+GETPIVOTDATA("Ampliación ",#REF!,"No. Ramo",20,"IPP","S","PP",176)</f>
        <v>#REF!</v>
      </c>
      <c r="R328" s="69" t="e">
        <f t="shared" si="100"/>
        <v>#REF!</v>
      </c>
      <c r="S328" s="69"/>
      <c r="T328" s="69"/>
      <c r="U328" s="69" t="e">
        <f t="shared" ref="U328:X382" si="104">+$I328*O328</f>
        <v>#REF!</v>
      </c>
      <c r="V328" s="69" t="e">
        <f t="shared" si="104"/>
        <v>#REF!</v>
      </c>
      <c r="W328" s="69" t="e">
        <f t="shared" si="104"/>
        <v>#REF!</v>
      </c>
      <c r="X328" s="69" t="e">
        <f t="shared" si="104"/>
        <v>#REF!</v>
      </c>
      <c r="AH328" s="152"/>
      <c r="AI328" s="157"/>
      <c r="AJ328" s="158" t="s">
        <v>423</v>
      </c>
      <c r="AK328" s="158"/>
      <c r="AL328" s="150"/>
      <c r="AM328" s="150"/>
      <c r="AN328" s="150"/>
      <c r="AO328" s="151"/>
      <c r="AP328" s="146"/>
      <c r="AQ328" s="146"/>
      <c r="AR328" s="146"/>
      <c r="AS328" s="245"/>
      <c r="AT328" s="245"/>
      <c r="AU328" s="146"/>
      <c r="AX328" s="152"/>
      <c r="AY328" s="157"/>
      <c r="AZ328" s="158" t="s">
        <v>423</v>
      </c>
      <c r="BA328" s="158"/>
      <c r="BB328" s="189"/>
      <c r="BC328" s="189"/>
      <c r="BD328" s="189"/>
      <c r="BE328" s="190"/>
      <c r="BF328" s="187">
        <f t="shared" ref="BF328:BF334" si="105">+AU328</f>
        <v>0</v>
      </c>
    </row>
    <row r="329" spans="1:75">
      <c r="B329" s="31"/>
      <c r="C329" s="30"/>
      <c r="D329" s="30" t="s">
        <v>424</v>
      </c>
      <c r="E329" s="30"/>
      <c r="F329" s="33" t="s">
        <v>838</v>
      </c>
      <c r="G329" s="33" t="s">
        <v>827</v>
      </c>
      <c r="H329" s="33"/>
      <c r="I329" s="67">
        <v>1</v>
      </c>
      <c r="J329" s="33"/>
      <c r="K329" s="69" t="e">
        <f>+GETPIVOTDATA("PPEF 2010 ",#REF!,"No. Ramo",20,"IPP","S","PP",216)</f>
        <v>#REF!</v>
      </c>
      <c r="L329" s="69" t="e">
        <f>+GETPIVOTDATA("Ampliación Neta DIP ",#REF!,"No. Ramo",20,"IPP","S","PP",216)</f>
        <v>#REF!</v>
      </c>
      <c r="M329" s="69" t="e">
        <f>+GETPIVOTDATA("Recorte SHCP ",#REF!,"No. Ramo",20,"IPP","S","PP",216)</f>
        <v>#REF!</v>
      </c>
      <c r="N329" s="69" t="e">
        <f>+GETPIVOTDATA("PEF 2010 ",#REF!,"No. Ramo",20,"IPP","S","PP",216)</f>
        <v>#REF!</v>
      </c>
      <c r="O329" s="69" t="e">
        <f>+GETPIVOTDATA("PPEF 2011 ",#REF!,"No. Ramo",20,"IPP","S","PP",216)</f>
        <v>#REF!</v>
      </c>
      <c r="P329" s="69" t="e">
        <f>+GETPIVOTDATA("Reducción ",#REF!,"No. Ramo",20,"IPP","S","PP",216)</f>
        <v>#REF!</v>
      </c>
      <c r="Q329" s="69" t="e">
        <f>+GETPIVOTDATA("Ampliación ",#REF!,"No. Ramo",20,"IPP","S","PP",216)</f>
        <v>#REF!</v>
      </c>
      <c r="R329" s="69" t="e">
        <f t="shared" si="100"/>
        <v>#REF!</v>
      </c>
      <c r="S329" s="69"/>
      <c r="T329" s="69"/>
      <c r="U329" s="69" t="e">
        <f t="shared" si="104"/>
        <v>#REF!</v>
      </c>
      <c r="V329" s="69" t="e">
        <f t="shared" si="104"/>
        <v>#REF!</v>
      </c>
      <c r="W329" s="69" t="e">
        <f t="shared" si="104"/>
        <v>#REF!</v>
      </c>
      <c r="X329" s="69" t="e">
        <f t="shared" si="104"/>
        <v>#REF!</v>
      </c>
      <c r="AH329" s="152"/>
      <c r="AI329" s="157"/>
      <c r="AJ329" s="158" t="s">
        <v>424</v>
      </c>
      <c r="AK329" s="158"/>
      <c r="AL329" s="150"/>
      <c r="AM329" s="150"/>
      <c r="AN329" s="150"/>
      <c r="AO329" s="151"/>
      <c r="AP329" s="146"/>
      <c r="AQ329" s="146"/>
      <c r="AR329" s="146"/>
      <c r="AS329" s="245"/>
      <c r="AT329" s="245"/>
      <c r="AU329" s="146"/>
      <c r="AX329" s="152"/>
      <c r="AY329" s="157"/>
      <c r="AZ329" s="158" t="s">
        <v>424</v>
      </c>
      <c r="BA329" s="158"/>
      <c r="BB329" s="189"/>
      <c r="BC329" s="189"/>
      <c r="BD329" s="189"/>
      <c r="BE329" s="190"/>
      <c r="BF329" s="187">
        <f t="shared" si="105"/>
        <v>0</v>
      </c>
    </row>
    <row r="330" spans="1:75">
      <c r="B330" s="31"/>
      <c r="C330" s="30"/>
      <c r="D330" s="30" t="s">
        <v>749</v>
      </c>
      <c r="E330" s="30"/>
      <c r="F330" s="33" t="s">
        <v>839</v>
      </c>
      <c r="G330" s="33" t="s">
        <v>827</v>
      </c>
      <c r="H330" s="33"/>
      <c r="I330" s="67">
        <v>1</v>
      </c>
      <c r="J330" s="33"/>
      <c r="K330" s="69" t="e">
        <f>+GETPIVOTDATA("PPEF 2010 ",#REF!,"No. Ramo",20,"IPP","S","PP",65)</f>
        <v>#REF!</v>
      </c>
      <c r="L330" s="69" t="e">
        <f>+GETPIVOTDATA("Ampliación Neta DIP ",#REF!,"No. Ramo",20,"IPP","S","PP",65)</f>
        <v>#REF!</v>
      </c>
      <c r="M330" s="69" t="e">
        <f>+GETPIVOTDATA("Recorte SHCP ",#REF!,"No. Ramo",20,"IPP","S","PP",65)</f>
        <v>#REF!</v>
      </c>
      <c r="N330" s="69" t="e">
        <f>+GETPIVOTDATA("PEF 2010 ",#REF!,"No. Ramo",20,"IPP","S","PP",65)</f>
        <v>#REF!</v>
      </c>
      <c r="O330" s="69" t="e">
        <f>+GETPIVOTDATA("PPEF 2011 ",#REF!,"No. Ramo",20,"IPP","S","PP",65)</f>
        <v>#REF!</v>
      </c>
      <c r="P330" s="69" t="e">
        <f>+GETPIVOTDATA("Reducción ",#REF!,"No. Ramo",20,"IPP","S","PP",65)</f>
        <v>#REF!</v>
      </c>
      <c r="Q330" s="69" t="e">
        <f>+GETPIVOTDATA("Ampliación ",#REF!,"No. Ramo",20,"IPP","S","PP",65)</f>
        <v>#REF!</v>
      </c>
      <c r="R330" s="69" t="e">
        <f t="shared" si="100"/>
        <v>#REF!</v>
      </c>
      <c r="S330" s="69"/>
      <c r="T330" s="69"/>
      <c r="U330" s="69" t="e">
        <f t="shared" si="104"/>
        <v>#REF!</v>
      </c>
      <c r="V330" s="69" t="e">
        <f t="shared" si="104"/>
        <v>#REF!</v>
      </c>
      <c r="W330" s="69" t="e">
        <f t="shared" si="104"/>
        <v>#REF!</v>
      </c>
      <c r="X330" s="69" t="e">
        <f t="shared" si="104"/>
        <v>#REF!</v>
      </c>
      <c r="AH330" s="152"/>
      <c r="AI330" s="157"/>
      <c r="AJ330" s="158" t="s">
        <v>749</v>
      </c>
      <c r="AK330" s="158"/>
      <c r="AL330" s="150"/>
      <c r="AM330" s="150"/>
      <c r="AN330" s="150"/>
      <c r="AO330" s="151"/>
      <c r="AP330" s="146"/>
      <c r="AQ330" s="146"/>
      <c r="AR330" s="146"/>
      <c r="AS330" s="245"/>
      <c r="AT330" s="245"/>
      <c r="AU330" s="146"/>
      <c r="AX330" s="152"/>
      <c r="AY330" s="157"/>
      <c r="AZ330" s="158" t="s">
        <v>749</v>
      </c>
      <c r="BA330" s="158"/>
      <c r="BB330" s="189"/>
      <c r="BC330" s="189"/>
      <c r="BD330" s="189"/>
      <c r="BE330" s="190"/>
      <c r="BF330" s="187">
        <f t="shared" si="105"/>
        <v>0</v>
      </c>
    </row>
    <row r="331" spans="1:75">
      <c r="B331" s="31"/>
      <c r="C331" s="30"/>
      <c r="D331" s="30" t="s">
        <v>750</v>
      </c>
      <c r="E331" s="30"/>
      <c r="F331" s="33" t="s">
        <v>840</v>
      </c>
      <c r="G331" s="33" t="s">
        <v>415</v>
      </c>
      <c r="H331" s="33"/>
      <c r="I331" s="67">
        <v>1</v>
      </c>
      <c r="J331" s="33"/>
      <c r="K331" s="69" t="e">
        <f>+GETPIVOTDATA("PPEF 2010 ",#REF!,"No. Ramo",20,"IPP","S","PP",58,"UR","VYF")+GETPIVOTDATA("PPEF 2010 ",#REF!,"No. Ramo",20,"IPP","S","PP",117,"UR","VYF")</f>
        <v>#REF!</v>
      </c>
      <c r="L331" s="69" t="e">
        <f>+GETPIVOTDATA("Ampliación Neta DIP ",#REF!,"No. Ramo",20,"IPP","S","PP",58,"UR","VYF")+GETPIVOTDATA("Ampliación Neta DIP ",#REF!,"No. Ramo",20,"IPP","S","PP",117,"UR","VYF")</f>
        <v>#REF!</v>
      </c>
      <c r="M331" s="69" t="e">
        <f>+GETPIVOTDATA("Recorte SHCP ",#REF!,"No. Ramo",20,"IPP","S","PP",58,"UR","VYF")+GETPIVOTDATA("Recorte SHCP ",#REF!,"No. Ramo",20,"IPP","S","PP",117,"UR","VYF")</f>
        <v>#REF!</v>
      </c>
      <c r="N331" s="69" t="e">
        <f>+GETPIVOTDATA("PEF 2010 ",#REF!,"No. Ramo",20,"IPP","S","PP",58,"UR","VYF")+GETPIVOTDATA("PEF 2010 ",#REF!,"No. Ramo",20,"IPP","S","PP",117,"UR","VYF")</f>
        <v>#REF!</v>
      </c>
      <c r="O331" s="69" t="e">
        <f>+GETPIVOTDATA("PPEF 2011 ",#REF!,"No. Ramo",20,"IPP","S","PP",58,"UR","VYF")+GETPIVOTDATA("PPEF 2011 ",#REF!,"No. Ramo",20,"IPP","S","PP",117,"UR","VYF")</f>
        <v>#REF!</v>
      </c>
      <c r="P331" s="69" t="e">
        <f>+GETPIVOTDATA("Reducción ",#REF!,"No. Ramo",20,"IPP","S","PP",58,"UR","VYF")+GETPIVOTDATA("Reducción ",#REF!,"No. Ramo",20,"IPP","S","PP",117,"UR","VYF")</f>
        <v>#REF!</v>
      </c>
      <c r="Q331" s="69" t="e">
        <f>+GETPIVOTDATA("Ampliación ",#REF!,"No. Ramo",20,"IPP","S","PP",58,"UR","VYF")+GETPIVOTDATA("Ampliación ",#REF!,"No. Ramo",20,"IPP","S","PP",117,"UR","VYF")</f>
        <v>#REF!</v>
      </c>
      <c r="R331" s="69" t="e">
        <f t="shared" si="100"/>
        <v>#REF!</v>
      </c>
      <c r="S331" s="69"/>
      <c r="T331" s="69"/>
      <c r="U331" s="69" t="e">
        <f t="shared" si="104"/>
        <v>#REF!</v>
      </c>
      <c r="V331" s="69" t="e">
        <f t="shared" si="104"/>
        <v>#REF!</v>
      </c>
      <c r="W331" s="69" t="e">
        <f t="shared" si="104"/>
        <v>#REF!</v>
      </c>
      <c r="X331" s="69" t="e">
        <f t="shared" si="104"/>
        <v>#REF!</v>
      </c>
      <c r="AH331" s="152"/>
      <c r="AI331" s="157"/>
      <c r="AJ331" s="158" t="s">
        <v>750</v>
      </c>
      <c r="AK331" s="158"/>
      <c r="AL331" s="150"/>
      <c r="AM331" s="150"/>
      <c r="AN331" s="150"/>
      <c r="AO331" s="151"/>
      <c r="AP331" s="146"/>
      <c r="AQ331" s="146"/>
      <c r="AR331" s="146"/>
      <c r="AS331" s="245"/>
      <c r="AT331" s="245"/>
      <c r="AU331" s="146"/>
      <c r="AX331" s="152"/>
      <c r="AY331" s="157"/>
      <c r="AZ331" s="158" t="s">
        <v>750</v>
      </c>
      <c r="BA331" s="158"/>
      <c r="BB331" s="189"/>
      <c r="BC331" s="189"/>
      <c r="BD331" s="189"/>
      <c r="BE331" s="190"/>
      <c r="BF331" s="187">
        <f t="shared" si="105"/>
        <v>0</v>
      </c>
    </row>
    <row r="332" spans="1:75">
      <c r="B332" s="31"/>
      <c r="C332" s="30"/>
      <c r="D332" s="30" t="s">
        <v>751</v>
      </c>
      <c r="E332" s="30"/>
      <c r="F332" s="33" t="s">
        <v>841</v>
      </c>
      <c r="G332" s="33" t="s">
        <v>37</v>
      </c>
      <c r="H332" s="33"/>
      <c r="I332" s="67">
        <v>1</v>
      </c>
      <c r="J332" s="33"/>
      <c r="K332" s="69" t="e">
        <f>+GETPIVOTDATA("PPEF 2010 ",#REF!,"No. Ramo",20,"IPP","S","PP",118,"UR","G00")</f>
        <v>#REF!</v>
      </c>
      <c r="L332" s="69" t="e">
        <f>+GETPIVOTDATA("Ampliación Neta DIP ",#REF!,"No. Ramo",20,"IPP","S","PP",118,"UR","G00")</f>
        <v>#REF!</v>
      </c>
      <c r="M332" s="69" t="e">
        <f>+GETPIVOTDATA("Recorte SHCP ",#REF!,"No. Ramo",20,"IPP","S","PP",118,"UR","G00")</f>
        <v>#REF!</v>
      </c>
      <c r="N332" s="69" t="e">
        <f>+GETPIVOTDATA("PEF 2010 ",#REF!,"No. Ramo",20,"IPP","S","PP",118,"UR","G00")</f>
        <v>#REF!</v>
      </c>
      <c r="O332" s="69" t="e">
        <f>+GETPIVOTDATA("PPEF 2011 ",#REF!,"No. Ramo",20,"IPP","S","PP",118,"UR","G00")</f>
        <v>#REF!</v>
      </c>
      <c r="P332" s="69" t="e">
        <f>+GETPIVOTDATA("Reducción ",#REF!,"No. Ramo",20,"IPP","S","PP",118,"UR","G00")</f>
        <v>#REF!</v>
      </c>
      <c r="Q332" s="69" t="e">
        <f>+GETPIVOTDATA("Ampliación ",#REF!,"No. Ramo",20,"IPP","S","PP",118,"UR","G00")</f>
        <v>#REF!</v>
      </c>
      <c r="R332" s="69" t="e">
        <f t="shared" si="100"/>
        <v>#REF!</v>
      </c>
      <c r="S332" s="69"/>
      <c r="T332" s="69"/>
      <c r="U332" s="69" t="e">
        <f t="shared" si="104"/>
        <v>#REF!</v>
      </c>
      <c r="V332" s="69" t="e">
        <f t="shared" si="104"/>
        <v>#REF!</v>
      </c>
      <c r="W332" s="69" t="e">
        <f t="shared" si="104"/>
        <v>#REF!</v>
      </c>
      <c r="X332" s="69" t="e">
        <f t="shared" si="104"/>
        <v>#REF!</v>
      </c>
      <c r="AH332" s="152"/>
      <c r="AI332" s="157"/>
      <c r="AJ332" s="158" t="s">
        <v>751</v>
      </c>
      <c r="AK332" s="158"/>
      <c r="AL332" s="150"/>
      <c r="AM332" s="150"/>
      <c r="AN332" s="150"/>
      <c r="AO332" s="151"/>
      <c r="AP332" s="146"/>
      <c r="AQ332" s="146"/>
      <c r="AR332" s="146"/>
      <c r="AS332" s="245"/>
      <c r="AT332" s="245"/>
      <c r="AU332" s="146"/>
      <c r="AX332" s="152"/>
      <c r="AY332" s="157"/>
      <c r="AZ332" s="158" t="s">
        <v>751</v>
      </c>
      <c r="BA332" s="158"/>
      <c r="BB332" s="189"/>
      <c r="BC332" s="189"/>
      <c r="BD332" s="189"/>
      <c r="BE332" s="190"/>
      <c r="BF332" s="187">
        <f t="shared" si="105"/>
        <v>0</v>
      </c>
    </row>
    <row r="333" spans="1:75">
      <c r="B333" s="31"/>
      <c r="C333" s="30"/>
      <c r="D333" s="30" t="s">
        <v>752</v>
      </c>
      <c r="E333" s="30"/>
      <c r="F333" s="33" t="s">
        <v>842</v>
      </c>
      <c r="G333" s="33" t="s">
        <v>412</v>
      </c>
      <c r="H333" s="33"/>
      <c r="I333" s="67">
        <v>1</v>
      </c>
      <c r="J333" s="33"/>
      <c r="K333" s="69" t="e">
        <f>+GETPIVOTDATA("PPEF 2010 ",#REF!,"No. Ramo",20,"IPP","S","PP",53,"UR","VSS")</f>
        <v>#REF!</v>
      </c>
      <c r="L333" s="69" t="e">
        <f>+GETPIVOTDATA("Ampliación Neta DIP ",#REF!,"No. Ramo",20,"IPP","S","PP",53,"UR","VSS")</f>
        <v>#REF!</v>
      </c>
      <c r="M333" s="69" t="e">
        <f>+GETPIVOTDATA("Recorte SHCP ",#REF!,"No. Ramo",20,"IPP","S","PP",53,"UR","VSS")</f>
        <v>#REF!</v>
      </c>
      <c r="N333" s="69" t="e">
        <f>+GETPIVOTDATA("PEF 2010 ",#REF!,"No. Ramo",20,"IPP","S","PP",53,"UR","VSS")</f>
        <v>#REF!</v>
      </c>
      <c r="O333" s="69" t="e">
        <f>+GETPIVOTDATA("PPEF 2011 ",#REF!,"No. Ramo",20,"IPP","S","PP",53,"UR","VSS")</f>
        <v>#REF!</v>
      </c>
      <c r="P333" s="69" t="e">
        <f>+GETPIVOTDATA("Reducción ",#REF!,"No. Ramo",20,"IPP","S","PP",53,"UR","VSS")</f>
        <v>#REF!</v>
      </c>
      <c r="Q333" s="69" t="e">
        <f>+GETPIVOTDATA("Ampliación ",#REF!,"No. Ramo",20,"IPP","S","PP",53,"UR","VSS")</f>
        <v>#REF!</v>
      </c>
      <c r="R333" s="69" t="e">
        <f t="shared" si="100"/>
        <v>#REF!</v>
      </c>
      <c r="S333" s="69"/>
      <c r="T333" s="69"/>
      <c r="U333" s="69" t="e">
        <f t="shared" si="104"/>
        <v>#REF!</v>
      </c>
      <c r="V333" s="69" t="e">
        <f t="shared" si="104"/>
        <v>#REF!</v>
      </c>
      <c r="W333" s="69" t="e">
        <f t="shared" si="104"/>
        <v>#REF!</v>
      </c>
      <c r="X333" s="69" t="e">
        <f t="shared" si="104"/>
        <v>#REF!</v>
      </c>
      <c r="AH333" s="152"/>
      <c r="AI333" s="157"/>
      <c r="AJ333" s="158" t="s">
        <v>752</v>
      </c>
      <c r="AK333" s="158"/>
      <c r="AL333" s="150"/>
      <c r="AM333" s="150"/>
      <c r="AN333" s="150"/>
      <c r="AO333" s="151"/>
      <c r="AP333" s="146"/>
      <c r="AQ333" s="146"/>
      <c r="AR333" s="146"/>
      <c r="AS333" s="245"/>
      <c r="AT333" s="245"/>
      <c r="AU333" s="146"/>
      <c r="AX333" s="152"/>
      <c r="AY333" s="157"/>
      <c r="AZ333" s="158" t="s">
        <v>752</v>
      </c>
      <c r="BA333" s="158"/>
      <c r="BB333" s="189"/>
      <c r="BC333" s="189"/>
      <c r="BD333" s="189"/>
      <c r="BE333" s="190"/>
      <c r="BF333" s="187">
        <f t="shared" si="105"/>
        <v>0</v>
      </c>
    </row>
    <row r="334" spans="1:75">
      <c r="B334" s="31"/>
      <c r="C334" s="30"/>
      <c r="D334" s="30" t="s">
        <v>733</v>
      </c>
      <c r="E334" s="30"/>
      <c r="F334" s="33" t="s">
        <v>831</v>
      </c>
      <c r="G334" s="33" t="s">
        <v>37</v>
      </c>
      <c r="H334" s="33"/>
      <c r="I334" s="67">
        <v>1</v>
      </c>
      <c r="J334" s="33"/>
      <c r="K334" s="69" t="e">
        <f>+GETPIVOTDATA("PPEF 2010 ",#REF!,"No. Ramo",20,"IPP","S","PP",72,"UR","G00")</f>
        <v>#REF!</v>
      </c>
      <c r="L334" s="69" t="e">
        <f>+GETPIVOTDATA("Ampliación Neta DIP ",#REF!,"No. Ramo",20,"IPP","S","PP",72,"UR","G00")</f>
        <v>#REF!</v>
      </c>
      <c r="M334" s="69" t="e">
        <f>+GETPIVOTDATA("Recorte SHCP ",#REF!,"No. Ramo",20,"IPP","S","PP",72,"UR","G00")</f>
        <v>#REF!</v>
      </c>
      <c r="N334" s="69" t="e">
        <f>+GETPIVOTDATA("PEF 2010 ",#REF!,"No. Ramo",20,"IPP","S","PP",72,"UR","G00")</f>
        <v>#REF!</v>
      </c>
      <c r="O334" s="69" t="e">
        <f>+GETPIVOTDATA("PPEF 2011 ",#REF!,"No. Ramo",20,"IPP","S","PP",72,"UR","G00")</f>
        <v>#REF!</v>
      </c>
      <c r="P334" s="69" t="e">
        <f>+GETPIVOTDATA("Reducción ",#REF!,"No. Ramo",20,"IPP","S","PP",72,"UR","G00")</f>
        <v>#REF!</v>
      </c>
      <c r="Q334" s="69" t="e">
        <f>+GETPIVOTDATA("Ampliación ",#REF!,"No. Ramo",20,"IPP","S","PP",72,"UR","G00")</f>
        <v>#REF!</v>
      </c>
      <c r="R334" s="69" t="e">
        <f t="shared" si="100"/>
        <v>#REF!</v>
      </c>
      <c r="S334" s="69"/>
      <c r="T334" s="69"/>
      <c r="U334" s="69" t="e">
        <f t="shared" si="104"/>
        <v>#REF!</v>
      </c>
      <c r="V334" s="69" t="e">
        <f t="shared" si="104"/>
        <v>#REF!</v>
      </c>
      <c r="W334" s="69" t="e">
        <f t="shared" si="104"/>
        <v>#REF!</v>
      </c>
      <c r="X334" s="69" t="e">
        <f t="shared" si="104"/>
        <v>#REF!</v>
      </c>
      <c r="AH334" s="152"/>
      <c r="AI334" s="157"/>
      <c r="AJ334" s="158" t="s">
        <v>733</v>
      </c>
      <c r="AK334" s="158"/>
      <c r="AL334" s="150"/>
      <c r="AM334" s="150"/>
      <c r="AN334" s="150"/>
      <c r="AO334" s="151"/>
      <c r="AP334" s="146"/>
      <c r="AQ334" s="146"/>
      <c r="AR334" s="146"/>
      <c r="AS334" s="245"/>
      <c r="AT334" s="245"/>
      <c r="AU334" s="146"/>
      <c r="AX334" s="152"/>
      <c r="AY334" s="157"/>
      <c r="AZ334" s="158" t="s">
        <v>733</v>
      </c>
      <c r="BA334" s="158"/>
      <c r="BB334" s="189"/>
      <c r="BC334" s="189"/>
      <c r="BD334" s="189"/>
      <c r="BE334" s="190"/>
      <c r="BF334" s="187">
        <f t="shared" si="105"/>
        <v>0</v>
      </c>
    </row>
    <row r="335" spans="1:75">
      <c r="B335" s="26"/>
      <c r="C335" s="27" t="s">
        <v>753</v>
      </c>
      <c r="D335" s="27"/>
      <c r="E335" s="27"/>
      <c r="F335" s="61"/>
      <c r="G335" s="61"/>
      <c r="H335" s="61"/>
      <c r="I335" s="62"/>
      <c r="J335" s="61"/>
      <c r="K335" s="63" t="e">
        <f t="shared" ref="K335:Q335" si="106">+K336+K339+K343+K345</f>
        <v>#REF!</v>
      </c>
      <c r="L335" s="63" t="e">
        <f t="shared" si="106"/>
        <v>#REF!</v>
      </c>
      <c r="M335" s="63" t="e">
        <f t="shared" si="106"/>
        <v>#REF!</v>
      </c>
      <c r="N335" s="63" t="e">
        <f t="shared" si="106"/>
        <v>#REF!</v>
      </c>
      <c r="O335" s="63" t="e">
        <f t="shared" si="106"/>
        <v>#REF!</v>
      </c>
      <c r="P335" s="63" t="e">
        <f t="shared" si="106"/>
        <v>#REF!</v>
      </c>
      <c r="Q335" s="63" t="e">
        <f t="shared" si="106"/>
        <v>#REF!</v>
      </c>
      <c r="R335" s="63" t="e">
        <f t="shared" si="100"/>
        <v>#REF!</v>
      </c>
      <c r="S335" s="63"/>
      <c r="T335" s="63"/>
      <c r="U335" s="63" t="e">
        <f>+U336+U339+U343+U345</f>
        <v>#REF!</v>
      </c>
      <c r="V335" s="63" t="e">
        <f>+V336+V339+V343+V345</f>
        <v>#REF!</v>
      </c>
      <c r="W335" s="63" t="e">
        <f>+W336+W339+W343+W345</f>
        <v>#REF!</v>
      </c>
      <c r="X335" s="63" t="e">
        <f>+X336+X339+X343+X345</f>
        <v>#REF!</v>
      </c>
      <c r="AH335" s="147"/>
      <c r="AI335" s="148" t="s">
        <v>753</v>
      </c>
      <c r="AJ335" s="160"/>
      <c r="AK335" s="160"/>
      <c r="AL335" s="149"/>
      <c r="AM335" s="150"/>
      <c r="AN335" s="150"/>
      <c r="AO335" s="151"/>
      <c r="AP335" s="146">
        <f>AP336+AP339+AP343+AP345</f>
        <v>0</v>
      </c>
      <c r="AQ335" s="146">
        <f>AQ336+AQ339+AQ343+AQ345</f>
        <v>0</v>
      </c>
      <c r="AR335" s="146">
        <f>AR336+AR339+AR343+AR345</f>
        <v>0</v>
      </c>
      <c r="AS335" s="245"/>
      <c r="AT335" s="245"/>
      <c r="AU335" s="146">
        <f>AU336+AU339+AU343+AU345</f>
        <v>0</v>
      </c>
      <c r="AX335" s="147"/>
      <c r="AY335" s="148" t="s">
        <v>753</v>
      </c>
      <c r="AZ335" s="160"/>
      <c r="BA335" s="160"/>
      <c r="BB335" s="149"/>
      <c r="BC335" s="189"/>
      <c r="BD335" s="189"/>
      <c r="BE335" s="190"/>
      <c r="BF335" s="187">
        <f>BF336+BF339+BF343+BF345</f>
        <v>0</v>
      </c>
    </row>
    <row r="336" spans="1:75">
      <c r="B336" s="28" t="s">
        <v>754</v>
      </c>
      <c r="C336" s="29" t="s">
        <v>739</v>
      </c>
      <c r="D336" s="29"/>
      <c r="E336" s="29"/>
      <c r="F336" s="28"/>
      <c r="G336" s="28"/>
      <c r="H336" s="28"/>
      <c r="I336" s="65"/>
      <c r="J336" s="28"/>
      <c r="K336" s="66" t="e">
        <f t="shared" ref="K336:Q337" si="107">+K337</f>
        <v>#REF!</v>
      </c>
      <c r="L336" s="66" t="e">
        <f t="shared" si="107"/>
        <v>#REF!</v>
      </c>
      <c r="M336" s="66" t="e">
        <f t="shared" si="107"/>
        <v>#REF!</v>
      </c>
      <c r="N336" s="66" t="e">
        <f t="shared" si="107"/>
        <v>#REF!</v>
      </c>
      <c r="O336" s="66" t="e">
        <f t="shared" si="107"/>
        <v>#REF!</v>
      </c>
      <c r="P336" s="66" t="e">
        <f t="shared" si="107"/>
        <v>#REF!</v>
      </c>
      <c r="Q336" s="66" t="e">
        <f t="shared" si="107"/>
        <v>#REF!</v>
      </c>
      <c r="R336" s="66" t="e">
        <f t="shared" si="100"/>
        <v>#REF!</v>
      </c>
      <c r="S336" s="66"/>
      <c r="T336" s="66"/>
      <c r="U336" s="66" t="e">
        <f t="shared" ref="U336:X337" si="108">+U337</f>
        <v>#REF!</v>
      </c>
      <c r="V336" s="66" t="e">
        <f t="shared" si="108"/>
        <v>#REF!</v>
      </c>
      <c r="W336" s="66" t="e">
        <f t="shared" si="108"/>
        <v>#REF!</v>
      </c>
      <c r="X336" s="66" t="e">
        <f t="shared" si="108"/>
        <v>#REF!</v>
      </c>
      <c r="AH336" s="147" t="s">
        <v>754</v>
      </c>
      <c r="AI336" s="148" t="s">
        <v>739</v>
      </c>
      <c r="AJ336" s="160"/>
      <c r="AK336" s="160"/>
      <c r="AL336" s="149"/>
      <c r="AM336" s="150"/>
      <c r="AN336" s="150"/>
      <c r="AO336" s="151"/>
      <c r="AP336" s="146">
        <f>AP337</f>
        <v>0</v>
      </c>
      <c r="AQ336" s="146">
        <f>AQ337</f>
        <v>0</v>
      </c>
      <c r="AR336" s="146">
        <f>AR337</f>
        <v>0</v>
      </c>
      <c r="AS336" s="245"/>
      <c r="AT336" s="245"/>
      <c r="AU336" s="146">
        <f>AU337</f>
        <v>0</v>
      </c>
      <c r="AX336" s="147" t="s">
        <v>754</v>
      </c>
      <c r="AY336" s="148" t="s">
        <v>739</v>
      </c>
      <c r="AZ336" s="160"/>
      <c r="BA336" s="160"/>
      <c r="BB336" s="149"/>
      <c r="BC336" s="189"/>
      <c r="BD336" s="189"/>
      <c r="BE336" s="190"/>
      <c r="BF336" s="187">
        <f>BF337</f>
        <v>0</v>
      </c>
    </row>
    <row r="337" spans="2:58">
      <c r="B337" s="31"/>
      <c r="C337" s="30" t="s">
        <v>754</v>
      </c>
      <c r="D337" s="30"/>
      <c r="E337" s="30"/>
      <c r="F337" s="33"/>
      <c r="G337" s="33"/>
      <c r="H337" s="33"/>
      <c r="I337" s="67"/>
      <c r="J337" s="33"/>
      <c r="K337" s="69" t="e">
        <f t="shared" si="107"/>
        <v>#REF!</v>
      </c>
      <c r="L337" s="69" t="e">
        <f t="shared" si="107"/>
        <v>#REF!</v>
      </c>
      <c r="M337" s="69" t="e">
        <f t="shared" si="107"/>
        <v>#REF!</v>
      </c>
      <c r="N337" s="69" t="e">
        <f t="shared" si="107"/>
        <v>#REF!</v>
      </c>
      <c r="O337" s="69" t="e">
        <f t="shared" si="107"/>
        <v>#REF!</v>
      </c>
      <c r="P337" s="69" t="e">
        <f t="shared" si="107"/>
        <v>#REF!</v>
      </c>
      <c r="Q337" s="69" t="e">
        <f t="shared" si="107"/>
        <v>#REF!</v>
      </c>
      <c r="R337" s="69" t="e">
        <f t="shared" si="100"/>
        <v>#REF!</v>
      </c>
      <c r="S337" s="69"/>
      <c r="T337" s="69"/>
      <c r="U337" s="69" t="e">
        <f t="shared" si="108"/>
        <v>#REF!</v>
      </c>
      <c r="V337" s="69" t="e">
        <f t="shared" si="108"/>
        <v>#REF!</v>
      </c>
      <c r="W337" s="69" t="e">
        <f t="shared" si="108"/>
        <v>#REF!</v>
      </c>
      <c r="X337" s="69" t="e">
        <f t="shared" si="108"/>
        <v>#REF!</v>
      </c>
      <c r="AH337" s="152"/>
      <c r="AI337" s="157" t="s">
        <v>754</v>
      </c>
      <c r="AJ337" s="158"/>
      <c r="AK337" s="158"/>
      <c r="AL337" s="155"/>
      <c r="AM337" s="150"/>
      <c r="AN337" s="150"/>
      <c r="AO337" s="151"/>
      <c r="AP337" s="146"/>
      <c r="AQ337" s="146"/>
      <c r="AR337" s="146"/>
      <c r="AS337" s="245"/>
      <c r="AT337" s="245"/>
      <c r="AU337" s="146"/>
      <c r="AX337" s="152"/>
      <c r="AY337" s="157" t="s">
        <v>754</v>
      </c>
      <c r="AZ337" s="158"/>
      <c r="BA337" s="158"/>
      <c r="BB337" s="155"/>
      <c r="BC337" s="189"/>
      <c r="BD337" s="189"/>
      <c r="BE337" s="190"/>
      <c r="BF337" s="187">
        <f>+AU337</f>
        <v>0</v>
      </c>
    </row>
    <row r="338" spans="2:58">
      <c r="B338" s="31"/>
      <c r="C338" s="30"/>
      <c r="D338" s="30" t="s">
        <v>755</v>
      </c>
      <c r="E338" s="30"/>
      <c r="F338" s="33" t="s">
        <v>843</v>
      </c>
      <c r="G338" s="33" t="s">
        <v>844</v>
      </c>
      <c r="H338" s="33"/>
      <c r="I338" s="67">
        <v>1</v>
      </c>
      <c r="J338" s="33"/>
      <c r="K338" s="69" t="e">
        <f>+GETPIVOTDATA("PPEF 2010 ",#REF!,"No. Ramo",9,"IPP","K","PP",31)+GETPIVOTDATA("PPEF 2010 ",#REF!,"No. Ramo",9,"IPP","K","PP",37)+GETPIVOTDATA("PPEF 2010 ",#REF!,"No. Ramo",9,"IPP","K","PP",39)</f>
        <v>#REF!</v>
      </c>
      <c r="L338" s="69" t="e">
        <f>+GETPIVOTDATA("Ampliación Neta DIP ",#REF!,"No. Ramo",9,"IPP","K","PP",31)+GETPIVOTDATA("Ampliación Neta DIP ",#REF!,"No. Ramo",9,"IPP","K","PP",37)+GETPIVOTDATA("Ampliación Neta DIP ",#REF!,"No. Ramo",9,"IPP","K","PP",39)</f>
        <v>#REF!</v>
      </c>
      <c r="M338" s="69" t="e">
        <f>+GETPIVOTDATA("Recorte SHCP ",#REF!,"No. Ramo",9,"IPP","K","PP",31)+GETPIVOTDATA("Recorte SHCP ",#REF!,"No. Ramo",9,"IPP","K","PP",37)+GETPIVOTDATA("Recorte SHCP ",#REF!,"No. Ramo",9,"IPP","K","PP",39)</f>
        <v>#REF!</v>
      </c>
      <c r="N338" s="69" t="e">
        <f>+GETPIVOTDATA("PEF 2010 ",#REF!,"No. Ramo",9,"IPP","K","PP",31)+GETPIVOTDATA("PEF 2010 ",#REF!,"No. Ramo",9,"IPP","K","PP",37)+GETPIVOTDATA("PEF 2010 ",#REF!,"No. Ramo",9,"IPP","K","PP",39)</f>
        <v>#REF!</v>
      </c>
      <c r="O338" s="69" t="e">
        <f>+GETPIVOTDATA("PPEF 2011 ",#REF!,"No. Ramo",9,"IPP","K","PP",31)+GETPIVOTDATA("PPEF 2011 ",#REF!,"No. Ramo",9,"IPP","K","PP",37)+GETPIVOTDATA("PPEF 2011 ",#REF!,"No. Ramo",9,"IPP","K","PP",39)</f>
        <v>#REF!</v>
      </c>
      <c r="P338" s="69" t="e">
        <f>+GETPIVOTDATA("Reducción ",#REF!,"No. Ramo",9,"IPP","K","PP",31)+GETPIVOTDATA("Reducción ",#REF!,"No. Ramo",9,"IPP","K","PP",37)+GETPIVOTDATA("Reducción ",#REF!,"No. Ramo",9,"IPP","K","PP",39)</f>
        <v>#REF!</v>
      </c>
      <c r="Q338" s="69" t="e">
        <f>+GETPIVOTDATA("Ampliación ",#REF!,"No. Ramo",9,"IPP","K","PP",31)+GETPIVOTDATA("Ampliación ",#REF!,"No. Ramo",9,"IPP","K","PP",37)+GETPIVOTDATA("Ampliación ",#REF!,"No. Ramo",9,"IPP","K","PP",39)</f>
        <v>#REF!</v>
      </c>
      <c r="R338" s="69" t="e">
        <f t="shared" si="100"/>
        <v>#REF!</v>
      </c>
      <c r="S338" s="69"/>
      <c r="T338" s="69"/>
      <c r="U338" s="69" t="e">
        <f t="shared" si="104"/>
        <v>#REF!</v>
      </c>
      <c r="V338" s="69" t="e">
        <f t="shared" si="104"/>
        <v>#REF!</v>
      </c>
      <c r="W338" s="69" t="e">
        <f t="shared" si="104"/>
        <v>#REF!</v>
      </c>
      <c r="X338" s="69" t="e">
        <f t="shared" si="104"/>
        <v>#REF!</v>
      </c>
      <c r="AH338" s="152"/>
      <c r="AI338" s="157"/>
      <c r="AJ338" s="158" t="s">
        <v>755</v>
      </c>
      <c r="AK338" s="158"/>
      <c r="AL338" s="150"/>
      <c r="AM338" s="150"/>
      <c r="AN338" s="150"/>
      <c r="AO338" s="151"/>
      <c r="AP338" s="146"/>
      <c r="AQ338" s="146"/>
      <c r="AR338" s="146"/>
      <c r="AS338" s="245"/>
      <c r="AT338" s="245"/>
      <c r="AU338" s="146"/>
      <c r="AX338" s="152"/>
      <c r="AY338" s="157"/>
      <c r="AZ338" s="158" t="s">
        <v>755</v>
      </c>
      <c r="BA338" s="158"/>
      <c r="BB338" s="189"/>
      <c r="BC338" s="189"/>
      <c r="BD338" s="189"/>
      <c r="BE338" s="190"/>
      <c r="BF338" s="187">
        <f>+AU338</f>
        <v>0</v>
      </c>
    </row>
    <row r="339" spans="2:58">
      <c r="B339" s="28" t="s">
        <v>754</v>
      </c>
      <c r="C339" s="29" t="s">
        <v>718</v>
      </c>
      <c r="D339" s="29"/>
      <c r="E339" s="29"/>
      <c r="F339" s="28"/>
      <c r="G339" s="28"/>
      <c r="H339" s="28"/>
      <c r="I339" s="65"/>
      <c r="J339" s="28"/>
      <c r="K339" s="66" t="e">
        <f t="shared" ref="K339:Q339" si="109">SUM(K340:K342)</f>
        <v>#REF!</v>
      </c>
      <c r="L339" s="66" t="e">
        <f t="shared" si="109"/>
        <v>#REF!</v>
      </c>
      <c r="M339" s="66" t="e">
        <f t="shared" si="109"/>
        <v>#REF!</v>
      </c>
      <c r="N339" s="66" t="e">
        <f t="shared" si="109"/>
        <v>#REF!</v>
      </c>
      <c r="O339" s="66" t="e">
        <f t="shared" si="109"/>
        <v>#REF!</v>
      </c>
      <c r="P339" s="66" t="e">
        <f t="shared" si="109"/>
        <v>#REF!</v>
      </c>
      <c r="Q339" s="66" t="e">
        <f t="shared" si="109"/>
        <v>#REF!</v>
      </c>
      <c r="R339" s="66" t="e">
        <f t="shared" si="100"/>
        <v>#REF!</v>
      </c>
      <c r="S339" s="66"/>
      <c r="T339" s="66"/>
      <c r="U339" s="66" t="e">
        <f>SUM(U340:U342)</f>
        <v>#REF!</v>
      </c>
      <c r="V339" s="66" t="e">
        <f>SUM(V340:V342)</f>
        <v>#REF!</v>
      </c>
      <c r="W339" s="66" t="e">
        <f>SUM(W340:W342)</f>
        <v>#REF!</v>
      </c>
      <c r="X339" s="66" t="e">
        <f>SUM(X340:X342)</f>
        <v>#REF!</v>
      </c>
      <c r="AH339" s="147" t="s">
        <v>754</v>
      </c>
      <c r="AI339" s="148" t="s">
        <v>718</v>
      </c>
      <c r="AJ339" s="160"/>
      <c r="AK339" s="160"/>
      <c r="AL339" s="149"/>
      <c r="AM339" s="150"/>
      <c r="AN339" s="150"/>
      <c r="AO339" s="151"/>
      <c r="AP339" s="146">
        <f>SUM(AP340:AP342)</f>
        <v>0</v>
      </c>
      <c r="AQ339" s="146">
        <f>SUM(AQ340:AQ342)</f>
        <v>0</v>
      </c>
      <c r="AR339" s="146">
        <f>SUM(AR340:AR342)</f>
        <v>0</v>
      </c>
      <c r="AS339" s="245"/>
      <c r="AT339" s="245"/>
      <c r="AU339" s="146">
        <f>SUM(AU340:AU342)</f>
        <v>0</v>
      </c>
      <c r="AX339" s="147" t="s">
        <v>754</v>
      </c>
      <c r="AY339" s="148" t="s">
        <v>718</v>
      </c>
      <c r="AZ339" s="160"/>
      <c r="BA339" s="160"/>
      <c r="BB339" s="149"/>
      <c r="BC339" s="189"/>
      <c r="BD339" s="189"/>
      <c r="BE339" s="190"/>
      <c r="BF339" s="187">
        <f>SUM(BF340:BF342)</f>
        <v>0</v>
      </c>
    </row>
    <row r="340" spans="2:58">
      <c r="B340" s="31"/>
      <c r="C340" s="30" t="s">
        <v>756</v>
      </c>
      <c r="D340" s="30"/>
      <c r="E340" s="30"/>
      <c r="F340" s="33" t="s">
        <v>809</v>
      </c>
      <c r="G340" s="33" t="s">
        <v>13</v>
      </c>
      <c r="H340" s="33"/>
      <c r="I340" s="67">
        <v>1</v>
      </c>
      <c r="J340" s="33"/>
      <c r="K340" s="69" t="e">
        <f>+GETPIVOTDATA("PPEF 2010 ",#REF!,"No. Ramo",16,"IPP","G","PP",10)*14.5780711978406%+GETPIVOTDATA("PPEF 2010 ",#REF!,"No. Ramo",16,"IPP","G","PP",12)*96.3026593757919%+GETPIVOTDATA("PPEF 2010 ",#REF!,"No. Ramo",16,"IPP","K","PP",28)+GETPIVOTDATA("PPEF 2010 ",#REF!,"No. Ramo",16,"IPP","K","PP",111)+GETPIVOTDATA("PPEF 2010 ",#REF!,"No. Ramo",16,"IPP","K","PP",132)+GETPIVOTDATA("PPEF 2010 ",#REF!,"No. Ramo",16,"IPP","K","PP",133)+GETPIVOTDATA("PPEF 2010 ",#REF!,"No. Ramo",16,"IPP","K","PP",135)+GETPIVOTDATA("PPEF 2010 ",#REF!,"No. Ramo",16,"IPP","R","PP",14,"UR","B05")+GETPIVOTDATA("PPEF 2010 ",#REF!,"No. Ramo",16,"IPP","S","PP",79)+GETPIVOTDATA("PPEF 2010 ",#REF!,"No. Ramo",16,"IPP","S","PP",217)+GETPIVOTDATA("PPEF 2010 ",#REF!,"No. Ramo",16,"IPP","U","PP",19)+GETPIVOTDATA("PPEF 2010 ",#REF!,"No. Ramo",16,"IPP","U","PP",28,"UR","B32")</f>
        <v>#REF!</v>
      </c>
      <c r="L340" s="69" t="e">
        <f>+GETPIVOTDATA("Ampliación Neta DIP ",#REF!,"No. Ramo",16,"IPP","G","PP",10)*14.5780711978406%+GETPIVOTDATA("Ampliación Neta DIP ",#REF!,"No. Ramo",16,"IPP","G","PP",12)*96.3026593757919%+GETPIVOTDATA("Ampliación Neta DIP ",#REF!,"No. Ramo",16,"IPP","K","PP",28)+GETPIVOTDATA("Ampliación Neta DIP ",#REF!,"No. Ramo",16,"IPP","K","PP",111)+GETPIVOTDATA("Ampliación Neta DIP ",#REF!,"No. Ramo",16,"IPP","K","PP",132)+GETPIVOTDATA("Ampliación Neta DIP ",#REF!,"No. Ramo",16,"IPP","K","PP",133)+GETPIVOTDATA("Ampliación Neta DIP ",#REF!,"No. Ramo",16,"IPP","K","PP",135)+GETPIVOTDATA("Ampliación Neta DIP ",#REF!,"No. Ramo",16,"IPP","R","PP",14,"UR","B05")+GETPIVOTDATA("Ampliación Neta DIP ",#REF!,"No. Ramo",16,"IPP","S","PP",79)+GETPIVOTDATA("Ampliación Neta DIP ",#REF!,"No. Ramo",16,"IPP","S","PP",217)+GETPIVOTDATA("Ampliación Neta DIP ",#REF!,"No. Ramo",16,"IPP","U","PP",19)+GETPIVOTDATA("Ampliación Neta DIP ",#REF!,"No. Ramo",16,"IPP","U","PP",28,"UR","B32")</f>
        <v>#REF!</v>
      </c>
      <c r="M340" s="69" t="e">
        <f>+GETPIVOTDATA("Recorte SHCP ",#REF!,"No. Ramo",16,"IPP","G","PP",10)*14.5780711978406%+GETPIVOTDATA("Recorte SHCP ",#REF!,"No. Ramo",16,"IPP","G","PP",12)*96.3026593757919%+GETPIVOTDATA("Recorte SHCP ",#REF!,"No. Ramo",16,"IPP","K","PP",28)+GETPIVOTDATA("Recorte SHCP ",#REF!,"No. Ramo",16,"IPP","K","PP",111)+GETPIVOTDATA("Recorte SHCP ",#REF!,"No. Ramo",16,"IPP","K","PP",132)+GETPIVOTDATA("Recorte SHCP ",#REF!,"No. Ramo",16,"IPP","K","PP",133)+GETPIVOTDATA("Recorte SHCP ",#REF!,"No. Ramo",16,"IPP","K","PP",135)+GETPIVOTDATA("Recorte SHCP ",#REF!,"No. Ramo",16,"IPP","R","PP",14,"UR","B05")+GETPIVOTDATA("Recorte SHCP ",#REF!,"No. Ramo",16,"IPP","S","PP",79)+GETPIVOTDATA("Recorte SHCP ",#REF!,"No. Ramo",16,"IPP","S","PP",217)+GETPIVOTDATA("Recorte SHCP ",#REF!,"No. Ramo",16,"IPP","U","PP",19)+GETPIVOTDATA("Recorte SHCP ",#REF!,"No. Ramo",16,"IPP","U","PP",28,"UR","B32")</f>
        <v>#REF!</v>
      </c>
      <c r="N340" s="69" t="e">
        <f>+GETPIVOTDATA("PEF 2010 ",#REF!,"No. Ramo",16,"IPP","G","PP",10)*14.5780711978406%+GETPIVOTDATA("PEF 2010 ",#REF!,"No. Ramo",16,"IPP","G","PP",12)*96.3026593757919%+GETPIVOTDATA("PEF 2010 ",#REF!,"No. Ramo",16,"IPP","K","PP",28)+GETPIVOTDATA("PEF 2010 ",#REF!,"No. Ramo",16,"IPP","K","PP",111)+GETPIVOTDATA("PEF 2010 ",#REF!,"No. Ramo",16,"IPP","K","PP",132)+GETPIVOTDATA("PEF 2010 ",#REF!,"No. Ramo",16,"IPP","K","PP",133)+GETPIVOTDATA("PEF 2010 ",#REF!,"No. Ramo",16,"IPP","K","PP",135)+GETPIVOTDATA("PEF 2010 ",#REF!,"No. Ramo",16,"IPP","R","PP",14,"UR","B05")+GETPIVOTDATA("PEF 2010 ",#REF!,"No. Ramo",16,"IPP","S","PP",79)+GETPIVOTDATA("PEF 2010 ",#REF!,"No. Ramo",16,"IPP","S","PP",217)+GETPIVOTDATA("PEF 2010 ",#REF!,"No. Ramo",16,"IPP","U","PP",19)+GETPIVOTDATA("PEF 2010 ",#REF!,"No. Ramo",16,"IPP","U","PP",28,"UR","B32")</f>
        <v>#REF!</v>
      </c>
      <c r="O340" s="69" t="e">
        <f>+GETPIVOTDATA("PPEF 2011 ",#REF!,"No. Ramo",16,"IPP","G","PP",10)*14.5780711978406%+GETPIVOTDATA("PPEF 2011 ",#REF!,"No. Ramo",16,"IPP","G","PP",12)*96.3026593757919%+GETPIVOTDATA("PPEF 2011 ",#REF!,"No. Ramo",16,"IPP","K","PP",28)+GETPIVOTDATA("PPEF 2011 ",#REF!,"No. Ramo",16,"IPP","K","PP",111)+GETPIVOTDATA("PPEF 2011 ",#REF!,"No. Ramo",16,"IPP","K","PP",132)+GETPIVOTDATA("PPEF 2011 ",#REF!,"No. Ramo",16,"IPP","K","PP",133)+GETPIVOTDATA("PPEF 2011 ",#REF!,"No. Ramo",16,"IPP","K","PP",135)+GETPIVOTDATA("PPEF 2011 ",#REF!,"No. Ramo",16,"IPP","R","PP",14,"UR","B05")+GETPIVOTDATA("PPEF 2011 ",#REF!,"No. Ramo",16,"IPP","S","PP",79)+GETPIVOTDATA("PPEF 2011 ",#REF!,"No. Ramo",16,"IPP","S","PP",217)+GETPIVOTDATA("PPEF 2011 ",#REF!,"No. Ramo",16,"IPP","U","PP",19)+GETPIVOTDATA("PPEF 2011 ",#REF!,"No. Ramo",16,"IPP","U","PP",28,"UR","B32")</f>
        <v>#REF!</v>
      </c>
      <c r="P340" s="69" t="e">
        <f>+GETPIVOTDATA("Reducción ",#REF!,"No. Ramo",16,"IPP","G","PP",10)*14.5780711978406%+GETPIVOTDATA("Reducción ",#REF!,"No. Ramo",16,"IPP","G","PP",12)*96.3026593757919%+GETPIVOTDATA("Reducción ",#REF!,"No. Ramo",16,"IPP","K","PP",28)+GETPIVOTDATA("Reducción ",#REF!,"No. Ramo",16,"IPP","K","PP",111)+GETPIVOTDATA("Reducción ",#REF!,"No. Ramo",16,"IPP","K","PP",132)+GETPIVOTDATA("Reducción ",#REF!,"No. Ramo",16,"IPP","K","PP",133)+GETPIVOTDATA("Reducción ",#REF!,"No. Ramo",16,"IPP","K","PP",135)+GETPIVOTDATA("Reducción ",#REF!,"No. Ramo",16,"IPP","R","PP",14,"UR","B05")+GETPIVOTDATA("Reducción ",#REF!,"No. Ramo",16,"IPP","S","PP",79)+GETPIVOTDATA("Reducción ",#REF!,"No. Ramo",16,"IPP","S","PP",217)+GETPIVOTDATA("Reducción ",#REF!,"No. Ramo",16,"IPP","U","PP",19)+GETPIVOTDATA("Reducción ",#REF!,"No. Ramo",16,"IPP","U","PP",28,"UR","B32")</f>
        <v>#REF!</v>
      </c>
      <c r="Q340" s="69" t="e">
        <f>+GETPIVOTDATA("Ampliación ",#REF!,"No. Ramo",16,"IPP","G","PP",10)*14.5780711978406%+GETPIVOTDATA("Ampliación ",#REF!,"No. Ramo",16,"IPP","G","PP",12)*96.3026593757919%+GETPIVOTDATA("Ampliación ",#REF!,"No. Ramo",16,"IPP","K","PP",28)+GETPIVOTDATA("Ampliación ",#REF!,"No. Ramo",16,"IPP","K","PP",111)+GETPIVOTDATA("Ampliación ",#REF!,"No. Ramo",16,"IPP","K","PP",132)+GETPIVOTDATA("Ampliación ",#REF!,"No. Ramo",16,"IPP","K","PP",133)+GETPIVOTDATA("Ampliación ",#REF!,"No. Ramo",16,"IPP","K","PP",135)+GETPIVOTDATA("Ampliación ",#REF!,"No. Ramo",16,"IPP","R","PP",14,"UR","B05")+GETPIVOTDATA("Ampliación ",#REF!,"No. Ramo",16,"IPP","S","PP",79)+GETPIVOTDATA("Ampliación ",#REF!,"No. Ramo",16,"IPP","S","PP",217)+GETPIVOTDATA("Ampliación ",#REF!,"No. Ramo",16,"IPP","U","PP",19)+GETPIVOTDATA("Ampliación ",#REF!,"No. Ramo",16,"IPP","U","PP",28,"UR","B32")</f>
        <v>#REF!</v>
      </c>
      <c r="R340" s="69" t="e">
        <f t="shared" si="100"/>
        <v>#REF!</v>
      </c>
      <c r="S340" s="69"/>
      <c r="T340" s="69"/>
      <c r="U340" s="69" t="e">
        <f t="shared" si="104"/>
        <v>#REF!</v>
      </c>
      <c r="V340" s="69" t="e">
        <f t="shared" si="104"/>
        <v>#REF!</v>
      </c>
      <c r="W340" s="69" t="e">
        <f t="shared" si="104"/>
        <v>#REF!</v>
      </c>
      <c r="X340" s="69" t="e">
        <f t="shared" si="104"/>
        <v>#REF!</v>
      </c>
      <c r="AH340" s="152"/>
      <c r="AI340" s="157" t="s">
        <v>756</v>
      </c>
      <c r="AJ340" s="158"/>
      <c r="AK340" s="158"/>
      <c r="AL340" s="150"/>
      <c r="AM340" s="150"/>
      <c r="AN340" s="150"/>
      <c r="AO340" s="151"/>
      <c r="AP340" s="146"/>
      <c r="AQ340" s="146"/>
      <c r="AR340" s="146"/>
      <c r="AS340" s="245"/>
      <c r="AT340" s="245"/>
      <c r="AU340" s="146"/>
      <c r="AX340" s="152"/>
      <c r="AY340" s="157" t="s">
        <v>756</v>
      </c>
      <c r="AZ340" s="158"/>
      <c r="BA340" s="158"/>
      <c r="BB340" s="189"/>
      <c r="BC340" s="189"/>
      <c r="BD340" s="189"/>
      <c r="BE340" s="190"/>
      <c r="BF340" s="187">
        <f>+AU340</f>
        <v>0</v>
      </c>
    </row>
    <row r="341" spans="2:58">
      <c r="B341" s="31"/>
      <c r="C341" s="30" t="s">
        <v>757</v>
      </c>
      <c r="D341" s="30"/>
      <c r="E341" s="30"/>
      <c r="F341" s="33"/>
      <c r="G341" s="33" t="s">
        <v>307</v>
      </c>
      <c r="H341" s="33"/>
      <c r="I341" s="67">
        <v>1</v>
      </c>
      <c r="J341" s="33"/>
      <c r="K341" s="69" t="e">
        <f>+GETPIVOTDATA("PPEF 2010 ",#REF!,"No. Ramo",16,"IPP","E","PP",9,"UR","RJE")+GETPIVOTDATA("PPEF 2010 ",#REF!,"No. Ramo",16,"IPP","K","PP",138,"UR","RJE")+GETPIVOTDATA("PPEF 2010 ",#REF!,"No. Ramo",16,"IPP","M","PP",1,"UR","RJE")+GETPIVOTDATA("PPEF 2010 ",#REF!,"No. Ramo",16,"IPP","O","PP",1,"UR","RJE")</f>
        <v>#REF!</v>
      </c>
      <c r="L341" s="69" t="e">
        <f>+GETPIVOTDATA("Ampliación Neta DIP ",#REF!,"No. Ramo",16,"IPP","E","PP",9,"UR","RJE")+GETPIVOTDATA("Ampliación Neta DIP ",#REF!,"No. Ramo",16,"IPP","K","PP",138,"UR","RJE")+GETPIVOTDATA("Ampliación Neta DIP ",#REF!,"No. Ramo",16,"IPP","M","PP",1,"UR","RJE")+GETPIVOTDATA("Ampliación Neta DIP ",#REF!,"No. Ramo",16,"IPP","O","PP",1,"UR","RJE")</f>
        <v>#REF!</v>
      </c>
      <c r="M341" s="69" t="e">
        <f>+GETPIVOTDATA("Recorte SHCP ",#REF!,"No. Ramo",16,"IPP","E","PP",9,"UR","RJE")+GETPIVOTDATA("Recorte SHCP ",#REF!,"No. Ramo",16,"IPP","K","PP",138,"UR","RJE")+GETPIVOTDATA("Recorte SHCP ",#REF!,"No. Ramo",16,"IPP","M","PP",1,"UR","RJE")+GETPIVOTDATA("Recorte SHCP ",#REF!,"No. Ramo",16,"IPP","O","PP",1,"UR","RJE")</f>
        <v>#REF!</v>
      </c>
      <c r="N341" s="69" t="e">
        <f>+GETPIVOTDATA("PEF 2010 ",#REF!,"No. Ramo",16,"IPP","E","PP",9,"UR","RJE")+GETPIVOTDATA("PEF 2010 ",#REF!,"No. Ramo",16,"IPP","K","PP",138,"UR","RJE")+GETPIVOTDATA("PEF 2010 ",#REF!,"No. Ramo",16,"IPP","M","PP",1,"UR","RJE")+GETPIVOTDATA("PEF 2010 ",#REF!,"No. Ramo",16,"IPP","O","PP",1,"UR","RJE")</f>
        <v>#REF!</v>
      </c>
      <c r="O341" s="69" t="e">
        <f>+GETPIVOTDATA("PPEF 2011 ",#REF!,"No. Ramo",16,"IPP","E","PP",9,"UR","RJE")+GETPIVOTDATA("PPEF 2011 ",#REF!,"No. Ramo",16,"IPP","K","PP",138,"UR","RJE")+GETPIVOTDATA("PPEF 2011 ",#REF!,"No. Ramo",16,"IPP","M","PP",1,"UR","RJE")+GETPIVOTDATA("PPEF 2011 ",#REF!,"No. Ramo",16,"IPP","O","PP",1,"UR","RJE")</f>
        <v>#REF!</v>
      </c>
      <c r="P341" s="69" t="e">
        <f>+GETPIVOTDATA("Reducción ",#REF!,"No. Ramo",16,"IPP","E","PP",9,"UR","RJE")+GETPIVOTDATA("Reducción ",#REF!,"No. Ramo",16,"IPP","K","PP",138,"UR","RJE")+GETPIVOTDATA("Reducción ",#REF!,"No. Ramo",16,"IPP","M","PP",1,"UR","RJE")+GETPIVOTDATA("Reducción ",#REF!,"No. Ramo",16,"IPP","O","PP",1,"UR","RJE")</f>
        <v>#REF!</v>
      </c>
      <c r="Q341" s="69" t="e">
        <f>+GETPIVOTDATA("Ampliación ",#REF!,"No. Ramo",16,"IPP","E","PP",9,"UR","RJE")+GETPIVOTDATA("Ampliación ",#REF!,"No. Ramo",16,"IPP","K","PP",138,"UR","RJE")+GETPIVOTDATA("Ampliación ",#REF!,"No. Ramo",16,"IPP","M","PP",1,"UR","RJE")+GETPIVOTDATA("Ampliación ",#REF!,"No. Ramo",16,"IPP","O","PP",1,"UR","RJE")</f>
        <v>#REF!</v>
      </c>
      <c r="R341" s="69" t="e">
        <f t="shared" si="100"/>
        <v>#REF!</v>
      </c>
      <c r="S341" s="69"/>
      <c r="T341" s="69"/>
      <c r="U341" s="69" t="e">
        <f t="shared" si="104"/>
        <v>#REF!</v>
      </c>
      <c r="V341" s="69" t="e">
        <f t="shared" si="104"/>
        <v>#REF!</v>
      </c>
      <c r="W341" s="69" t="e">
        <f t="shared" si="104"/>
        <v>#REF!</v>
      </c>
      <c r="X341" s="69" t="e">
        <f t="shared" si="104"/>
        <v>#REF!</v>
      </c>
      <c r="AH341" s="152"/>
      <c r="AI341" s="157" t="s">
        <v>757</v>
      </c>
      <c r="AJ341" s="158"/>
      <c r="AK341" s="158"/>
      <c r="AL341" s="150"/>
      <c r="AM341" s="150"/>
      <c r="AN341" s="150"/>
      <c r="AO341" s="151"/>
      <c r="AP341" s="146"/>
      <c r="AQ341" s="146"/>
      <c r="AR341" s="146"/>
      <c r="AS341" s="245"/>
      <c r="AT341" s="245"/>
      <c r="AU341" s="146"/>
      <c r="AX341" s="152"/>
      <c r="AY341" s="157" t="s">
        <v>757</v>
      </c>
      <c r="AZ341" s="158"/>
      <c r="BA341" s="158"/>
      <c r="BB341" s="189"/>
      <c r="BC341" s="189"/>
      <c r="BD341" s="189"/>
      <c r="BE341" s="190"/>
      <c r="BF341" s="187">
        <f>+AU341</f>
        <v>0</v>
      </c>
    </row>
    <row r="342" spans="2:58">
      <c r="B342" s="31"/>
      <c r="C342" s="30" t="s">
        <v>758</v>
      </c>
      <c r="D342" s="30"/>
      <c r="E342" s="30"/>
      <c r="F342" s="33" t="s">
        <v>809</v>
      </c>
      <c r="G342" s="33" t="s">
        <v>13</v>
      </c>
      <c r="H342" s="33"/>
      <c r="I342" s="67">
        <v>1</v>
      </c>
      <c r="J342" s="33"/>
      <c r="K342" s="69" t="e">
        <f>+GETPIVOTDATA("PPEF 2010 ",#REF!,"No. Ramo",16,"IPP","K","PP",129)+GETPIVOTDATA("PPEF 2010 ",#REF!,"No. Ramo",16,"IPP","K","PP",134)+GETPIVOTDATA("PPEF 2010 ",#REF!,"No. Ramo",16,"IPP","K","PP",137)+GETPIVOTDATA("PPEF 2010 ",#REF!,"No. Ramo",16,"IPP","S","PP",74)+GETPIVOTDATA("PPEF 2010 ",#REF!,"No. Ramo",16,"IPP","S","PP",75)</f>
        <v>#REF!</v>
      </c>
      <c r="L342" s="69" t="e">
        <f>+GETPIVOTDATA("Ampliación Neta DIP ",#REF!,"No. Ramo",16,"IPP","K","PP",129)+GETPIVOTDATA("Ampliación Neta DIP ",#REF!,"No. Ramo",16,"IPP","K","PP",134)+GETPIVOTDATA("Ampliación Neta DIP ",#REF!,"No. Ramo",16,"IPP","K","PP",137)+GETPIVOTDATA("Ampliación Neta DIP ",#REF!,"No. Ramo",16,"IPP","S","PP",74)+GETPIVOTDATA("Ampliación Neta DIP ",#REF!,"No. Ramo",16,"IPP","S","PP",75)</f>
        <v>#REF!</v>
      </c>
      <c r="M342" s="69" t="e">
        <f>+GETPIVOTDATA("Recorte SHCP ",#REF!,"No. Ramo",16,"IPP","K","PP",129)+GETPIVOTDATA("Recorte SHCP ",#REF!,"No. Ramo",16,"IPP","K","PP",134)+GETPIVOTDATA("Recorte SHCP ",#REF!,"No. Ramo",16,"IPP","K","PP",137)+GETPIVOTDATA("Recorte SHCP ",#REF!,"No. Ramo",16,"IPP","S","PP",74)+GETPIVOTDATA("Recorte SHCP ",#REF!,"No. Ramo",16,"IPP","S","PP",75)</f>
        <v>#REF!</v>
      </c>
      <c r="N342" s="69" t="e">
        <f>+GETPIVOTDATA("PEF 2010 ",#REF!,"No. Ramo",16,"IPP","K","PP",129)+GETPIVOTDATA("PEF 2010 ",#REF!,"No. Ramo",16,"IPP","K","PP",134)+GETPIVOTDATA("PEF 2010 ",#REF!,"No. Ramo",16,"IPP","K","PP",137)+GETPIVOTDATA("PEF 2010 ",#REF!,"No. Ramo",16,"IPP","S","PP",74)+GETPIVOTDATA("PEF 2010 ",#REF!,"No. Ramo",16,"IPP","S","PP",75)</f>
        <v>#REF!</v>
      </c>
      <c r="O342" s="69" t="e">
        <f>+GETPIVOTDATA("PPEF 2011 ",#REF!,"No. Ramo",16,"IPP","K","PP",129)+GETPIVOTDATA("PPEF 2011 ",#REF!,"No. Ramo",16,"IPP","K","PP",134)+GETPIVOTDATA("PPEF 2011 ",#REF!,"No. Ramo",16,"IPP","K","PP",137)+GETPIVOTDATA("PPEF 2011 ",#REF!,"No. Ramo",16,"IPP","S","PP",74)+GETPIVOTDATA("PPEF 2011 ",#REF!,"No. Ramo",16,"IPP","S","PP",75)</f>
        <v>#REF!</v>
      </c>
      <c r="P342" s="69" t="e">
        <f>+GETPIVOTDATA("Reducción ",#REF!,"No. Ramo",16,"IPP","K","PP",129)+GETPIVOTDATA("Reducción ",#REF!,"No. Ramo",16,"IPP","K","PP",134)+GETPIVOTDATA("Reducción ",#REF!,"No. Ramo",16,"IPP","K","PP",137)+GETPIVOTDATA("Reducción ",#REF!,"No. Ramo",16,"IPP","S","PP",74)+GETPIVOTDATA("Reducción ",#REF!,"No. Ramo",16,"IPP","S","PP",75)</f>
        <v>#REF!</v>
      </c>
      <c r="Q342" s="69" t="e">
        <f>+GETPIVOTDATA("Ampliación ",#REF!,"No. Ramo",16,"IPP","K","PP",129)+GETPIVOTDATA("Ampliación ",#REF!,"No. Ramo",16,"IPP","K","PP",134)+GETPIVOTDATA("Ampliación ",#REF!,"No. Ramo",16,"IPP","K","PP",137)+GETPIVOTDATA("Ampliación ",#REF!,"No. Ramo",16,"IPP","S","PP",74)+GETPIVOTDATA("Ampliación ",#REF!,"No. Ramo",16,"IPP","S","PP",75)</f>
        <v>#REF!</v>
      </c>
      <c r="R342" s="69" t="e">
        <f t="shared" si="100"/>
        <v>#REF!</v>
      </c>
      <c r="S342" s="69"/>
      <c r="T342" s="69"/>
      <c r="U342" s="69" t="e">
        <f t="shared" si="104"/>
        <v>#REF!</v>
      </c>
      <c r="V342" s="69" t="e">
        <f t="shared" si="104"/>
        <v>#REF!</v>
      </c>
      <c r="W342" s="69" t="e">
        <f t="shared" si="104"/>
        <v>#REF!</v>
      </c>
      <c r="X342" s="69" t="e">
        <f t="shared" si="104"/>
        <v>#REF!</v>
      </c>
      <c r="AH342" s="152"/>
      <c r="AI342" s="157" t="s">
        <v>758</v>
      </c>
      <c r="AJ342" s="158"/>
      <c r="AK342" s="158"/>
      <c r="AL342" s="150"/>
      <c r="AM342" s="150"/>
      <c r="AN342" s="150"/>
      <c r="AO342" s="151"/>
      <c r="AP342" s="146"/>
      <c r="AQ342" s="146"/>
      <c r="AR342" s="146"/>
      <c r="AS342" s="245"/>
      <c r="AT342" s="245"/>
      <c r="AU342" s="146"/>
      <c r="AX342" s="152"/>
      <c r="AY342" s="157" t="s">
        <v>758</v>
      </c>
      <c r="AZ342" s="158"/>
      <c r="BA342" s="158"/>
      <c r="BB342" s="189"/>
      <c r="BC342" s="189"/>
      <c r="BD342" s="189"/>
      <c r="BE342" s="190"/>
      <c r="BF342" s="187">
        <f>+AU342</f>
        <v>0</v>
      </c>
    </row>
    <row r="343" spans="2:58">
      <c r="B343" s="28" t="s">
        <v>754</v>
      </c>
      <c r="C343" s="29" t="s">
        <v>759</v>
      </c>
      <c r="D343" s="29"/>
      <c r="E343" s="29"/>
      <c r="F343" s="28"/>
      <c r="G343" s="28"/>
      <c r="H343" s="28"/>
      <c r="I343" s="65"/>
      <c r="J343" s="28"/>
      <c r="K343" s="66" t="e">
        <f t="shared" ref="K343:Q343" si="110">+K344</f>
        <v>#REF!</v>
      </c>
      <c r="L343" s="66" t="e">
        <f t="shared" si="110"/>
        <v>#REF!</v>
      </c>
      <c r="M343" s="66" t="e">
        <f t="shared" si="110"/>
        <v>#REF!</v>
      </c>
      <c r="N343" s="66" t="e">
        <f t="shared" si="110"/>
        <v>#REF!</v>
      </c>
      <c r="O343" s="66" t="e">
        <f t="shared" si="110"/>
        <v>#REF!</v>
      </c>
      <c r="P343" s="66" t="e">
        <f t="shared" si="110"/>
        <v>#REF!</v>
      </c>
      <c r="Q343" s="66" t="e">
        <f t="shared" si="110"/>
        <v>#REF!</v>
      </c>
      <c r="R343" s="66" t="e">
        <f t="shared" si="100"/>
        <v>#REF!</v>
      </c>
      <c r="S343" s="66"/>
      <c r="T343" s="66"/>
      <c r="U343" s="66" t="e">
        <f>+U344</f>
        <v>#REF!</v>
      </c>
      <c r="V343" s="66" t="e">
        <f>+V344</f>
        <v>#REF!</v>
      </c>
      <c r="W343" s="66" t="e">
        <f>+W344</f>
        <v>#REF!</v>
      </c>
      <c r="X343" s="66" t="e">
        <f>+X344</f>
        <v>#REF!</v>
      </c>
      <c r="AH343" s="147" t="s">
        <v>754</v>
      </c>
      <c r="AI343" s="148" t="s">
        <v>759</v>
      </c>
      <c r="AJ343" s="160"/>
      <c r="AK343" s="160"/>
      <c r="AL343" s="149"/>
      <c r="AM343" s="150"/>
      <c r="AN343" s="150"/>
      <c r="AO343" s="151"/>
      <c r="AP343" s="146">
        <f>AP344</f>
        <v>0</v>
      </c>
      <c r="AQ343" s="146">
        <f>AQ344</f>
        <v>0</v>
      </c>
      <c r="AR343" s="146">
        <f>AR344</f>
        <v>0</v>
      </c>
      <c r="AS343" s="245"/>
      <c r="AT343" s="245"/>
      <c r="AU343" s="146">
        <f>AU344</f>
        <v>0</v>
      </c>
      <c r="AX343" s="147" t="s">
        <v>754</v>
      </c>
      <c r="AY343" s="148" t="s">
        <v>759</v>
      </c>
      <c r="AZ343" s="160"/>
      <c r="BA343" s="160"/>
      <c r="BB343" s="149"/>
      <c r="BC343" s="189"/>
      <c r="BD343" s="189"/>
      <c r="BE343" s="190"/>
      <c r="BF343" s="187">
        <f>BF344</f>
        <v>0</v>
      </c>
    </row>
    <row r="344" spans="2:58">
      <c r="B344" s="31"/>
      <c r="C344" s="30" t="s">
        <v>760</v>
      </c>
      <c r="D344" s="30"/>
      <c r="E344" s="30"/>
      <c r="F344" s="33" t="s">
        <v>845</v>
      </c>
      <c r="G344" s="33">
        <v>411</v>
      </c>
      <c r="H344" s="33"/>
      <c r="I344" s="67">
        <v>1</v>
      </c>
      <c r="J344" s="33"/>
      <c r="K344" s="69" t="e">
        <f>+GETPIVOTDATA("PPEF 2010 ",#REF!,"No. Ramo",23,"IPP","U","PP",23,"UR",411)</f>
        <v>#REF!</v>
      </c>
      <c r="L344" s="69" t="e">
        <f>+GETPIVOTDATA("Ampliación Neta DIP ",#REF!,"No. Ramo",23,"IPP","U","PP",23,"UR",411)</f>
        <v>#REF!</v>
      </c>
      <c r="M344" s="69" t="e">
        <f>+GETPIVOTDATA("Recorte SHCP ",#REF!,"No. Ramo",23,"IPP","U","PP",23,"UR",411)</f>
        <v>#REF!</v>
      </c>
      <c r="N344" s="69" t="e">
        <f>+GETPIVOTDATA("PEF 2010 ",#REF!,"No. Ramo",23,"IPP","U","PP",23,"UR",411)</f>
        <v>#REF!</v>
      </c>
      <c r="O344" s="69" t="e">
        <f>+GETPIVOTDATA("PPEF 2011 ",#REF!,"No. Ramo",23,"IPP","U","PP",23,"UR",411)</f>
        <v>#REF!</v>
      </c>
      <c r="P344" s="69" t="e">
        <f>+GETPIVOTDATA("Reducción ",#REF!,"No. Ramo",23,"IPP","U","PP",23,"UR",411)</f>
        <v>#REF!</v>
      </c>
      <c r="Q344" s="69" t="e">
        <f>+GETPIVOTDATA("Ampliación ",#REF!,"No. Ramo",23,"IPP","U","PP",23,"UR",411)</f>
        <v>#REF!</v>
      </c>
      <c r="R344" s="69" t="e">
        <f t="shared" si="100"/>
        <v>#REF!</v>
      </c>
      <c r="S344" s="69"/>
      <c r="T344" s="69"/>
      <c r="U344" s="69" t="e">
        <f t="shared" si="104"/>
        <v>#REF!</v>
      </c>
      <c r="V344" s="69" t="e">
        <f t="shared" si="104"/>
        <v>#REF!</v>
      </c>
      <c r="W344" s="69" t="e">
        <f t="shared" si="104"/>
        <v>#REF!</v>
      </c>
      <c r="X344" s="69" t="e">
        <f t="shared" si="104"/>
        <v>#REF!</v>
      </c>
      <c r="AH344" s="152"/>
      <c r="AI344" s="157" t="s">
        <v>760</v>
      </c>
      <c r="AJ344" s="158"/>
      <c r="AK344" s="158"/>
      <c r="AL344" s="150"/>
      <c r="AM344" s="150"/>
      <c r="AN344" s="150"/>
      <c r="AO344" s="151"/>
      <c r="AP344" s="146">
        <v>0</v>
      </c>
      <c r="AQ344" s="146">
        <v>0</v>
      </c>
      <c r="AR344" s="146">
        <v>0</v>
      </c>
      <c r="AS344" s="245"/>
      <c r="AT344" s="245"/>
      <c r="AU344" s="146">
        <v>0</v>
      </c>
      <c r="AX344" s="152"/>
      <c r="AY344" s="157" t="s">
        <v>760</v>
      </c>
      <c r="AZ344" s="158"/>
      <c r="BA344" s="158"/>
      <c r="BB344" s="189"/>
      <c r="BC344" s="189"/>
      <c r="BD344" s="189"/>
      <c r="BE344" s="190"/>
      <c r="BF344" s="187">
        <v>0</v>
      </c>
    </row>
    <row r="345" spans="2:58">
      <c r="B345" s="28" t="s">
        <v>754</v>
      </c>
      <c r="C345" s="29" t="s">
        <v>761</v>
      </c>
      <c r="D345" s="29"/>
      <c r="E345" s="29"/>
      <c r="F345" s="28"/>
      <c r="G345" s="28"/>
      <c r="H345" s="28"/>
      <c r="J345" s="28"/>
      <c r="K345" s="66" t="e">
        <f t="shared" ref="K345:Q345" si="111">+SUM(K346:K348)</f>
        <v>#REF!</v>
      </c>
      <c r="L345" s="66" t="e">
        <f t="shared" si="111"/>
        <v>#REF!</v>
      </c>
      <c r="M345" s="66" t="e">
        <f t="shared" si="111"/>
        <v>#REF!</v>
      </c>
      <c r="N345" s="66" t="e">
        <f t="shared" si="111"/>
        <v>#REF!</v>
      </c>
      <c r="O345" s="66" t="e">
        <f t="shared" si="111"/>
        <v>#REF!</v>
      </c>
      <c r="P345" s="66" t="e">
        <f t="shared" si="111"/>
        <v>#REF!</v>
      </c>
      <c r="Q345" s="66" t="e">
        <f t="shared" si="111"/>
        <v>#REF!</v>
      </c>
      <c r="R345" s="66" t="e">
        <f t="shared" si="100"/>
        <v>#REF!</v>
      </c>
      <c r="S345" s="66"/>
      <c r="T345" s="66"/>
      <c r="U345" s="66" t="e">
        <f>+SUM(U346:U348)</f>
        <v>#REF!</v>
      </c>
      <c r="V345" s="66" t="e">
        <f>+SUM(V346:V348)</f>
        <v>#REF!</v>
      </c>
      <c r="W345" s="66" t="e">
        <f>+SUM(W346:W348)</f>
        <v>#REF!</v>
      </c>
      <c r="X345" s="66" t="e">
        <f>+SUM(X346:X348)</f>
        <v>#REF!</v>
      </c>
      <c r="AH345" s="147" t="s">
        <v>754</v>
      </c>
      <c r="AI345" s="148" t="s">
        <v>761</v>
      </c>
      <c r="AJ345" s="160"/>
      <c r="AK345" s="160"/>
      <c r="AL345" s="149"/>
      <c r="AM345" s="150"/>
      <c r="AN345" s="150"/>
      <c r="AO345" s="151"/>
      <c r="AP345" s="146">
        <f>AP346+AP347+AP348</f>
        <v>0</v>
      </c>
      <c r="AQ345" s="146">
        <f>AQ346+AQ347+AQ348</f>
        <v>0</v>
      </c>
      <c r="AR345" s="146">
        <f>AR346+AR347+AR348</f>
        <v>0</v>
      </c>
      <c r="AS345" s="245"/>
      <c r="AT345" s="245"/>
      <c r="AU345" s="146">
        <f>AU346+AU347+AU348</f>
        <v>0</v>
      </c>
      <c r="AX345" s="147" t="s">
        <v>754</v>
      </c>
      <c r="AY345" s="148" t="s">
        <v>761</v>
      </c>
      <c r="AZ345" s="160"/>
      <c r="BA345" s="160"/>
      <c r="BB345" s="149"/>
      <c r="BC345" s="189"/>
      <c r="BD345" s="189"/>
      <c r="BE345" s="190"/>
      <c r="BF345" s="187">
        <f>BF346+BF347+BF348</f>
        <v>0</v>
      </c>
    </row>
    <row r="346" spans="2:58">
      <c r="B346" s="28"/>
      <c r="C346" s="29"/>
      <c r="D346" s="30" t="s">
        <v>846</v>
      </c>
      <c r="E346" s="29"/>
      <c r="F346" s="28"/>
      <c r="G346" s="28"/>
      <c r="H346" s="28"/>
      <c r="I346" s="67">
        <v>0.60112941558638422</v>
      </c>
      <c r="J346" s="67"/>
      <c r="K346" s="69" t="e">
        <f>+GETPIVOTDATA("PPEF 2010 ",#REF!,"No. Ramo",33,"IPP","I","PP",501,"UR",416)+GETPIVOTDATA("PPEF 2010 ",#REF!,"No. Ramo",33,"IPP","I","PP",502,"UR",416)+GETPIVOTDATA("PPEF 2010 ",#REF!,"No. Ramo",33,"IPP","I","PP",503,"UR",416)+GETPIVOTDATA("PPEF 2010 ",#REF!,"No. Ramo",33,"IPP","I","PP",504,"UR",416)+GETPIVOTDATA("PPEF 2010 ",#REF!,"No. Ramo",33,"IPP","I","PP",505,"UR",416)+GETPIVOTDATA("PPEF 2010 ",#REF!,"No. Ramo",33,"IPP","I","PP",506,"UR",416)+GETPIVOTDATA("PPEF 2010 ",#REF!,"No. Ramo",33,"IPP","I","PP",507,"UR",416)+GETPIVOTDATA("PPEF 2010 ",#REF!,"No. Ramo",33,"IPP","I","PP",508,"UR",416)+GETPIVOTDATA("PPEF 2010 ",#REF!,"No. Ramo",33,"IPP","I","PP",509,"UR",416)+GETPIVOTDATA("PPEF 2010 ",#REF!,"No. Ramo",33,"IPP","I","PP",510,"UR",416)+GETPIVOTDATA("PPEF 2010 ",#REF!,"No. Ramo",33,"IPP","I","PP",511,"UR",416)+GETPIVOTDATA("PPEF 2010 ",#REF!,"No. Ramo",33,"IPP","I","PP",512,"UR",416)+GETPIVOTDATA("PPEF 2010 ",#REF!,"No. Ramo",33,"IPP","I","PP",513,"UR",416)+GETPIVOTDATA("PPEF 2010 ",#REF!,"No. Ramo",33,"IPP","I","PP",514,"UR",416)+GETPIVOTDATA("PPEF 2010 ",#REF!,"No. Ramo",33,"IPP","I","PP",515,"UR",416)+GETPIVOTDATA("PPEF 2010 ",#REF!,"No. Ramo",33,"IPP","I","PP",516,"UR",416)+GETPIVOTDATA("PPEF 2010 ",#REF!,"No. Ramo",33,"IPP","I","PP",517,"UR",416)+GETPIVOTDATA("PPEF 2010 ",#REF!,"No. Ramo",33,"IPP","I","PP",518,"UR",416)+GETPIVOTDATA("PPEF 2010 ",#REF!,"No. Ramo",33,"IPP","I","PP",519,"UR",416)+GETPIVOTDATA("PPEF 2010 ",#REF!,"No. Ramo",33,"IPP","I","PP",520,"UR",416)+GETPIVOTDATA("PPEF 2010 ",#REF!,"No. Ramo",33,"IPP","I","PP",521,"UR",416)+GETPIVOTDATA("PPEF 2010 ",#REF!,"No. Ramo",33,"IPP","I","PP",522,"UR",416)+GETPIVOTDATA("PPEF 2010 ",#REF!,"No. Ramo",33,"IPP","I","PP",523,"UR",416)+GETPIVOTDATA("PPEF 2010 ",#REF!,"No. Ramo",33,"IPP","I","PP",524,"UR",416)+GETPIVOTDATA("PPEF 2010 ",#REF!,"No. Ramo",33,"IPP","I","PP",525,"UR",416)+GETPIVOTDATA("PPEF 2010 ",#REF!,"No. Ramo",33,"IPP","I","PP",526,"UR",416)+GETPIVOTDATA("PPEF 2010 ",#REF!,"No. Ramo",33,"IPP","I","PP",527,"UR",416)+GETPIVOTDATA("PPEF 2010 ",#REF!,"No. Ramo",33,"IPP","I","PP",528,"UR",416)+GETPIVOTDATA("PPEF 2010 ",#REF!,"No. Ramo",33,"IPP","I","PP",529,"UR",416)+GETPIVOTDATA("PPEF 2010 ",#REF!,"No. Ramo",33,"IPP","I","PP",530,"UR",416)+GETPIVOTDATA("PPEF 2010 ",#REF!,"No. Ramo",33,"IPP","I","PP",531,"UR",416)+GETPIVOTDATA("PPEF 2010 ",#REF!,"No. Ramo",33,"IPP","I","PP",532,"UR",416)</f>
        <v>#REF!</v>
      </c>
      <c r="L346" s="69" t="e">
        <f>+GETPIVOTDATA("Ampliación Neta DIP ",#REF!,"No. Ramo",33,"IPP","I","PP",501,"UR",416)+GETPIVOTDATA("Ampliación Neta DIP ",#REF!,"No. Ramo",33,"IPP","I","PP",502,"UR",416)+GETPIVOTDATA("Ampliación Neta DIP ",#REF!,"No. Ramo",33,"IPP","I","PP",503,"UR",416)+GETPIVOTDATA("Ampliación Neta DIP ",#REF!,"No. Ramo",33,"IPP","I","PP",504,"UR",416)+GETPIVOTDATA("Ampliación Neta DIP ",#REF!,"No. Ramo",33,"IPP","I","PP",505,"UR",416)+GETPIVOTDATA("Ampliación Neta DIP ",#REF!,"No. Ramo",33,"IPP","I","PP",506,"UR",416)+GETPIVOTDATA("Ampliación Neta DIP ",#REF!,"No. Ramo",33,"IPP","I","PP",507,"UR",416)+GETPIVOTDATA("Ampliación Neta DIP ",#REF!,"No. Ramo",33,"IPP","I","PP",508,"UR",416)+GETPIVOTDATA("Ampliación Neta DIP ",#REF!,"No. Ramo",33,"IPP","I","PP",509,"UR",416)+GETPIVOTDATA("Ampliación Neta DIP ",#REF!,"No. Ramo",33,"IPP","I","PP",510,"UR",416)+GETPIVOTDATA("Ampliación Neta DIP ",#REF!,"No. Ramo",33,"IPP","I","PP",511,"UR",416)+GETPIVOTDATA("Ampliación Neta DIP ",#REF!,"No. Ramo",33,"IPP","I","PP",512,"UR",416)+GETPIVOTDATA("Ampliación Neta DIP ",#REF!,"No. Ramo",33,"IPP","I","PP",513,"UR",416)+GETPIVOTDATA("Ampliación Neta DIP ",#REF!,"No. Ramo",33,"IPP","I","PP",514,"UR",416)+GETPIVOTDATA("Ampliación Neta DIP ",#REF!,"No. Ramo",33,"IPP","I","PP",515,"UR",416)+GETPIVOTDATA("Ampliación Neta DIP ",#REF!,"No. Ramo",33,"IPP","I","PP",516,"UR",416)+GETPIVOTDATA("Ampliación Neta DIP ",#REF!,"No. Ramo",33,"IPP","I","PP",517,"UR",416)+GETPIVOTDATA("Ampliación Neta DIP ",#REF!,"No. Ramo",33,"IPP","I","PP",518,"UR",416)+GETPIVOTDATA("Ampliación Neta DIP ",#REF!,"No. Ramo",33,"IPP","I","PP",519,"UR",416)+GETPIVOTDATA("Ampliación Neta DIP ",#REF!,"No. Ramo",33,"IPP","I","PP",520,"UR",416)+GETPIVOTDATA("Ampliación Neta DIP ",#REF!,"No. Ramo",33,"IPP","I","PP",521,"UR",416)+GETPIVOTDATA("Ampliación Neta DIP ",#REF!,"No. Ramo",33,"IPP","I","PP",522,"UR",416)+GETPIVOTDATA("Ampliación Neta DIP ",#REF!,"No. Ramo",33,"IPP","I","PP",523,"UR",416)+GETPIVOTDATA("Ampliación Neta DIP ",#REF!,"No. Ramo",33,"IPP","I","PP",524,"UR",416)+GETPIVOTDATA("Ampliación Neta DIP ",#REF!,"No. Ramo",33,"IPP","I","PP",525,"UR",416)+GETPIVOTDATA("Ampliación Neta DIP ",#REF!,"No. Ramo",33,"IPP","I","PP",526,"UR",416)+GETPIVOTDATA("Ampliación Neta DIP ",#REF!,"No. Ramo",33,"IPP","I","PP",527,"UR",416)+GETPIVOTDATA("Ampliación Neta DIP ",#REF!,"No. Ramo",33,"IPP","I","PP",528,"UR",416)+GETPIVOTDATA("Ampliación Neta DIP ",#REF!,"No. Ramo",33,"IPP","I","PP",529,"UR",416)+GETPIVOTDATA("Ampliación Neta DIP ",#REF!,"No. Ramo",33,"IPP","I","PP",530,"UR",416)+GETPIVOTDATA("Ampliación Neta DIP ",#REF!,"No. Ramo",33,"IPP","I","PP",531,"UR",416)+GETPIVOTDATA("Ampliación Neta DIP ",#REF!,"No. Ramo",33,"IPP","I","PP",532,"UR",416)</f>
        <v>#REF!</v>
      </c>
      <c r="M346" s="69" t="e">
        <f>+GETPIVOTDATA("Recorte SHCP ",#REF!,"No. Ramo",33,"IPP","I","PP",501,"UR",416)+GETPIVOTDATA("Recorte SHCP ",#REF!,"No. Ramo",33,"IPP","I","PP",502,"UR",416)+GETPIVOTDATA("Recorte SHCP ",#REF!,"No. Ramo",33,"IPP","I","PP",503,"UR",416)+GETPIVOTDATA("Recorte SHCP ",#REF!,"No. Ramo",33,"IPP","I","PP",504,"UR",416)+GETPIVOTDATA("Recorte SHCP ",#REF!,"No. Ramo",33,"IPP","I","PP",505,"UR",416)+GETPIVOTDATA("Recorte SHCP ",#REF!,"No. Ramo",33,"IPP","I","PP",506,"UR",416)+GETPIVOTDATA("Recorte SHCP ",#REF!,"No. Ramo",33,"IPP","I","PP",507,"UR",416)+GETPIVOTDATA("Recorte SHCP ",#REF!,"No. Ramo",33,"IPP","I","PP",508,"UR",416)+GETPIVOTDATA("Recorte SHCP ",#REF!,"No. Ramo",33,"IPP","I","PP",509,"UR",416)+GETPIVOTDATA("Recorte SHCP ",#REF!,"No. Ramo",33,"IPP","I","PP",510,"UR",416)+GETPIVOTDATA("Recorte SHCP ",#REF!,"No. Ramo",33,"IPP","I","PP",511,"UR",416)+GETPIVOTDATA("Recorte SHCP ",#REF!,"No. Ramo",33,"IPP","I","PP",512,"UR",416)+GETPIVOTDATA("Recorte SHCP ",#REF!,"No. Ramo",33,"IPP","I","PP",513,"UR",416)+GETPIVOTDATA("Recorte SHCP ",#REF!,"No. Ramo",33,"IPP","I","PP",514,"UR",416)+GETPIVOTDATA("Recorte SHCP ",#REF!,"No. Ramo",33,"IPP","I","PP",515,"UR",416)+GETPIVOTDATA("Recorte SHCP ",#REF!,"No. Ramo",33,"IPP","I","PP",516,"UR",416)+GETPIVOTDATA("Recorte SHCP ",#REF!,"No. Ramo",33,"IPP","I","PP",517,"UR",416)+GETPIVOTDATA("Recorte SHCP ",#REF!,"No. Ramo",33,"IPP","I","PP",518,"UR",416)+GETPIVOTDATA("Recorte SHCP ",#REF!,"No. Ramo",33,"IPP","I","PP",519,"UR",416)+GETPIVOTDATA("Recorte SHCP ",#REF!,"No. Ramo",33,"IPP","I","PP",520,"UR",416)+GETPIVOTDATA("Recorte SHCP ",#REF!,"No. Ramo",33,"IPP","I","PP",521,"UR",416)+GETPIVOTDATA("Recorte SHCP ",#REF!,"No. Ramo",33,"IPP","I","PP",522,"UR",416)+GETPIVOTDATA("Recorte SHCP ",#REF!,"No. Ramo",33,"IPP","I","PP",523,"UR",416)+GETPIVOTDATA("Recorte SHCP ",#REF!,"No. Ramo",33,"IPP","I","PP",524,"UR",416)+GETPIVOTDATA("Recorte SHCP ",#REF!,"No. Ramo",33,"IPP","I","PP",525,"UR",416)+GETPIVOTDATA("Recorte SHCP ",#REF!,"No. Ramo",33,"IPP","I","PP",526,"UR",416)+GETPIVOTDATA("Recorte SHCP ",#REF!,"No. Ramo",33,"IPP","I","PP",527,"UR",416)+GETPIVOTDATA("Recorte SHCP ",#REF!,"No. Ramo",33,"IPP","I","PP",528,"UR",416)+GETPIVOTDATA("Recorte SHCP ",#REF!,"No. Ramo",33,"IPP","I","PP",529,"UR",416)+GETPIVOTDATA("Recorte SHCP ",#REF!,"No. Ramo",33,"IPP","I","PP",530,"UR",416)+GETPIVOTDATA("Recorte SHCP ",#REF!,"No. Ramo",33,"IPP","I","PP",531,"UR",416)+GETPIVOTDATA("Recorte SHCP ",#REF!,"No. Ramo",33,"IPP","I","PP",532,"UR",416)</f>
        <v>#REF!</v>
      </c>
      <c r="N346" s="69" t="e">
        <f>+GETPIVOTDATA("PEF 2010 ",#REF!,"No. Ramo",33,"IPP","I","PP",501,"UR",416)+GETPIVOTDATA("PEF 2010 ",#REF!,"No. Ramo",33,"IPP","I","PP",502,"UR",416)+GETPIVOTDATA("PEF 2010 ",#REF!,"No. Ramo",33,"IPP","I","PP",503,"UR",416)+GETPIVOTDATA("PEF 2010 ",#REF!,"No. Ramo",33,"IPP","I","PP",504,"UR",416)+GETPIVOTDATA("PEF 2010 ",#REF!,"No. Ramo",33,"IPP","I","PP",505,"UR",416)+GETPIVOTDATA("PEF 2010 ",#REF!,"No. Ramo",33,"IPP","I","PP",506,"UR",416)+GETPIVOTDATA("PEF 2010 ",#REF!,"No. Ramo",33,"IPP","I","PP",507,"UR",416)+GETPIVOTDATA("PEF 2010 ",#REF!,"No. Ramo",33,"IPP","I","PP",508,"UR",416)+GETPIVOTDATA("PEF 2010 ",#REF!,"No. Ramo",33,"IPP","I","PP",509,"UR",416)+GETPIVOTDATA("PEF 2010 ",#REF!,"No. Ramo",33,"IPP","I","PP",510,"UR",416)+GETPIVOTDATA("PEF 2010 ",#REF!,"No. Ramo",33,"IPP","I","PP",511,"UR",416)+GETPIVOTDATA("PEF 2010 ",#REF!,"No. Ramo",33,"IPP","I","PP",512,"UR",416)+GETPIVOTDATA("PEF 2010 ",#REF!,"No. Ramo",33,"IPP","I","PP",513,"UR",416)+GETPIVOTDATA("PEF 2010 ",#REF!,"No. Ramo",33,"IPP","I","PP",514,"UR",416)+GETPIVOTDATA("PEF 2010 ",#REF!,"No. Ramo",33,"IPP","I","PP",515,"UR",416)+GETPIVOTDATA("PEF 2010 ",#REF!,"No. Ramo",33,"IPP","I","PP",516,"UR",416)+GETPIVOTDATA("PEF 2010 ",#REF!,"No. Ramo",33,"IPP","I","PP",517,"UR",416)+GETPIVOTDATA("PEF 2010 ",#REF!,"No. Ramo",33,"IPP","I","PP",518,"UR",416)+GETPIVOTDATA("PEF 2010 ",#REF!,"No. Ramo",33,"IPP","I","PP",519,"UR",416)+GETPIVOTDATA("PEF 2010 ",#REF!,"No. Ramo",33,"IPP","I","PP",520,"UR",416)+GETPIVOTDATA("PEF 2010 ",#REF!,"No. Ramo",33,"IPP","I","PP",521,"UR",416)+GETPIVOTDATA("PEF 2010 ",#REF!,"No. Ramo",33,"IPP","I","PP",522,"UR",416)+GETPIVOTDATA("PEF 2010 ",#REF!,"No. Ramo",33,"IPP","I","PP",523,"UR",416)+GETPIVOTDATA("PEF 2010 ",#REF!,"No. Ramo",33,"IPP","I","PP",524,"UR",416)+GETPIVOTDATA("PEF 2010 ",#REF!,"No. Ramo",33,"IPP","I","PP",525,"UR",416)+GETPIVOTDATA("PEF 2010 ",#REF!,"No. Ramo",33,"IPP","I","PP",526,"UR",416)+GETPIVOTDATA("PEF 2010 ",#REF!,"No. Ramo",33,"IPP","I","PP",527,"UR",416)+GETPIVOTDATA("PEF 2010 ",#REF!,"No. Ramo",33,"IPP","I","PP",528,"UR",416)+GETPIVOTDATA("PEF 2010 ",#REF!,"No. Ramo",33,"IPP","I","PP",529,"UR",416)+GETPIVOTDATA("PEF 2010 ",#REF!,"No. Ramo",33,"IPP","I","PP",530,"UR",416)+GETPIVOTDATA("PEF 2010 ",#REF!,"No. Ramo",33,"IPP","I","PP",531,"UR",416)+GETPIVOTDATA("PEF 2010 ",#REF!,"No. Ramo",33,"IPP","I","PP",532,"UR",416)</f>
        <v>#REF!</v>
      </c>
      <c r="O346" s="69" t="e">
        <f>+GETPIVOTDATA("PPEF 2011 ",#REF!,"No. Ramo",33,"IPP","I","PP",501,"UR",416)+GETPIVOTDATA("PPEF 2011 ",#REF!,"No. Ramo",33,"IPP","I","PP",502,"UR",416)+GETPIVOTDATA("PPEF 2011 ",#REF!,"No. Ramo",33,"IPP","I","PP",503,"UR",416)+GETPIVOTDATA("PPEF 2011 ",#REF!,"No. Ramo",33,"IPP","I","PP",504,"UR",416)+GETPIVOTDATA("PPEF 2011 ",#REF!,"No. Ramo",33,"IPP","I","PP",505,"UR",416)+GETPIVOTDATA("PPEF 2011 ",#REF!,"No. Ramo",33,"IPP","I","PP",506,"UR",416)+GETPIVOTDATA("PPEF 2011 ",#REF!,"No. Ramo",33,"IPP","I","PP",507,"UR",416)+GETPIVOTDATA("PPEF 2011 ",#REF!,"No. Ramo",33,"IPP","I","PP",508,"UR",416)+GETPIVOTDATA("PPEF 2011 ",#REF!,"No. Ramo",33,"IPP","I","PP",509,"UR",416)+GETPIVOTDATA("PPEF 2011 ",#REF!,"No. Ramo",33,"IPP","I","PP",510,"UR",416)+GETPIVOTDATA("PPEF 2011 ",#REF!,"No. Ramo",33,"IPP","I","PP",511,"UR",416)+GETPIVOTDATA("PPEF 2011 ",#REF!,"No. Ramo",33,"IPP","I","PP",512,"UR",416)+GETPIVOTDATA("PPEF 2011 ",#REF!,"No. Ramo",33,"IPP","I","PP",513,"UR",416)+GETPIVOTDATA("PPEF 2011 ",#REF!,"No. Ramo",33,"IPP","I","PP",514,"UR",416)+GETPIVOTDATA("PPEF 2011 ",#REF!,"No. Ramo",33,"IPP","I","PP",515,"UR",416)+GETPIVOTDATA("PPEF 2011 ",#REF!,"No. Ramo",33,"IPP","I","PP",516,"UR",416)+GETPIVOTDATA("PPEF 2011 ",#REF!,"No. Ramo",33,"IPP","I","PP",517,"UR",416)+GETPIVOTDATA("PPEF 2011 ",#REF!,"No. Ramo",33,"IPP","I","PP",518,"UR",416)+GETPIVOTDATA("PPEF 2011 ",#REF!,"No. Ramo",33,"IPP","I","PP",519,"UR",416)+GETPIVOTDATA("PPEF 2011 ",#REF!,"No. Ramo",33,"IPP","I","PP",520,"UR",416)+GETPIVOTDATA("PPEF 2011 ",#REF!,"No. Ramo",33,"IPP","I","PP",521,"UR",416)+GETPIVOTDATA("PPEF 2011 ",#REF!,"No. Ramo",33,"IPP","I","PP",522,"UR",416)+GETPIVOTDATA("PPEF 2011 ",#REF!,"No. Ramo",33,"IPP","I","PP",523,"UR",416)+GETPIVOTDATA("PPEF 2011 ",#REF!,"No. Ramo",33,"IPP","I","PP",524,"UR",416)+GETPIVOTDATA("PPEF 2011 ",#REF!,"No. Ramo",33,"IPP","I","PP",525,"UR",416)+GETPIVOTDATA("PPEF 2011 ",#REF!,"No. Ramo",33,"IPP","I","PP",526,"UR",416)+GETPIVOTDATA("PPEF 2011 ",#REF!,"No. Ramo",33,"IPP","I","PP",527,"UR",416)+GETPIVOTDATA("PPEF 2011 ",#REF!,"No. Ramo",33,"IPP","I","PP",528,"UR",416)+GETPIVOTDATA("PPEF 2011 ",#REF!,"No. Ramo",33,"IPP","I","PP",529,"UR",416)+GETPIVOTDATA("PPEF 2011 ",#REF!,"No. Ramo",33,"IPP","I","PP",530,"UR",416)+GETPIVOTDATA("PPEF 2011 ",#REF!,"No. Ramo",33,"IPP","I","PP",531,"UR",416)+GETPIVOTDATA("PPEF 2011 ",#REF!,"No. Ramo",33,"IPP","I","PP",532,"UR",416)</f>
        <v>#REF!</v>
      </c>
      <c r="P346" s="69" t="e">
        <f>+GETPIVOTDATA("Reducción ",#REF!,"No. Ramo",33,"IPP","I","PP",501,"UR",416)+GETPIVOTDATA("Reducción ",#REF!,"No. Ramo",33,"IPP","I","PP",502,"UR",416)+GETPIVOTDATA("Reducción ",#REF!,"No. Ramo",33,"IPP","I","PP",503,"UR",416)+GETPIVOTDATA("Reducción ",#REF!,"No. Ramo",33,"IPP","I","PP",504,"UR",416)+GETPIVOTDATA("Reducción ",#REF!,"No. Ramo",33,"IPP","I","PP",505,"UR",416)+GETPIVOTDATA("Reducción ",#REF!,"No. Ramo",33,"IPP","I","PP",506,"UR",416)+GETPIVOTDATA("Reducción ",#REF!,"No. Ramo",33,"IPP","I","PP",507,"UR",416)+GETPIVOTDATA("Reducción ",#REF!,"No. Ramo",33,"IPP","I","PP",508,"UR",416)+GETPIVOTDATA("Reducción ",#REF!,"No. Ramo",33,"IPP","I","PP",509,"UR",416)+GETPIVOTDATA("Reducción ",#REF!,"No. Ramo",33,"IPP","I","PP",510,"UR",416)+GETPIVOTDATA("Reducción ",#REF!,"No. Ramo",33,"IPP","I","PP",511,"UR",416)+GETPIVOTDATA("Reducción ",#REF!,"No. Ramo",33,"IPP","I","PP",512,"UR",416)+GETPIVOTDATA("Reducción ",#REF!,"No. Ramo",33,"IPP","I","PP",513,"UR",416)+GETPIVOTDATA("Reducción ",#REF!,"No. Ramo",33,"IPP","I","PP",514,"UR",416)+GETPIVOTDATA("Reducción ",#REF!,"No. Ramo",33,"IPP","I","PP",515,"UR",416)+GETPIVOTDATA("Reducción ",#REF!,"No. Ramo",33,"IPP","I","PP",516,"UR",416)+GETPIVOTDATA("Reducción ",#REF!,"No. Ramo",33,"IPP","I","PP",517,"UR",416)+GETPIVOTDATA("Reducción ",#REF!,"No. Ramo",33,"IPP","I","PP",518,"UR",416)+GETPIVOTDATA("Reducción ",#REF!,"No. Ramo",33,"IPP","I","PP",519,"UR",416)+GETPIVOTDATA("Reducción ",#REF!,"No. Ramo",33,"IPP","I","PP",520,"UR",416)+GETPIVOTDATA("Reducción ",#REF!,"No. Ramo",33,"IPP","I","PP",521,"UR",416)+GETPIVOTDATA("Reducción ",#REF!,"No. Ramo",33,"IPP","I","PP",522,"UR",416)+GETPIVOTDATA("Reducción ",#REF!,"No. Ramo",33,"IPP","I","PP",523,"UR",416)+GETPIVOTDATA("Reducción ",#REF!,"No. Ramo",33,"IPP","I","PP",524,"UR",416)+GETPIVOTDATA("Reducción ",#REF!,"No. Ramo",33,"IPP","I","PP",525,"UR",416)+GETPIVOTDATA("Reducción ",#REF!,"No. Ramo",33,"IPP","I","PP",526,"UR",416)+GETPIVOTDATA("Reducción ",#REF!,"No. Ramo",33,"IPP","I","PP",527,"UR",416)+GETPIVOTDATA("Reducción ",#REF!,"No. Ramo",33,"IPP","I","PP",528,"UR",416)+GETPIVOTDATA("Reducción ",#REF!,"No. Ramo",33,"IPP","I","PP",529,"UR",416)+GETPIVOTDATA("Reducción ",#REF!,"No. Ramo",33,"IPP","I","PP",530,"UR",416)+GETPIVOTDATA("Reducción ",#REF!,"No. Ramo",33,"IPP","I","PP",531,"UR",416)+GETPIVOTDATA("Reducción ",#REF!,"No. Ramo",33,"IPP","I","PP",532,"UR",416)</f>
        <v>#REF!</v>
      </c>
      <c r="Q346" s="69" t="e">
        <f>+GETPIVOTDATA("Ampliación ",#REF!,"No. Ramo",33,"IPP","I","PP",501,"UR",416)+GETPIVOTDATA("Ampliación ",#REF!,"No. Ramo",33,"IPP","I","PP",502,"UR",416)+GETPIVOTDATA("Ampliación ",#REF!,"No. Ramo",33,"IPP","I","PP",503,"UR",416)+GETPIVOTDATA("Ampliación ",#REF!,"No. Ramo",33,"IPP","I","PP",504,"UR",416)+GETPIVOTDATA("Ampliación ",#REF!,"No. Ramo",33,"IPP","I","PP",505,"UR",416)+GETPIVOTDATA("Ampliación ",#REF!,"No. Ramo",33,"IPP","I","PP",506,"UR",416)+GETPIVOTDATA("Ampliación ",#REF!,"No. Ramo",33,"IPP","I","PP",507,"UR",416)+GETPIVOTDATA("Ampliación ",#REF!,"No. Ramo",33,"IPP","I","PP",508,"UR",416)+GETPIVOTDATA("Ampliación ",#REF!,"No. Ramo",33,"IPP","I","PP",509,"UR",416)+GETPIVOTDATA("Ampliación ",#REF!,"No. Ramo",33,"IPP","I","PP",510,"UR",416)+GETPIVOTDATA("Ampliación ",#REF!,"No. Ramo",33,"IPP","I","PP",511,"UR",416)+GETPIVOTDATA("Ampliación ",#REF!,"No. Ramo",33,"IPP","I","PP",512,"UR",416)+GETPIVOTDATA("Ampliación ",#REF!,"No. Ramo",33,"IPP","I","PP",513,"UR",416)+GETPIVOTDATA("Ampliación ",#REF!,"No. Ramo",33,"IPP","I","PP",514,"UR",416)+GETPIVOTDATA("Ampliación ",#REF!,"No. Ramo",33,"IPP","I","PP",515,"UR",416)+GETPIVOTDATA("Ampliación ",#REF!,"No. Ramo",33,"IPP","I","PP",516,"UR",416)+GETPIVOTDATA("Ampliación ",#REF!,"No. Ramo",33,"IPP","I","PP",517,"UR",416)+GETPIVOTDATA("Ampliación ",#REF!,"No. Ramo",33,"IPP","I","PP",518,"UR",416)+GETPIVOTDATA("Ampliación ",#REF!,"No. Ramo",33,"IPP","I","PP",519,"UR",416)+GETPIVOTDATA("Ampliación ",#REF!,"No. Ramo",33,"IPP","I","PP",520,"UR",416)+GETPIVOTDATA("Ampliación ",#REF!,"No. Ramo",33,"IPP","I","PP",521,"UR",416)+GETPIVOTDATA("Ampliación ",#REF!,"No. Ramo",33,"IPP","I","PP",522,"UR",416)+GETPIVOTDATA("Ampliación ",#REF!,"No. Ramo",33,"IPP","I","PP",523,"UR",416)+GETPIVOTDATA("Ampliación ",#REF!,"No. Ramo",33,"IPP","I","PP",524,"UR",416)+GETPIVOTDATA("Ampliación ",#REF!,"No. Ramo",33,"IPP","I","PP",525,"UR",416)+GETPIVOTDATA("Ampliación ",#REF!,"No. Ramo",33,"IPP","I","PP",526,"UR",416)+GETPIVOTDATA("Ampliación ",#REF!,"No. Ramo",33,"IPP","I","PP",527,"UR",416)+GETPIVOTDATA("Ampliación ",#REF!,"No. Ramo",33,"IPP","I","PP",528,"UR",416)+GETPIVOTDATA("Ampliación ",#REF!,"No. Ramo",33,"IPP","I","PP",529,"UR",416)+GETPIVOTDATA("Ampliación ",#REF!,"No. Ramo",33,"IPP","I","PP",530,"UR",416)+GETPIVOTDATA("Ampliación ",#REF!,"No. Ramo",33,"IPP","I","PP",531,"UR",416)+GETPIVOTDATA("Ampliación ",#REF!,"No. Ramo",33,"IPP","I","PP",532,"UR",416)</f>
        <v>#REF!</v>
      </c>
      <c r="R346" s="69" t="e">
        <f t="shared" si="100"/>
        <v>#REF!</v>
      </c>
      <c r="S346" s="66"/>
      <c r="T346" s="66"/>
      <c r="U346" s="69" t="e">
        <f>+$I346*O346</f>
        <v>#REF!</v>
      </c>
      <c r="V346" s="69" t="e">
        <f t="shared" ref="V346:X348" si="112">+$I346*P346</f>
        <v>#REF!</v>
      </c>
      <c r="W346" s="69" t="e">
        <f t="shared" si="112"/>
        <v>#REF!</v>
      </c>
      <c r="X346" s="69" t="e">
        <f t="shared" si="112"/>
        <v>#REF!</v>
      </c>
      <c r="AH346" s="147"/>
      <c r="AI346" s="148"/>
      <c r="AJ346" s="158" t="s">
        <v>846</v>
      </c>
      <c r="AK346" s="160"/>
      <c r="AL346" s="149"/>
      <c r="AM346" s="150"/>
      <c r="AN346" s="150"/>
      <c r="AO346" s="151"/>
      <c r="AP346" s="146"/>
      <c r="AQ346" s="146"/>
      <c r="AR346" s="146"/>
      <c r="AS346" s="245"/>
      <c r="AT346" s="245"/>
      <c r="AU346" s="146"/>
      <c r="AX346" s="147"/>
      <c r="AY346" s="148"/>
      <c r="AZ346" s="158" t="s">
        <v>846</v>
      </c>
      <c r="BA346" s="160"/>
      <c r="BB346" s="149"/>
      <c r="BC346" s="189"/>
      <c r="BD346" s="189"/>
      <c r="BE346" s="190"/>
      <c r="BF346" s="187">
        <f>+AU346</f>
        <v>0</v>
      </c>
    </row>
    <row r="347" spans="2:58">
      <c r="B347" s="28"/>
      <c r="C347" s="29"/>
      <c r="D347" s="30" t="s">
        <v>847</v>
      </c>
      <c r="E347" s="29"/>
      <c r="F347" s="28"/>
      <c r="G347" s="28"/>
      <c r="H347" s="28"/>
      <c r="I347" s="67">
        <v>0.11500098003113327</v>
      </c>
      <c r="J347" s="67"/>
      <c r="K347" s="69" t="e">
        <f>+GETPIVOTDATA("PPEF 2010 ",#REF!,"No. Ramo",33,"IPP","I","PP",401,"UR",416)+GETPIVOTDATA("PPEF 2010 ",#REF!,"No. Ramo",33,"IPP","I","PP",402,"UR",416)+GETPIVOTDATA("PPEF 2010 ",#REF!,"No. Ramo",33,"IPP","I","PP",403,"UR",416)+GETPIVOTDATA("PPEF 2010 ",#REF!,"No. Ramo",33,"IPP","I","PP",404,"UR",416)+GETPIVOTDATA("PPEF 2010 ",#REF!,"No. Ramo",33,"IPP","I","PP",405,"UR",416)+GETPIVOTDATA("PPEF 2010 ",#REF!,"No. Ramo",33,"IPP","I","PP",406,"UR",416)+GETPIVOTDATA("PPEF 2010 ",#REF!,"No. Ramo",33,"IPP","I","PP",407,"UR",416)+GETPIVOTDATA("PPEF 2010 ",#REF!,"No. Ramo",33,"IPP","I","PP",408,"UR",416)+GETPIVOTDATA("PPEF 2010 ",#REF!,"No. Ramo",33,"IPP","I","PP",409,"UR",416)+GETPIVOTDATA("PPEF 2010 ",#REF!,"No. Ramo",33,"IPP","I","PP",410,"UR",416)+GETPIVOTDATA("PPEF 2010 ",#REF!,"No. Ramo",33,"IPP","I","PP",411,"UR",416)+GETPIVOTDATA("PPEF 2010 ",#REF!,"No. Ramo",33,"IPP","I","PP",412,"UR",416)+GETPIVOTDATA("PPEF 2010 ",#REF!,"No. Ramo",33,"IPP","I","PP",413,"UR",416)+GETPIVOTDATA("PPEF 2010 ",#REF!,"No. Ramo",33,"IPP","I","PP",414,"UR",416)+GETPIVOTDATA("PPEF 2010 ",#REF!,"No. Ramo",33,"IPP","I","PP",415,"UR",416)+GETPIVOTDATA("PPEF 2010 ",#REF!,"No. Ramo",33,"IPP","I","PP",416,"UR",416)+GETPIVOTDATA("PPEF 2010 ",#REF!,"No. Ramo",33,"IPP","I","PP",417,"UR",416)+GETPIVOTDATA("PPEF 2010 ",#REF!,"No. Ramo",33,"IPP","I","PP",418,"UR",416)+GETPIVOTDATA("PPEF 2010 ",#REF!,"No. Ramo",33,"IPP","I","PP",419,"UR",416)+GETPIVOTDATA("PPEF 2010 ",#REF!,"No. Ramo",33,"IPP","I","PP",420,"UR",416)+GETPIVOTDATA("PPEF 2010 ",#REF!,"No. Ramo",33,"IPP","I","PP",421,"UR",416)+GETPIVOTDATA("PPEF 2010 ",#REF!,"No. Ramo",33,"IPP","I","PP",422,"UR",416)+GETPIVOTDATA("PPEF 2010 ",#REF!,"No. Ramo",33,"IPP","I","PP",423,"UR",416)+GETPIVOTDATA("PPEF 2010 ",#REF!,"No. Ramo",33,"IPP","I","PP",424,"UR",416)+GETPIVOTDATA("PPEF 2010 ",#REF!,"No. Ramo",33,"IPP","I","PP",425,"UR",416)+GETPIVOTDATA("PPEF 2010 ",#REF!,"No. Ramo",33,"IPP","I","PP",426,"UR",416)+GETPIVOTDATA("PPEF 2010 ",#REF!,"No. Ramo",33,"IPP","I","PP",427,"UR",416)+GETPIVOTDATA("PPEF 2010 ",#REF!,"No. Ramo",33,"IPP","I","PP",428,"UR",416)+GETPIVOTDATA("PPEF 2010 ",#REF!,"No. Ramo",33,"IPP","I","PP",429,"UR",416)+GETPIVOTDATA("PPEF 2010 ",#REF!,"No. Ramo",33,"IPP","I","PP",430,"UR",416)+GETPIVOTDATA("PPEF 2010 ",#REF!,"No. Ramo",33,"IPP","I","PP",431,"UR",416)+GETPIVOTDATA("PPEF 2010 ",#REF!,"No. Ramo",33,"IPP","I","PP",432,"UR",416)</f>
        <v>#REF!</v>
      </c>
      <c r="L347" s="69" t="e">
        <f>+GETPIVOTDATA("Ampliación Neta DIP ",#REF!,"No. Ramo",33,"IPP","I","PP",401,"UR",416)+GETPIVOTDATA("Ampliación Neta DIP ",#REF!,"No. Ramo",33,"IPP","I","PP",402,"UR",416)+GETPIVOTDATA("Ampliación Neta DIP ",#REF!,"No. Ramo",33,"IPP","I","PP",403,"UR",416)+GETPIVOTDATA("Ampliación Neta DIP ",#REF!,"No. Ramo",33,"IPP","I","PP",404,"UR",416)+GETPIVOTDATA("Ampliación Neta DIP ",#REF!,"No. Ramo",33,"IPP","I","PP",405,"UR",416)+GETPIVOTDATA("Ampliación Neta DIP ",#REF!,"No. Ramo",33,"IPP","I","PP",406,"UR",416)+GETPIVOTDATA("Ampliación Neta DIP ",#REF!,"No. Ramo",33,"IPP","I","PP",407,"UR",416)+GETPIVOTDATA("Ampliación Neta DIP ",#REF!,"No. Ramo",33,"IPP","I","PP",408,"UR",416)+GETPIVOTDATA("Ampliación Neta DIP ",#REF!,"No. Ramo",33,"IPP","I","PP",409,"UR",416)+GETPIVOTDATA("Ampliación Neta DIP ",#REF!,"No. Ramo",33,"IPP","I","PP",410,"UR",416)+GETPIVOTDATA("Ampliación Neta DIP ",#REF!,"No. Ramo",33,"IPP","I","PP",411,"UR",416)+GETPIVOTDATA("Ampliación Neta DIP ",#REF!,"No. Ramo",33,"IPP","I","PP",412,"UR",416)+GETPIVOTDATA("Ampliación Neta DIP ",#REF!,"No. Ramo",33,"IPP","I","PP",413,"UR",416)+GETPIVOTDATA("Ampliación Neta DIP ",#REF!,"No. Ramo",33,"IPP","I","PP",414,"UR",416)+GETPIVOTDATA("Ampliación Neta DIP ",#REF!,"No. Ramo",33,"IPP","I","PP",415,"UR",416)+GETPIVOTDATA("Ampliación Neta DIP ",#REF!,"No. Ramo",33,"IPP","I","PP",416,"UR",416)+GETPIVOTDATA("Ampliación Neta DIP ",#REF!,"No. Ramo",33,"IPP","I","PP",417,"UR",416)+GETPIVOTDATA("Ampliación Neta DIP ",#REF!,"No. Ramo",33,"IPP","I","PP",418,"UR",416)+GETPIVOTDATA("Ampliación Neta DIP ",#REF!,"No. Ramo",33,"IPP","I","PP",419,"UR",416)+GETPIVOTDATA("Ampliación Neta DIP ",#REF!,"No. Ramo",33,"IPP","I","PP",420,"UR",416)+GETPIVOTDATA("Ampliación Neta DIP ",#REF!,"No. Ramo",33,"IPP","I","PP",421,"UR",416)+GETPIVOTDATA("Ampliación Neta DIP ",#REF!,"No. Ramo",33,"IPP","I","PP",422,"UR",416)+GETPIVOTDATA("Ampliación Neta DIP ",#REF!,"No. Ramo",33,"IPP","I","PP",423,"UR",416)+GETPIVOTDATA("Ampliación Neta DIP ",#REF!,"No. Ramo",33,"IPP","I","PP",424,"UR",416)+GETPIVOTDATA("Ampliación Neta DIP ",#REF!,"No. Ramo",33,"IPP","I","PP",425,"UR",416)+GETPIVOTDATA("Ampliación Neta DIP ",#REF!,"No. Ramo",33,"IPP","I","PP",426,"UR",416)+GETPIVOTDATA("Ampliación Neta DIP ",#REF!,"No. Ramo",33,"IPP","I","PP",427,"UR",416)+GETPIVOTDATA("Ampliación Neta DIP ",#REF!,"No. Ramo",33,"IPP","I","PP",428,"UR",416)+GETPIVOTDATA("Ampliación Neta DIP ",#REF!,"No. Ramo",33,"IPP","I","PP",429,"UR",416)+GETPIVOTDATA("Ampliación Neta DIP ",#REF!,"No. Ramo",33,"IPP","I","PP",430,"UR",416)+GETPIVOTDATA("Ampliación Neta DIP ",#REF!,"No. Ramo",33,"IPP","I","PP",431,"UR",416)+GETPIVOTDATA("Ampliación Neta DIP ",#REF!,"No. Ramo",33,"IPP","I","PP",432,"UR",416)</f>
        <v>#REF!</v>
      </c>
      <c r="M347" s="69" t="e">
        <f>+GETPIVOTDATA("Recorte SHCP ",#REF!,"No. Ramo",33,"IPP","I","PP",401,"UR",416)+GETPIVOTDATA("Recorte SHCP ",#REF!,"No. Ramo",33,"IPP","I","PP",402,"UR",416)+GETPIVOTDATA("Recorte SHCP ",#REF!,"No. Ramo",33,"IPP","I","PP",403,"UR",416)+GETPIVOTDATA("Recorte SHCP ",#REF!,"No. Ramo",33,"IPP","I","PP",404,"UR",416)+GETPIVOTDATA("Recorte SHCP ",#REF!,"No. Ramo",33,"IPP","I","PP",405,"UR",416)+GETPIVOTDATA("Recorte SHCP ",#REF!,"No. Ramo",33,"IPP","I","PP",406,"UR",416)+GETPIVOTDATA("Recorte SHCP ",#REF!,"No. Ramo",33,"IPP","I","PP",407,"UR",416)+GETPIVOTDATA("Recorte SHCP ",#REF!,"No. Ramo",33,"IPP","I","PP",408,"UR",416)+GETPIVOTDATA("Recorte SHCP ",#REF!,"No. Ramo",33,"IPP","I","PP",409,"UR",416)+GETPIVOTDATA("Recorte SHCP ",#REF!,"No. Ramo",33,"IPP","I","PP",410,"UR",416)+GETPIVOTDATA("Recorte SHCP ",#REF!,"No. Ramo",33,"IPP","I","PP",411,"UR",416)+GETPIVOTDATA("Recorte SHCP ",#REF!,"No. Ramo",33,"IPP","I","PP",412,"UR",416)+GETPIVOTDATA("Recorte SHCP ",#REF!,"No. Ramo",33,"IPP","I","PP",413,"UR",416)+GETPIVOTDATA("Recorte SHCP ",#REF!,"No. Ramo",33,"IPP","I","PP",414,"UR",416)+GETPIVOTDATA("Recorte SHCP ",#REF!,"No. Ramo",33,"IPP","I","PP",415,"UR",416)+GETPIVOTDATA("Recorte SHCP ",#REF!,"No. Ramo",33,"IPP","I","PP",416,"UR",416)+GETPIVOTDATA("Recorte SHCP ",#REF!,"No. Ramo",33,"IPP","I","PP",417,"UR",416)+GETPIVOTDATA("Recorte SHCP ",#REF!,"No. Ramo",33,"IPP","I","PP",418,"UR",416)+GETPIVOTDATA("Recorte SHCP ",#REF!,"No. Ramo",33,"IPP","I","PP",419,"UR",416)+GETPIVOTDATA("Recorte SHCP ",#REF!,"No. Ramo",33,"IPP","I","PP",420,"UR",416)+GETPIVOTDATA("Recorte SHCP ",#REF!,"No. Ramo",33,"IPP","I","PP",421,"UR",416)+GETPIVOTDATA("Recorte SHCP ",#REF!,"No. Ramo",33,"IPP","I","PP",422,"UR",416)+GETPIVOTDATA("Recorte SHCP ",#REF!,"No. Ramo",33,"IPP","I","PP",423,"UR",416)+GETPIVOTDATA("Recorte SHCP ",#REF!,"No. Ramo",33,"IPP","I","PP",424,"UR",416)+GETPIVOTDATA("Recorte SHCP ",#REF!,"No. Ramo",33,"IPP","I","PP",425,"UR",416)+GETPIVOTDATA("Recorte SHCP ",#REF!,"No. Ramo",33,"IPP","I","PP",426,"UR",416)+GETPIVOTDATA("Recorte SHCP ",#REF!,"No. Ramo",33,"IPP","I","PP",427,"UR",416)+GETPIVOTDATA("Recorte SHCP ",#REF!,"No. Ramo",33,"IPP","I","PP",428,"UR",416)+GETPIVOTDATA("Recorte SHCP ",#REF!,"No. Ramo",33,"IPP","I","PP",429,"UR",416)+GETPIVOTDATA("Recorte SHCP ",#REF!,"No. Ramo",33,"IPP","I","PP",430,"UR",416)+GETPIVOTDATA("Recorte SHCP ",#REF!,"No. Ramo",33,"IPP","I","PP",431,"UR",416)+GETPIVOTDATA("Recorte SHCP ",#REF!,"No. Ramo",33,"IPP","I","PP",432,"UR",416)</f>
        <v>#REF!</v>
      </c>
      <c r="N347" s="69" t="e">
        <f>+GETPIVOTDATA("PEF 2010 ",#REF!,"No. Ramo",33,"IPP","I","PP",401,"UR",416)+GETPIVOTDATA("PEF 2010 ",#REF!,"No. Ramo",33,"IPP","I","PP",402,"UR",416)+GETPIVOTDATA("PEF 2010 ",#REF!,"No. Ramo",33,"IPP","I","PP",403,"UR",416)+GETPIVOTDATA("PEF 2010 ",#REF!,"No. Ramo",33,"IPP","I","PP",404,"UR",416)+GETPIVOTDATA("PEF 2010 ",#REF!,"No. Ramo",33,"IPP","I","PP",405,"UR",416)+GETPIVOTDATA("PEF 2010 ",#REF!,"No. Ramo",33,"IPP","I","PP",406,"UR",416)+GETPIVOTDATA("PEF 2010 ",#REF!,"No. Ramo",33,"IPP","I","PP",407,"UR",416)+GETPIVOTDATA("PEF 2010 ",#REF!,"No. Ramo",33,"IPP","I","PP",408,"UR",416)+GETPIVOTDATA("PEF 2010 ",#REF!,"No. Ramo",33,"IPP","I","PP",409,"UR",416)+GETPIVOTDATA("PEF 2010 ",#REF!,"No. Ramo",33,"IPP","I","PP",410,"UR",416)+GETPIVOTDATA("PEF 2010 ",#REF!,"No. Ramo",33,"IPP","I","PP",411,"UR",416)+GETPIVOTDATA("PEF 2010 ",#REF!,"No. Ramo",33,"IPP","I","PP",412,"UR",416)+GETPIVOTDATA("PEF 2010 ",#REF!,"No. Ramo",33,"IPP","I","PP",413,"UR",416)+GETPIVOTDATA("PEF 2010 ",#REF!,"No. Ramo",33,"IPP","I","PP",414,"UR",416)+GETPIVOTDATA("PEF 2010 ",#REF!,"No. Ramo",33,"IPP","I","PP",415,"UR",416)+GETPIVOTDATA("PEF 2010 ",#REF!,"No. Ramo",33,"IPP","I","PP",416,"UR",416)+GETPIVOTDATA("PEF 2010 ",#REF!,"No. Ramo",33,"IPP","I","PP",417,"UR",416)+GETPIVOTDATA("PEF 2010 ",#REF!,"No. Ramo",33,"IPP","I","PP",418,"UR",416)+GETPIVOTDATA("PEF 2010 ",#REF!,"No. Ramo",33,"IPP","I","PP",419,"UR",416)+GETPIVOTDATA("PEF 2010 ",#REF!,"No. Ramo",33,"IPP","I","PP",420,"UR",416)+GETPIVOTDATA("PEF 2010 ",#REF!,"No. Ramo",33,"IPP","I","PP",421,"UR",416)+GETPIVOTDATA("PEF 2010 ",#REF!,"No. Ramo",33,"IPP","I","PP",422,"UR",416)+GETPIVOTDATA("PEF 2010 ",#REF!,"No. Ramo",33,"IPP","I","PP",423,"UR",416)+GETPIVOTDATA("PEF 2010 ",#REF!,"No. Ramo",33,"IPP","I","PP",424,"UR",416)+GETPIVOTDATA("PEF 2010 ",#REF!,"No. Ramo",33,"IPP","I","PP",425,"UR",416)+GETPIVOTDATA("PEF 2010 ",#REF!,"No. Ramo",33,"IPP","I","PP",426,"UR",416)+GETPIVOTDATA("PEF 2010 ",#REF!,"No. Ramo",33,"IPP","I","PP",427,"UR",416)+GETPIVOTDATA("PEF 2010 ",#REF!,"No. Ramo",33,"IPP","I","PP",428,"UR",416)+GETPIVOTDATA("PEF 2010 ",#REF!,"No. Ramo",33,"IPP","I","PP",429,"UR",416)+GETPIVOTDATA("PEF 2010 ",#REF!,"No. Ramo",33,"IPP","I","PP",430,"UR",416)+GETPIVOTDATA("PEF 2010 ",#REF!,"No. Ramo",33,"IPP","I","PP",431,"UR",416)+GETPIVOTDATA("PEF 2010 ",#REF!,"No. Ramo",33,"IPP","I","PP",432,"UR",416)</f>
        <v>#REF!</v>
      </c>
      <c r="O347" s="69" t="e">
        <f>+GETPIVOTDATA("PPEF 2011 ",#REF!,"No. Ramo",33,"IPP","I","PP",401,"UR",416)+GETPIVOTDATA("PPEF 2011 ",#REF!,"No. Ramo",33,"IPP","I","PP",402,"UR",416)+GETPIVOTDATA("PPEF 2011 ",#REF!,"No. Ramo",33,"IPP","I","PP",403,"UR",416)+GETPIVOTDATA("PPEF 2011 ",#REF!,"No. Ramo",33,"IPP","I","PP",404,"UR",416)+GETPIVOTDATA("PPEF 2011 ",#REF!,"No. Ramo",33,"IPP","I","PP",405,"UR",416)+GETPIVOTDATA("PPEF 2011 ",#REF!,"No. Ramo",33,"IPP","I","PP",406,"UR",416)+GETPIVOTDATA("PPEF 2011 ",#REF!,"No. Ramo",33,"IPP","I","PP",407,"UR",416)+GETPIVOTDATA("PPEF 2011 ",#REF!,"No. Ramo",33,"IPP","I","PP",408,"UR",416)+GETPIVOTDATA("PPEF 2011 ",#REF!,"No. Ramo",33,"IPP","I","PP",409,"UR",416)+GETPIVOTDATA("PPEF 2011 ",#REF!,"No. Ramo",33,"IPP","I","PP",410,"UR",416)+GETPIVOTDATA("PPEF 2011 ",#REF!,"No. Ramo",33,"IPP","I","PP",411,"UR",416)+GETPIVOTDATA("PPEF 2011 ",#REF!,"No. Ramo",33,"IPP","I","PP",412,"UR",416)+GETPIVOTDATA("PPEF 2011 ",#REF!,"No. Ramo",33,"IPP","I","PP",413,"UR",416)+GETPIVOTDATA("PPEF 2011 ",#REF!,"No. Ramo",33,"IPP","I","PP",414,"UR",416)+GETPIVOTDATA("PPEF 2011 ",#REF!,"No. Ramo",33,"IPP","I","PP",415,"UR",416)+GETPIVOTDATA("PPEF 2011 ",#REF!,"No. Ramo",33,"IPP","I","PP",416,"UR",416)+GETPIVOTDATA("PPEF 2011 ",#REF!,"No. Ramo",33,"IPP","I","PP",417,"UR",416)+GETPIVOTDATA("PPEF 2011 ",#REF!,"No. Ramo",33,"IPP","I","PP",418,"UR",416)+GETPIVOTDATA("PPEF 2011 ",#REF!,"No. Ramo",33,"IPP","I","PP",419,"UR",416)+GETPIVOTDATA("PPEF 2011 ",#REF!,"No. Ramo",33,"IPP","I","PP",420,"UR",416)+GETPIVOTDATA("PPEF 2011 ",#REF!,"No. Ramo",33,"IPP","I","PP",421,"UR",416)+GETPIVOTDATA("PPEF 2011 ",#REF!,"No. Ramo",33,"IPP","I","PP",422,"UR",416)+GETPIVOTDATA("PPEF 2011 ",#REF!,"No. Ramo",33,"IPP","I","PP",423,"UR",416)+GETPIVOTDATA("PPEF 2011 ",#REF!,"No. Ramo",33,"IPP","I","PP",424,"UR",416)+GETPIVOTDATA("PPEF 2011 ",#REF!,"No. Ramo",33,"IPP","I","PP",425,"UR",416)+GETPIVOTDATA("PPEF 2011 ",#REF!,"No. Ramo",33,"IPP","I","PP",426,"UR",416)+GETPIVOTDATA("PPEF 2011 ",#REF!,"No. Ramo",33,"IPP","I","PP",427,"UR",416)+GETPIVOTDATA("PPEF 2011 ",#REF!,"No. Ramo",33,"IPP","I","PP",428,"UR",416)+GETPIVOTDATA("PPEF 2011 ",#REF!,"No. Ramo",33,"IPP","I","PP",429,"UR",416)+GETPIVOTDATA("PPEF 2011 ",#REF!,"No. Ramo",33,"IPP","I","PP",430,"UR",416)+GETPIVOTDATA("PPEF 2011 ",#REF!,"No. Ramo",33,"IPP","I","PP",431,"UR",416)+GETPIVOTDATA("PPEF 2011 ",#REF!,"No. Ramo",33,"IPP","I","PP",432,"UR",416)</f>
        <v>#REF!</v>
      </c>
      <c r="P347" s="69" t="e">
        <f>+GETPIVOTDATA("Reducción ",#REF!,"No. Ramo",33,"IPP","I","PP",401,"UR",416)+GETPIVOTDATA("Reducción ",#REF!,"No. Ramo",33,"IPP","I","PP",402,"UR",416)+GETPIVOTDATA("Reducción ",#REF!,"No. Ramo",33,"IPP","I","PP",403,"UR",416)+GETPIVOTDATA("Reducción ",#REF!,"No. Ramo",33,"IPP","I","PP",404,"UR",416)+GETPIVOTDATA("Reducción ",#REF!,"No. Ramo",33,"IPP","I","PP",405,"UR",416)+GETPIVOTDATA("Reducción ",#REF!,"No. Ramo",33,"IPP","I","PP",406,"UR",416)+GETPIVOTDATA("Reducción ",#REF!,"No. Ramo",33,"IPP","I","PP",407,"UR",416)+GETPIVOTDATA("Reducción ",#REF!,"No. Ramo",33,"IPP","I","PP",408,"UR",416)+GETPIVOTDATA("Reducción ",#REF!,"No. Ramo",33,"IPP","I","PP",409,"UR",416)+GETPIVOTDATA("Reducción ",#REF!,"No. Ramo",33,"IPP","I","PP",410,"UR",416)+GETPIVOTDATA("Reducción ",#REF!,"No. Ramo",33,"IPP","I","PP",411,"UR",416)+GETPIVOTDATA("Reducción ",#REF!,"No. Ramo",33,"IPP","I","PP",412,"UR",416)+GETPIVOTDATA("Reducción ",#REF!,"No. Ramo",33,"IPP","I","PP",413,"UR",416)+GETPIVOTDATA("Reducción ",#REF!,"No. Ramo",33,"IPP","I","PP",414,"UR",416)+GETPIVOTDATA("Reducción ",#REF!,"No. Ramo",33,"IPP","I","PP",415,"UR",416)+GETPIVOTDATA("Reducción ",#REF!,"No. Ramo",33,"IPP","I","PP",416,"UR",416)+GETPIVOTDATA("Reducción ",#REF!,"No. Ramo",33,"IPP","I","PP",417,"UR",416)+GETPIVOTDATA("Reducción ",#REF!,"No. Ramo",33,"IPP","I","PP",418,"UR",416)+GETPIVOTDATA("Reducción ",#REF!,"No. Ramo",33,"IPP","I","PP",419,"UR",416)+GETPIVOTDATA("Reducción ",#REF!,"No. Ramo",33,"IPP","I","PP",420,"UR",416)+GETPIVOTDATA("Reducción ",#REF!,"No. Ramo",33,"IPP","I","PP",421,"UR",416)+GETPIVOTDATA("Reducción ",#REF!,"No. Ramo",33,"IPP","I","PP",422,"UR",416)+GETPIVOTDATA("Reducción ",#REF!,"No. Ramo",33,"IPP","I","PP",423,"UR",416)+GETPIVOTDATA("Reducción ",#REF!,"No. Ramo",33,"IPP","I","PP",424,"UR",416)+GETPIVOTDATA("Reducción ",#REF!,"No. Ramo",33,"IPP","I","PP",425,"UR",416)+GETPIVOTDATA("Reducción ",#REF!,"No. Ramo",33,"IPP","I","PP",426,"UR",416)+GETPIVOTDATA("Reducción ",#REF!,"No. Ramo",33,"IPP","I","PP",427,"UR",416)+GETPIVOTDATA("Reducción ",#REF!,"No. Ramo",33,"IPP","I","PP",428,"UR",416)+GETPIVOTDATA("Reducción ",#REF!,"No. Ramo",33,"IPP","I","PP",429,"UR",416)+GETPIVOTDATA("Reducción ",#REF!,"No. Ramo",33,"IPP","I","PP",430,"UR",416)+GETPIVOTDATA("Reducción ",#REF!,"No. Ramo",33,"IPP","I","PP",431,"UR",416)+GETPIVOTDATA("Reducción ",#REF!,"No. Ramo",33,"IPP","I","PP",432,"UR",416)</f>
        <v>#REF!</v>
      </c>
      <c r="Q347" s="69" t="e">
        <f>+GETPIVOTDATA("Ampliación ",#REF!,"No. Ramo",33,"IPP","I","PP",401,"UR",416)+GETPIVOTDATA("Ampliación ",#REF!,"No. Ramo",33,"IPP","I","PP",402,"UR",416)+GETPIVOTDATA("Ampliación ",#REF!,"No. Ramo",33,"IPP","I","PP",403,"UR",416)+GETPIVOTDATA("Ampliación ",#REF!,"No. Ramo",33,"IPP","I","PP",404,"UR",416)+GETPIVOTDATA("Ampliación ",#REF!,"No. Ramo",33,"IPP","I","PP",405,"UR",416)+GETPIVOTDATA("Ampliación ",#REF!,"No. Ramo",33,"IPP","I","PP",406,"UR",416)+GETPIVOTDATA("Ampliación ",#REF!,"No. Ramo",33,"IPP","I","PP",407,"UR",416)+GETPIVOTDATA("Ampliación ",#REF!,"No. Ramo",33,"IPP","I","PP",408,"UR",416)+GETPIVOTDATA("Ampliación ",#REF!,"No. Ramo",33,"IPP","I","PP",409,"UR",416)+GETPIVOTDATA("Ampliación ",#REF!,"No. Ramo",33,"IPP","I","PP",410,"UR",416)+GETPIVOTDATA("Ampliación ",#REF!,"No. Ramo",33,"IPP","I","PP",411,"UR",416)+GETPIVOTDATA("Ampliación ",#REF!,"No. Ramo",33,"IPP","I","PP",412,"UR",416)+GETPIVOTDATA("Ampliación ",#REF!,"No. Ramo",33,"IPP","I","PP",413,"UR",416)+GETPIVOTDATA("Ampliación ",#REF!,"No. Ramo",33,"IPP","I","PP",414,"UR",416)+GETPIVOTDATA("Ampliación ",#REF!,"No. Ramo",33,"IPP","I","PP",415,"UR",416)+GETPIVOTDATA("Ampliación ",#REF!,"No. Ramo",33,"IPP","I","PP",416,"UR",416)+GETPIVOTDATA("Ampliación ",#REF!,"No. Ramo",33,"IPP","I","PP",417,"UR",416)+GETPIVOTDATA("Ampliación ",#REF!,"No. Ramo",33,"IPP","I","PP",418,"UR",416)+GETPIVOTDATA("Ampliación ",#REF!,"No. Ramo",33,"IPP","I","PP",419,"UR",416)+GETPIVOTDATA("Ampliación ",#REF!,"No. Ramo",33,"IPP","I","PP",420,"UR",416)+GETPIVOTDATA("Ampliación ",#REF!,"No. Ramo",33,"IPP","I","PP",421,"UR",416)+GETPIVOTDATA("Ampliación ",#REF!,"No. Ramo",33,"IPP","I","PP",422,"UR",416)+GETPIVOTDATA("Ampliación ",#REF!,"No. Ramo",33,"IPP","I","PP",423,"UR",416)+GETPIVOTDATA("Ampliación ",#REF!,"No. Ramo",33,"IPP","I","PP",424,"UR",416)+GETPIVOTDATA("Ampliación ",#REF!,"No. Ramo",33,"IPP","I","PP",425,"UR",416)+GETPIVOTDATA("Ampliación ",#REF!,"No. Ramo",33,"IPP","I","PP",426,"UR",416)+GETPIVOTDATA("Ampliación ",#REF!,"No. Ramo",33,"IPP","I","PP",427,"UR",416)+GETPIVOTDATA("Ampliación ",#REF!,"No. Ramo",33,"IPP","I","PP",428,"UR",416)+GETPIVOTDATA("Ampliación ",#REF!,"No. Ramo",33,"IPP","I","PP",429,"UR",416)+GETPIVOTDATA("Ampliación ",#REF!,"No. Ramo",33,"IPP","I","PP",430,"UR",416)+GETPIVOTDATA("Ampliación ",#REF!,"No. Ramo",33,"IPP","I","PP",431,"UR",416)+GETPIVOTDATA("Ampliación ",#REF!,"No. Ramo",33,"IPP","I","PP",432,"UR",416)</f>
        <v>#REF!</v>
      </c>
      <c r="R347" s="69" t="e">
        <f t="shared" si="100"/>
        <v>#REF!</v>
      </c>
      <c r="S347" s="66"/>
      <c r="T347" s="66"/>
      <c r="U347" s="69" t="e">
        <f t="shared" si="104"/>
        <v>#REF!</v>
      </c>
      <c r="V347" s="69" t="e">
        <f t="shared" si="112"/>
        <v>#REF!</v>
      </c>
      <c r="W347" s="69" t="e">
        <f t="shared" si="112"/>
        <v>#REF!</v>
      </c>
      <c r="X347" s="69" t="e">
        <f t="shared" si="112"/>
        <v>#REF!</v>
      </c>
      <c r="AH347" s="147"/>
      <c r="AI347" s="148"/>
      <c r="AJ347" s="392" t="s">
        <v>847</v>
      </c>
      <c r="AK347" s="392"/>
      <c r="AL347" s="392"/>
      <c r="AM347" s="392"/>
      <c r="AN347" s="392"/>
      <c r="AO347" s="393"/>
      <c r="AP347" s="146"/>
      <c r="AQ347" s="146"/>
      <c r="AR347" s="146"/>
      <c r="AS347" s="245"/>
      <c r="AT347" s="245"/>
      <c r="AU347" s="146"/>
      <c r="AX347" s="147"/>
      <c r="AY347" s="148"/>
      <c r="AZ347" s="392" t="s">
        <v>847</v>
      </c>
      <c r="BA347" s="392"/>
      <c r="BB347" s="392"/>
      <c r="BC347" s="392"/>
      <c r="BD347" s="392"/>
      <c r="BE347" s="393"/>
      <c r="BF347" s="187">
        <f>+AU347</f>
        <v>0</v>
      </c>
    </row>
    <row r="348" spans="2:58">
      <c r="B348" s="28"/>
      <c r="C348" s="29"/>
      <c r="D348" s="30" t="s">
        <v>848</v>
      </c>
      <c r="E348" s="29"/>
      <c r="F348" s="28"/>
      <c r="G348" s="28"/>
      <c r="H348" s="28"/>
      <c r="I348" s="67">
        <v>0.57491105310553348</v>
      </c>
      <c r="J348" s="67"/>
      <c r="K348" s="69" t="e">
        <f>+GETPIVOTDATA("PPEF 2010 ",#REF!,"No. Ramo",33,"IPP","I","PP",301,"UR",416)+GETPIVOTDATA("PPEF 2010 ",#REF!,"No. Ramo",33,"IPP","I","PP",302,"UR",416)+GETPIVOTDATA("PPEF 2010 ",#REF!,"No. Ramo",33,"IPP","I","PP",303,"UR",416)+GETPIVOTDATA("PPEF 2010 ",#REF!,"No. Ramo",33,"IPP","I","PP",304,"UR",416)+GETPIVOTDATA("PPEF 2010 ",#REF!,"No. Ramo",33,"IPP","I","PP",305,"UR",416)+GETPIVOTDATA("PPEF 2010 ",#REF!,"No. Ramo",33,"IPP","I","PP",306,"UR",416)+GETPIVOTDATA("PPEF 2010 ",#REF!,"No. Ramo",33,"IPP","I","PP",307,"UR",416)+GETPIVOTDATA("PPEF 2010 ",#REF!,"No. Ramo",33,"IPP","I","PP",308,"UR",416)+GETPIVOTDATA("PPEF 2010 ",#REF!,"No. Ramo",33,"IPP","I","PP",310,"UR",416)+GETPIVOTDATA("PPEF 2010 ",#REF!,"No. Ramo",33,"IPP","I","PP",311,"UR",416)+GETPIVOTDATA("PPEF 2010 ",#REF!,"No. Ramo",33,"IPP","I","PP",312,"UR",416)+GETPIVOTDATA("PPEF 2010 ",#REF!,"No. Ramo",33,"IPP","I","PP",313,"UR",416)+GETPIVOTDATA("PPEF 2010 ",#REF!,"No. Ramo",33,"IPP","I","PP",314,"UR",416)+GETPIVOTDATA("PPEF 2010 ",#REF!,"No. Ramo",33,"IPP","I","PP",315,"UR",416)+GETPIVOTDATA("PPEF 2010 ",#REF!,"No. Ramo",33,"IPP","I","PP",316,"UR",416)+GETPIVOTDATA("PPEF 2010 ",#REF!,"No. Ramo",33,"IPP","I","PP",317,"UR",416)+GETPIVOTDATA("PPEF 2010 ",#REF!,"No. Ramo",33,"IPP","I","PP",318,"UR",416)+GETPIVOTDATA("PPEF 2010 ",#REF!,"No. Ramo",33,"IPP","I","PP",319,"UR",416)+GETPIVOTDATA("PPEF 2010 ",#REF!,"No. Ramo",33,"IPP","I","PP",320,"UR",416)+GETPIVOTDATA("PPEF 2010 ",#REF!,"No. Ramo",33,"IPP","I","PP",321,"UR",416)+GETPIVOTDATA("PPEF 2010 ",#REF!,"No. Ramo",33,"IPP","I","PP",322,"UR",416)+GETPIVOTDATA("PPEF 2010 ",#REF!,"No. Ramo",33,"IPP","I","PP",323,"UR",416)+GETPIVOTDATA("PPEF 2010 ",#REF!,"No. Ramo",33,"IPP","I","PP",324,"UR",416)+GETPIVOTDATA("PPEF 2010 ",#REF!,"No. Ramo",33,"IPP","I","PP",325,"UR",416)+GETPIVOTDATA("PPEF 2010 ",#REF!,"No. Ramo",33,"IPP","I","PP",326,"UR",416)+GETPIVOTDATA("PPEF 2010 ",#REF!,"No. Ramo",33,"IPP","I","PP",327,"UR",416)+GETPIVOTDATA("PPEF 2010 ",#REF!,"No. Ramo",33,"IPP","I","PP",328,"UR",416)+GETPIVOTDATA("PPEF 2010 ",#REF!,"No. Ramo",33,"IPP","I","PP",329,"UR",416)+GETPIVOTDATA("PPEF 2010 ",#REF!,"No. Ramo",33,"IPP","I","PP",330,"UR",416)+GETPIVOTDATA("PPEF 2010 ",#REF!,"No. Ramo",33,"IPP","I","PP",331,"UR",416)+GETPIVOTDATA("PPEF 2010 ",#REF!,"No. Ramo",33,"IPP","I","PP",332,"UR",416)</f>
        <v>#REF!</v>
      </c>
      <c r="L348" s="69" t="e">
        <f>+GETPIVOTDATA("Ampliación Neta DIP ",#REF!,"No. Ramo",33,"IPP","I","PP",301,"UR",416)+GETPIVOTDATA("Ampliación Neta DIP ",#REF!,"No. Ramo",33,"IPP","I","PP",302,"UR",416)+GETPIVOTDATA("Ampliación Neta DIP ",#REF!,"No. Ramo",33,"IPP","I","PP",303,"UR",416)+GETPIVOTDATA("Ampliación Neta DIP ",#REF!,"No. Ramo",33,"IPP","I","PP",304,"UR",416)+GETPIVOTDATA("Ampliación Neta DIP ",#REF!,"No. Ramo",33,"IPP","I","PP",305,"UR",416)+GETPIVOTDATA("Ampliación Neta DIP ",#REF!,"No. Ramo",33,"IPP","I","PP",306,"UR",416)+GETPIVOTDATA("Ampliación Neta DIP ",#REF!,"No. Ramo",33,"IPP","I","PP",307,"UR",416)+GETPIVOTDATA("Ampliación Neta DIP ",#REF!,"No. Ramo",33,"IPP","I","PP",308,"UR",416)+GETPIVOTDATA("Ampliación Neta DIP ",#REF!,"No. Ramo",33,"IPP","I","PP",310,"UR",416)+GETPIVOTDATA("Ampliación Neta DIP ",#REF!,"No. Ramo",33,"IPP","I","PP",311,"UR",416)+GETPIVOTDATA("Ampliación Neta DIP ",#REF!,"No. Ramo",33,"IPP","I","PP",312,"UR",416)+GETPIVOTDATA("Ampliación Neta DIP ",#REF!,"No. Ramo",33,"IPP","I","PP",313,"UR",416)+GETPIVOTDATA("Ampliación Neta DIP ",#REF!,"No. Ramo",33,"IPP","I","PP",314,"UR",416)+GETPIVOTDATA("Ampliación Neta DIP ",#REF!,"No. Ramo",33,"IPP","I","PP",315,"UR",416)+GETPIVOTDATA("Ampliación Neta DIP ",#REF!,"No. Ramo",33,"IPP","I","PP",316,"UR",416)+GETPIVOTDATA("Ampliación Neta DIP ",#REF!,"No. Ramo",33,"IPP","I","PP",317,"UR",416)+GETPIVOTDATA("Ampliación Neta DIP ",#REF!,"No. Ramo",33,"IPP","I","PP",318,"UR",416)+GETPIVOTDATA("Ampliación Neta DIP ",#REF!,"No. Ramo",33,"IPP","I","PP",319,"UR",416)+GETPIVOTDATA("Ampliación Neta DIP ",#REF!,"No. Ramo",33,"IPP","I","PP",320,"UR",416)+GETPIVOTDATA("Ampliación Neta DIP ",#REF!,"No. Ramo",33,"IPP","I","PP",321,"UR",416)+GETPIVOTDATA("Ampliación Neta DIP ",#REF!,"No. Ramo",33,"IPP","I","PP",322,"UR",416)+GETPIVOTDATA("Ampliación Neta DIP ",#REF!,"No. Ramo",33,"IPP","I","PP",323,"UR",416)+GETPIVOTDATA("Ampliación Neta DIP ",#REF!,"No. Ramo",33,"IPP","I","PP",324,"UR",416)+GETPIVOTDATA("Ampliación Neta DIP ",#REF!,"No. Ramo",33,"IPP","I","PP",325,"UR",416)+GETPIVOTDATA("Ampliación Neta DIP ",#REF!,"No. Ramo",33,"IPP","I","PP",326,"UR",416)+GETPIVOTDATA("Ampliación Neta DIP ",#REF!,"No. Ramo",33,"IPP","I","PP",327,"UR",416)+GETPIVOTDATA("Ampliación Neta DIP ",#REF!,"No. Ramo",33,"IPP","I","PP",328,"UR",416)+GETPIVOTDATA("Ampliación Neta DIP ",#REF!,"No. Ramo",33,"IPP","I","PP",329,"UR",416)+GETPIVOTDATA("Ampliación Neta DIP ",#REF!,"No. Ramo",33,"IPP","I","PP",330,"UR",416)+GETPIVOTDATA("Ampliación Neta DIP ",#REF!,"No. Ramo",33,"IPP","I","PP",331,"UR",416)+GETPIVOTDATA("Ampliación Neta DIP ",#REF!,"No. Ramo",33,"IPP","I","PP",332,"UR",416)</f>
        <v>#REF!</v>
      </c>
      <c r="M348" s="69" t="e">
        <f>+GETPIVOTDATA("Recorte SHCP ",#REF!,"No. Ramo",33,"IPP","I","PP",301,"UR",416)+GETPIVOTDATA("Recorte SHCP ",#REF!,"No. Ramo",33,"IPP","I","PP",302,"UR",416)+GETPIVOTDATA("Recorte SHCP ",#REF!,"No. Ramo",33,"IPP","I","PP",303,"UR",416)+GETPIVOTDATA("Recorte SHCP ",#REF!,"No. Ramo",33,"IPP","I","PP",304,"UR",416)+GETPIVOTDATA("Recorte SHCP ",#REF!,"No. Ramo",33,"IPP","I","PP",305,"UR",416)+GETPIVOTDATA("Recorte SHCP ",#REF!,"No. Ramo",33,"IPP","I","PP",306,"UR",416)+GETPIVOTDATA("Recorte SHCP ",#REF!,"No. Ramo",33,"IPP","I","PP",307,"UR",416)+GETPIVOTDATA("Recorte SHCP ",#REF!,"No. Ramo",33,"IPP","I","PP",308,"UR",416)+GETPIVOTDATA("Recorte SHCP ",#REF!,"No. Ramo",33,"IPP","I","PP",310,"UR",416)+GETPIVOTDATA("Recorte SHCP ",#REF!,"No. Ramo",33,"IPP","I","PP",311,"UR",416)+GETPIVOTDATA("Recorte SHCP ",#REF!,"No. Ramo",33,"IPP","I","PP",312,"UR",416)+GETPIVOTDATA("Recorte SHCP ",#REF!,"No. Ramo",33,"IPP","I","PP",313,"UR",416)+GETPIVOTDATA("Recorte SHCP ",#REF!,"No. Ramo",33,"IPP","I","PP",314,"UR",416)+GETPIVOTDATA("Recorte SHCP ",#REF!,"No. Ramo",33,"IPP","I","PP",315,"UR",416)+GETPIVOTDATA("Recorte SHCP ",#REF!,"No. Ramo",33,"IPP","I","PP",316,"UR",416)+GETPIVOTDATA("Recorte SHCP ",#REF!,"No. Ramo",33,"IPP","I","PP",317,"UR",416)+GETPIVOTDATA("Recorte SHCP ",#REF!,"No. Ramo",33,"IPP","I","PP",318,"UR",416)+GETPIVOTDATA("Recorte SHCP ",#REF!,"No. Ramo",33,"IPP","I","PP",319,"UR",416)+GETPIVOTDATA("Recorte SHCP ",#REF!,"No. Ramo",33,"IPP","I","PP",320,"UR",416)+GETPIVOTDATA("Recorte SHCP ",#REF!,"No. Ramo",33,"IPP","I","PP",321,"UR",416)+GETPIVOTDATA("Recorte SHCP ",#REF!,"No. Ramo",33,"IPP","I","PP",322,"UR",416)+GETPIVOTDATA("Recorte SHCP ",#REF!,"No. Ramo",33,"IPP","I","PP",323,"UR",416)+GETPIVOTDATA("Recorte SHCP ",#REF!,"No. Ramo",33,"IPP","I","PP",324,"UR",416)+GETPIVOTDATA("Recorte SHCP ",#REF!,"No. Ramo",33,"IPP","I","PP",325,"UR",416)+GETPIVOTDATA("Recorte SHCP ",#REF!,"No. Ramo",33,"IPP","I","PP",326,"UR",416)+GETPIVOTDATA("Recorte SHCP ",#REF!,"No. Ramo",33,"IPP","I","PP",327,"UR",416)+GETPIVOTDATA("Recorte SHCP ",#REF!,"No. Ramo",33,"IPP","I","PP",328,"UR",416)+GETPIVOTDATA("Recorte SHCP ",#REF!,"No. Ramo",33,"IPP","I","PP",329,"UR",416)+GETPIVOTDATA("Recorte SHCP ",#REF!,"No. Ramo",33,"IPP","I","PP",330,"UR",416)+GETPIVOTDATA("Recorte SHCP ",#REF!,"No. Ramo",33,"IPP","I","PP",331,"UR",416)+GETPIVOTDATA("Recorte SHCP ",#REF!,"No. Ramo",33,"IPP","I","PP",332,"UR",416)</f>
        <v>#REF!</v>
      </c>
      <c r="N348" s="69" t="e">
        <f>+GETPIVOTDATA("PEF 2010 ",#REF!,"No. Ramo",33,"IPP","I","PP",301,"UR",416)+GETPIVOTDATA("PEF 2010 ",#REF!,"No. Ramo",33,"IPP","I","PP",302,"UR",416)+GETPIVOTDATA("PEF 2010 ",#REF!,"No. Ramo",33,"IPP","I","PP",303,"UR",416)+GETPIVOTDATA("PEF 2010 ",#REF!,"No. Ramo",33,"IPP","I","PP",304,"UR",416)+GETPIVOTDATA("PEF 2010 ",#REF!,"No. Ramo",33,"IPP","I","PP",305,"UR",416)+GETPIVOTDATA("PEF 2010 ",#REF!,"No. Ramo",33,"IPP","I","PP",306,"UR",416)+GETPIVOTDATA("PEF 2010 ",#REF!,"No. Ramo",33,"IPP","I","PP",307,"UR",416)+GETPIVOTDATA("PEF 2010 ",#REF!,"No. Ramo",33,"IPP","I","PP",308,"UR",416)+GETPIVOTDATA("PEF 2010 ",#REF!,"No. Ramo",33,"IPP","I","PP",310,"UR",416)+GETPIVOTDATA("PEF 2010 ",#REF!,"No. Ramo",33,"IPP","I","PP",311,"UR",416)+GETPIVOTDATA("PEF 2010 ",#REF!,"No. Ramo",33,"IPP","I","PP",312,"UR",416)+GETPIVOTDATA("PEF 2010 ",#REF!,"No. Ramo",33,"IPP","I","PP",313,"UR",416)+GETPIVOTDATA("PEF 2010 ",#REF!,"No. Ramo",33,"IPP","I","PP",314,"UR",416)+GETPIVOTDATA("PEF 2010 ",#REF!,"No. Ramo",33,"IPP","I","PP",315,"UR",416)+GETPIVOTDATA("PEF 2010 ",#REF!,"No. Ramo",33,"IPP","I","PP",316,"UR",416)+GETPIVOTDATA("PEF 2010 ",#REF!,"No. Ramo",33,"IPP","I","PP",317,"UR",416)+GETPIVOTDATA("PEF 2010 ",#REF!,"No. Ramo",33,"IPP","I","PP",318,"UR",416)+GETPIVOTDATA("PEF 2010 ",#REF!,"No. Ramo",33,"IPP","I","PP",319,"UR",416)+GETPIVOTDATA("PEF 2010 ",#REF!,"No. Ramo",33,"IPP","I","PP",320,"UR",416)+GETPIVOTDATA("PEF 2010 ",#REF!,"No. Ramo",33,"IPP","I","PP",321,"UR",416)+GETPIVOTDATA("PEF 2010 ",#REF!,"No. Ramo",33,"IPP","I","PP",322,"UR",416)+GETPIVOTDATA("PEF 2010 ",#REF!,"No. Ramo",33,"IPP","I","PP",323,"UR",416)+GETPIVOTDATA("PEF 2010 ",#REF!,"No. Ramo",33,"IPP","I","PP",324,"UR",416)+GETPIVOTDATA("PEF 2010 ",#REF!,"No. Ramo",33,"IPP","I","PP",325,"UR",416)+GETPIVOTDATA("PEF 2010 ",#REF!,"No. Ramo",33,"IPP","I","PP",326,"UR",416)+GETPIVOTDATA("PEF 2010 ",#REF!,"No. Ramo",33,"IPP","I","PP",327,"UR",416)+GETPIVOTDATA("PEF 2010 ",#REF!,"No. Ramo",33,"IPP","I","PP",328,"UR",416)+GETPIVOTDATA("PEF 2010 ",#REF!,"No. Ramo",33,"IPP","I","PP",329,"UR",416)+GETPIVOTDATA("PEF 2010 ",#REF!,"No. Ramo",33,"IPP","I","PP",330,"UR",416)+GETPIVOTDATA("PEF 2010 ",#REF!,"No. Ramo",33,"IPP","I","PP",331,"UR",416)+GETPIVOTDATA("PEF 2010 ",#REF!,"No. Ramo",33,"IPP","I","PP",332,"UR",416)</f>
        <v>#REF!</v>
      </c>
      <c r="O348" s="69" t="e">
        <f>+GETPIVOTDATA("PPEF 2011 ",#REF!,"No. Ramo",33,"IPP","I","PP",301,"UR",416)+GETPIVOTDATA("PPEF 2011 ",#REF!,"No. Ramo",33,"IPP","I","PP",302,"UR",416)+GETPIVOTDATA("PPEF 2011 ",#REF!,"No. Ramo",33,"IPP","I","PP",303,"UR",416)+GETPIVOTDATA("PPEF 2011 ",#REF!,"No. Ramo",33,"IPP","I","PP",304,"UR",416)+GETPIVOTDATA("PPEF 2011 ",#REF!,"No. Ramo",33,"IPP","I","PP",305,"UR",416)+GETPIVOTDATA("PPEF 2011 ",#REF!,"No. Ramo",33,"IPP","I","PP",306,"UR",416)+GETPIVOTDATA("PPEF 2011 ",#REF!,"No. Ramo",33,"IPP","I","PP",307,"UR",416)+GETPIVOTDATA("PPEF 2011 ",#REF!,"No. Ramo",33,"IPP","I","PP",308,"UR",416)+GETPIVOTDATA("PPEF 2011 ",#REF!,"No. Ramo",33,"IPP","I","PP",310,"UR",416)+GETPIVOTDATA("PPEF 2011 ",#REF!,"No. Ramo",33,"IPP","I","PP",311,"UR",416)+GETPIVOTDATA("PPEF 2011 ",#REF!,"No. Ramo",33,"IPP","I","PP",312,"UR",416)+GETPIVOTDATA("PPEF 2011 ",#REF!,"No. Ramo",33,"IPP","I","PP",313,"UR",416)+GETPIVOTDATA("PPEF 2011 ",#REF!,"No. Ramo",33,"IPP","I","PP",314,"UR",416)+GETPIVOTDATA("PPEF 2011 ",#REF!,"No. Ramo",33,"IPP","I","PP",315,"UR",416)+GETPIVOTDATA("PPEF 2011 ",#REF!,"No. Ramo",33,"IPP","I","PP",316,"UR",416)+GETPIVOTDATA("PPEF 2011 ",#REF!,"No. Ramo",33,"IPP","I","PP",317,"UR",416)+GETPIVOTDATA("PPEF 2011 ",#REF!,"No. Ramo",33,"IPP","I","PP",318,"UR",416)+GETPIVOTDATA("PPEF 2011 ",#REF!,"No. Ramo",33,"IPP","I","PP",319,"UR",416)+GETPIVOTDATA("PPEF 2011 ",#REF!,"No. Ramo",33,"IPP","I","PP",320,"UR",416)+GETPIVOTDATA("PPEF 2011 ",#REF!,"No. Ramo",33,"IPP","I","PP",321,"UR",416)+GETPIVOTDATA("PPEF 2011 ",#REF!,"No. Ramo",33,"IPP","I","PP",322,"UR",416)+GETPIVOTDATA("PPEF 2011 ",#REF!,"No. Ramo",33,"IPP","I","PP",323,"UR",416)+GETPIVOTDATA("PPEF 2011 ",#REF!,"No. Ramo",33,"IPP","I","PP",324,"UR",416)+GETPIVOTDATA("PPEF 2011 ",#REF!,"No. Ramo",33,"IPP","I","PP",325,"UR",416)+GETPIVOTDATA("PPEF 2011 ",#REF!,"No. Ramo",33,"IPP","I","PP",326,"UR",416)+GETPIVOTDATA("PPEF 2011 ",#REF!,"No. Ramo",33,"IPP","I","PP",327,"UR",416)+GETPIVOTDATA("PPEF 2011 ",#REF!,"No. Ramo",33,"IPP","I","PP",328,"UR",416)+GETPIVOTDATA("PPEF 2011 ",#REF!,"No. Ramo",33,"IPP","I","PP",329,"UR",416)+GETPIVOTDATA("PPEF 2011 ",#REF!,"No. Ramo",33,"IPP","I","PP",330,"UR",416)+GETPIVOTDATA("PPEF 2011 ",#REF!,"No. Ramo",33,"IPP","I","PP",331,"UR",416)+GETPIVOTDATA("PPEF 2011 ",#REF!,"No. Ramo",33,"IPP","I","PP",332,"UR",416)</f>
        <v>#REF!</v>
      </c>
      <c r="P348" s="69" t="e">
        <f>+GETPIVOTDATA("Reducción ",#REF!,"No. Ramo",33,"IPP","I","PP",301,"UR",416)+GETPIVOTDATA("Reducción ",#REF!,"No. Ramo",33,"IPP","I","PP",302,"UR",416)+GETPIVOTDATA("Reducción ",#REF!,"No. Ramo",33,"IPP","I","PP",303,"UR",416)+GETPIVOTDATA("Reducción ",#REF!,"No. Ramo",33,"IPP","I","PP",304,"UR",416)+GETPIVOTDATA("Reducción ",#REF!,"No. Ramo",33,"IPP","I","PP",305,"UR",416)+GETPIVOTDATA("Reducción ",#REF!,"No. Ramo",33,"IPP","I","PP",306,"UR",416)+GETPIVOTDATA("Reducción ",#REF!,"No. Ramo",33,"IPP","I","PP",307,"UR",416)+GETPIVOTDATA("Reducción ",#REF!,"No. Ramo",33,"IPP","I","PP",308,"UR",416)+GETPIVOTDATA("Reducción ",#REF!,"No. Ramo",33,"IPP","I","PP",310,"UR",416)+GETPIVOTDATA("Reducción ",#REF!,"No. Ramo",33,"IPP","I","PP",311,"UR",416)+GETPIVOTDATA("Reducción ",#REF!,"No. Ramo",33,"IPP","I","PP",312,"UR",416)+GETPIVOTDATA("Reducción ",#REF!,"No. Ramo",33,"IPP","I","PP",313,"UR",416)+GETPIVOTDATA("Reducción ",#REF!,"No. Ramo",33,"IPP","I","PP",314,"UR",416)+GETPIVOTDATA("Reducción ",#REF!,"No. Ramo",33,"IPP","I","PP",315,"UR",416)+GETPIVOTDATA("Reducción ",#REF!,"No. Ramo",33,"IPP","I","PP",316,"UR",416)+GETPIVOTDATA("Reducción ",#REF!,"No. Ramo",33,"IPP","I","PP",317,"UR",416)+GETPIVOTDATA("Reducción ",#REF!,"No. Ramo",33,"IPP","I","PP",318,"UR",416)+GETPIVOTDATA("Reducción ",#REF!,"No. Ramo",33,"IPP","I","PP",319,"UR",416)+GETPIVOTDATA("Reducción ",#REF!,"No. Ramo",33,"IPP","I","PP",320,"UR",416)+GETPIVOTDATA("Reducción ",#REF!,"No. Ramo",33,"IPP","I","PP",321,"UR",416)+GETPIVOTDATA("Reducción ",#REF!,"No. Ramo",33,"IPP","I","PP",322,"UR",416)+GETPIVOTDATA("Reducción ",#REF!,"No. Ramo",33,"IPP","I","PP",323,"UR",416)+GETPIVOTDATA("Reducción ",#REF!,"No. Ramo",33,"IPP","I","PP",324,"UR",416)+GETPIVOTDATA("Reducción ",#REF!,"No. Ramo",33,"IPP","I","PP",325,"UR",416)+GETPIVOTDATA("Reducción ",#REF!,"No. Ramo",33,"IPP","I","PP",326,"UR",416)+GETPIVOTDATA("Reducción ",#REF!,"No. Ramo",33,"IPP","I","PP",327,"UR",416)+GETPIVOTDATA("Reducción ",#REF!,"No. Ramo",33,"IPP","I","PP",328,"UR",416)+GETPIVOTDATA("Reducción ",#REF!,"No. Ramo",33,"IPP","I","PP",329,"UR",416)+GETPIVOTDATA("Reducción ",#REF!,"No. Ramo",33,"IPP","I","PP",330,"UR",416)+GETPIVOTDATA("Reducción ",#REF!,"No. Ramo",33,"IPP","I","PP",331,"UR",416)+GETPIVOTDATA("Reducción ",#REF!,"No. Ramo",33,"IPP","I","PP",332,"UR",416)</f>
        <v>#REF!</v>
      </c>
      <c r="Q348" s="69" t="e">
        <f>+GETPIVOTDATA("Ampliación ",#REF!,"No. Ramo",33,"IPP","I","PP",301,"UR",416)+GETPIVOTDATA("Ampliación ",#REF!,"No. Ramo",33,"IPP","I","PP",302,"UR",416)+GETPIVOTDATA("Ampliación ",#REF!,"No. Ramo",33,"IPP","I","PP",303,"UR",416)+GETPIVOTDATA("Ampliación ",#REF!,"No. Ramo",33,"IPP","I","PP",304,"UR",416)+GETPIVOTDATA("Ampliación ",#REF!,"No. Ramo",33,"IPP","I","PP",305,"UR",416)+GETPIVOTDATA("Ampliación ",#REF!,"No. Ramo",33,"IPP","I","PP",306,"UR",416)+GETPIVOTDATA("Ampliación ",#REF!,"No. Ramo",33,"IPP","I","PP",307,"UR",416)+GETPIVOTDATA("Ampliación ",#REF!,"No. Ramo",33,"IPP","I","PP",308,"UR",416)+GETPIVOTDATA("Ampliación ",#REF!,"No. Ramo",33,"IPP","I","PP",310,"UR",416)+GETPIVOTDATA("Ampliación ",#REF!,"No. Ramo",33,"IPP","I","PP",311,"UR",416)+GETPIVOTDATA("Ampliación ",#REF!,"No. Ramo",33,"IPP","I","PP",312,"UR",416)+GETPIVOTDATA("Ampliación ",#REF!,"No. Ramo",33,"IPP","I","PP",313,"UR",416)+GETPIVOTDATA("Ampliación ",#REF!,"No. Ramo",33,"IPP","I","PP",314,"UR",416)+GETPIVOTDATA("Ampliación ",#REF!,"No. Ramo",33,"IPP","I","PP",315,"UR",416)+GETPIVOTDATA("Ampliación ",#REF!,"No. Ramo",33,"IPP","I","PP",316,"UR",416)+GETPIVOTDATA("Ampliación ",#REF!,"No. Ramo",33,"IPP","I","PP",317,"UR",416)+GETPIVOTDATA("Ampliación ",#REF!,"No. Ramo",33,"IPP","I","PP",318,"UR",416)+GETPIVOTDATA("Ampliación ",#REF!,"No. Ramo",33,"IPP","I","PP",319,"UR",416)+GETPIVOTDATA("Ampliación ",#REF!,"No. Ramo",33,"IPP","I","PP",320,"UR",416)+GETPIVOTDATA("Ampliación ",#REF!,"No. Ramo",33,"IPP","I","PP",321,"UR",416)+GETPIVOTDATA("Ampliación ",#REF!,"No. Ramo",33,"IPP","I","PP",322,"UR",416)+GETPIVOTDATA("Ampliación ",#REF!,"No. Ramo",33,"IPP","I","PP",323,"UR",416)+GETPIVOTDATA("Ampliación ",#REF!,"No. Ramo",33,"IPP","I","PP",324,"UR",416)+GETPIVOTDATA("Ampliación ",#REF!,"No. Ramo",33,"IPP","I","PP",325,"UR",416)+GETPIVOTDATA("Ampliación ",#REF!,"No. Ramo",33,"IPP","I","PP",326,"UR",416)+GETPIVOTDATA("Ampliación ",#REF!,"No. Ramo",33,"IPP","I","PP",327,"UR",416)+GETPIVOTDATA("Ampliación ",#REF!,"No. Ramo",33,"IPP","I","PP",328,"UR",416)+GETPIVOTDATA("Ampliación ",#REF!,"No. Ramo",33,"IPP","I","PP",329,"UR",416)+GETPIVOTDATA("Ampliación ",#REF!,"No. Ramo",33,"IPP","I","PP",330,"UR",416)+GETPIVOTDATA("Ampliación ",#REF!,"No. Ramo",33,"IPP","I","PP",331,"UR",416)+GETPIVOTDATA("Ampliación ",#REF!,"No. Ramo",33,"IPP","I","PP",332,"UR",416)</f>
        <v>#REF!</v>
      </c>
      <c r="R348" s="69" t="e">
        <f t="shared" si="100"/>
        <v>#REF!</v>
      </c>
      <c r="S348" s="66"/>
      <c r="T348" s="66"/>
      <c r="U348" s="69" t="e">
        <f t="shared" si="104"/>
        <v>#REF!</v>
      </c>
      <c r="V348" s="69" t="e">
        <f t="shared" si="112"/>
        <v>#REF!</v>
      </c>
      <c r="W348" s="69" t="e">
        <f t="shared" si="112"/>
        <v>#REF!</v>
      </c>
      <c r="X348" s="69" t="e">
        <f t="shared" si="112"/>
        <v>#REF!</v>
      </c>
      <c r="AH348" s="147"/>
      <c r="AI348" s="148"/>
      <c r="AJ348" s="158" t="s">
        <v>848</v>
      </c>
      <c r="AK348" s="160"/>
      <c r="AL348" s="149"/>
      <c r="AM348" s="150"/>
      <c r="AN348" s="150"/>
      <c r="AO348" s="151"/>
      <c r="AP348" s="146"/>
      <c r="AQ348" s="146"/>
      <c r="AR348" s="146"/>
      <c r="AS348" s="245"/>
      <c r="AT348" s="245"/>
      <c r="AU348" s="146"/>
      <c r="AX348" s="147"/>
      <c r="AY348" s="148"/>
      <c r="AZ348" s="158" t="s">
        <v>848</v>
      </c>
      <c r="BA348" s="160"/>
      <c r="BB348" s="149"/>
      <c r="BC348" s="189"/>
      <c r="BD348" s="189"/>
      <c r="BE348" s="190"/>
      <c r="BF348" s="187">
        <f>+AU348</f>
        <v>0</v>
      </c>
    </row>
    <row r="349" spans="2:58">
      <c r="B349" s="26"/>
      <c r="C349" s="27" t="s">
        <v>762</v>
      </c>
      <c r="D349" s="27"/>
      <c r="E349" s="27"/>
      <c r="F349" s="61"/>
      <c r="G349" s="61"/>
      <c r="H349" s="61"/>
      <c r="I349" s="62"/>
      <c r="J349" s="61"/>
      <c r="K349" s="71" t="e">
        <f t="shared" ref="K349:Q349" si="113">+K350+K355</f>
        <v>#REF!</v>
      </c>
      <c r="L349" s="71" t="e">
        <f t="shared" si="113"/>
        <v>#REF!</v>
      </c>
      <c r="M349" s="71" t="e">
        <f t="shared" si="113"/>
        <v>#REF!</v>
      </c>
      <c r="N349" s="71" t="e">
        <f t="shared" si="113"/>
        <v>#REF!</v>
      </c>
      <c r="O349" s="71" t="e">
        <f t="shared" si="113"/>
        <v>#REF!</v>
      </c>
      <c r="P349" s="71" t="e">
        <f t="shared" si="113"/>
        <v>#REF!</v>
      </c>
      <c r="Q349" s="71" t="e">
        <f t="shared" si="113"/>
        <v>#REF!</v>
      </c>
      <c r="R349" s="63" t="e">
        <f t="shared" si="100"/>
        <v>#REF!</v>
      </c>
      <c r="S349" s="63"/>
      <c r="T349" s="63"/>
      <c r="U349" s="63" t="e">
        <f>+U350+U355</f>
        <v>#REF!</v>
      </c>
      <c r="V349" s="63" t="e">
        <f>+V350+V355</f>
        <v>#REF!</v>
      </c>
      <c r="W349" s="63" t="e">
        <f>+W350+W355</f>
        <v>#REF!</v>
      </c>
      <c r="X349" s="63" t="e">
        <f>+X350+X355</f>
        <v>#REF!</v>
      </c>
      <c r="AH349" s="147"/>
      <c r="AI349" s="148" t="s">
        <v>762</v>
      </c>
      <c r="AJ349" s="160"/>
      <c r="AK349" s="160"/>
      <c r="AL349" s="149"/>
      <c r="AM349" s="150"/>
      <c r="AN349" s="150"/>
      <c r="AO349" s="151"/>
      <c r="AP349" s="146">
        <f>AP350+AP355</f>
        <v>0</v>
      </c>
      <c r="AQ349" s="146">
        <f>AQ350+AQ355</f>
        <v>0</v>
      </c>
      <c r="AR349" s="146">
        <f>AR350+AR355</f>
        <v>0</v>
      </c>
      <c r="AS349" s="245"/>
      <c r="AT349" s="245"/>
      <c r="AU349" s="146">
        <f>AU350+AU355</f>
        <v>0</v>
      </c>
      <c r="AX349" s="147"/>
      <c r="AY349" s="148" t="s">
        <v>762</v>
      </c>
      <c r="AZ349" s="160"/>
      <c r="BA349" s="160"/>
      <c r="BB349" s="149"/>
      <c r="BC349" s="189"/>
      <c r="BD349" s="189"/>
      <c r="BE349" s="190"/>
      <c r="BF349" s="187">
        <f>BF350+BF355</f>
        <v>0</v>
      </c>
    </row>
    <row r="350" spans="2:58">
      <c r="B350" s="28" t="s">
        <v>101</v>
      </c>
      <c r="C350" s="29" t="s">
        <v>763</v>
      </c>
      <c r="D350" s="29"/>
      <c r="E350" s="29"/>
      <c r="F350" s="28"/>
      <c r="G350" s="28"/>
      <c r="H350" s="28"/>
      <c r="I350" s="65"/>
      <c r="J350" s="28"/>
      <c r="K350" s="66" t="e">
        <f t="shared" ref="K350:Q350" si="114">+K351</f>
        <v>#REF!</v>
      </c>
      <c r="L350" s="66" t="e">
        <f t="shared" si="114"/>
        <v>#REF!</v>
      </c>
      <c r="M350" s="66" t="e">
        <f t="shared" si="114"/>
        <v>#REF!</v>
      </c>
      <c r="N350" s="66" t="e">
        <f t="shared" si="114"/>
        <v>#REF!</v>
      </c>
      <c r="O350" s="66" t="e">
        <f t="shared" si="114"/>
        <v>#REF!</v>
      </c>
      <c r="P350" s="66" t="e">
        <f t="shared" si="114"/>
        <v>#REF!</v>
      </c>
      <c r="Q350" s="66" t="e">
        <f t="shared" si="114"/>
        <v>#REF!</v>
      </c>
      <c r="R350" s="66" t="e">
        <f t="shared" si="100"/>
        <v>#REF!</v>
      </c>
      <c r="S350" s="66"/>
      <c r="T350" s="66"/>
      <c r="U350" s="66" t="e">
        <f>+U351</f>
        <v>#REF!</v>
      </c>
      <c r="V350" s="66" t="e">
        <f>+V351</f>
        <v>#REF!</v>
      </c>
      <c r="W350" s="66" t="e">
        <f>+W351</f>
        <v>#REF!</v>
      </c>
      <c r="X350" s="66" t="e">
        <f>+X351</f>
        <v>#REF!</v>
      </c>
      <c r="AH350" s="147" t="s">
        <v>101</v>
      </c>
      <c r="AI350" s="148" t="s">
        <v>763</v>
      </c>
      <c r="AJ350" s="160"/>
      <c r="AK350" s="160"/>
      <c r="AL350" s="149"/>
      <c r="AM350" s="150"/>
      <c r="AN350" s="150"/>
      <c r="AO350" s="151"/>
      <c r="AP350" s="146">
        <f>AP351</f>
        <v>0</v>
      </c>
      <c r="AQ350" s="146">
        <f>AQ351</f>
        <v>0</v>
      </c>
      <c r="AR350" s="146">
        <f>AR351</f>
        <v>0</v>
      </c>
      <c r="AS350" s="245"/>
      <c r="AT350" s="245"/>
      <c r="AU350" s="146">
        <f>AU351</f>
        <v>0</v>
      </c>
      <c r="AX350" s="147" t="s">
        <v>101</v>
      </c>
      <c r="AY350" s="148" t="s">
        <v>763</v>
      </c>
      <c r="AZ350" s="160"/>
      <c r="BA350" s="160"/>
      <c r="BB350" s="149"/>
      <c r="BC350" s="189"/>
      <c r="BD350" s="189"/>
      <c r="BE350" s="190"/>
      <c r="BF350" s="187">
        <f>BF351</f>
        <v>0</v>
      </c>
    </row>
    <row r="351" spans="2:58">
      <c r="B351" s="31"/>
      <c r="C351" s="30" t="s">
        <v>764</v>
      </c>
      <c r="D351" s="30"/>
      <c r="E351" s="30"/>
      <c r="F351" s="33"/>
      <c r="G351" s="33"/>
      <c r="H351" s="33"/>
      <c r="I351" s="67"/>
      <c r="J351" s="33"/>
      <c r="K351" s="69" t="e">
        <f t="shared" ref="K351:Q351" si="115">SUM(K352:K354)</f>
        <v>#REF!</v>
      </c>
      <c r="L351" s="69" t="e">
        <f t="shared" si="115"/>
        <v>#REF!</v>
      </c>
      <c r="M351" s="69" t="e">
        <f t="shared" si="115"/>
        <v>#REF!</v>
      </c>
      <c r="N351" s="69" t="e">
        <f t="shared" si="115"/>
        <v>#REF!</v>
      </c>
      <c r="O351" s="69" t="e">
        <f t="shared" si="115"/>
        <v>#REF!</v>
      </c>
      <c r="P351" s="69" t="e">
        <f t="shared" si="115"/>
        <v>#REF!</v>
      </c>
      <c r="Q351" s="69" t="e">
        <f t="shared" si="115"/>
        <v>#REF!</v>
      </c>
      <c r="R351" s="69" t="e">
        <f t="shared" si="100"/>
        <v>#REF!</v>
      </c>
      <c r="S351" s="69"/>
      <c r="T351" s="69"/>
      <c r="U351" s="69" t="e">
        <f>SUM(U352:U354)</f>
        <v>#REF!</v>
      </c>
      <c r="V351" s="69" t="e">
        <f>SUM(V352:V354)</f>
        <v>#REF!</v>
      </c>
      <c r="W351" s="69" t="e">
        <f>SUM(W352:W354)</f>
        <v>#REF!</v>
      </c>
      <c r="X351" s="69" t="e">
        <f>SUM(X352:X354)</f>
        <v>#REF!</v>
      </c>
      <c r="AH351" s="152"/>
      <c r="AI351" s="157" t="s">
        <v>764</v>
      </c>
      <c r="AJ351" s="158"/>
      <c r="AK351" s="158"/>
      <c r="AL351" s="155"/>
      <c r="AM351" s="150"/>
      <c r="AN351" s="150"/>
      <c r="AO351" s="151"/>
      <c r="AP351" s="146">
        <f>AP352+AP353+AP354</f>
        <v>0</v>
      </c>
      <c r="AQ351" s="146">
        <f>AQ352+AQ353+AQ354</f>
        <v>0</v>
      </c>
      <c r="AR351" s="146">
        <f>AR352+AR353+AR354</f>
        <v>0</v>
      </c>
      <c r="AS351" s="245"/>
      <c r="AT351" s="245"/>
      <c r="AU351" s="146">
        <f>AU352+AU353+AU354</f>
        <v>0</v>
      </c>
      <c r="AX351" s="152"/>
      <c r="AY351" s="157" t="s">
        <v>764</v>
      </c>
      <c r="AZ351" s="158"/>
      <c r="BA351" s="158"/>
      <c r="BB351" s="155"/>
      <c r="BC351" s="189"/>
      <c r="BD351" s="189"/>
      <c r="BE351" s="190"/>
      <c r="BF351" s="187">
        <f>BF352+BF353+BF354</f>
        <v>0</v>
      </c>
    </row>
    <row r="352" spans="2:58">
      <c r="B352" s="31"/>
      <c r="C352" s="30" t="s">
        <v>765</v>
      </c>
      <c r="D352" s="35" t="s">
        <v>733</v>
      </c>
      <c r="E352" s="35"/>
      <c r="F352" s="90" t="s">
        <v>831</v>
      </c>
      <c r="G352" s="35" t="s">
        <v>39</v>
      </c>
      <c r="H352" s="90"/>
      <c r="I352" s="67" t="e">
        <f>4057200000/O352</f>
        <v>#REF!</v>
      </c>
      <c r="J352" s="90"/>
      <c r="K352" s="69" t="e">
        <f>+GETPIVOTDATA("PPEF 2010 ",#REF!,"No. Ramo",12,"IPP","S","PP",72,"UR","U00")</f>
        <v>#REF!</v>
      </c>
      <c r="L352" s="69" t="e">
        <f>+GETPIVOTDATA("Ampliación Neta DIP ",#REF!,"No. Ramo",12,"IPP","S","PP",72,"UR","U00")</f>
        <v>#REF!</v>
      </c>
      <c r="M352" s="69" t="e">
        <f>+GETPIVOTDATA("Recorte SHCP ",#REF!,"No. Ramo",12,"IPP","S","PP",72,"UR","U00")</f>
        <v>#REF!</v>
      </c>
      <c r="N352" s="69" t="e">
        <f>+GETPIVOTDATA("PEF 2010 ",#REF!,"No. Ramo",12,"IPP","S","PP",72,"UR","U00")</f>
        <v>#REF!</v>
      </c>
      <c r="O352" s="69" t="e">
        <f>+GETPIVOTDATA("PPEF 2011 ",#REF!,"No. Ramo",12,"IPP","S","PP",72,"UR","U00")</f>
        <v>#REF!</v>
      </c>
      <c r="P352" s="69" t="e">
        <f>+GETPIVOTDATA("Reducción ",#REF!,"No. Ramo",12,"IPP","S","PP",72,"UR","U00")</f>
        <v>#REF!</v>
      </c>
      <c r="Q352" s="69" t="e">
        <f>+GETPIVOTDATA("Ampliación ",#REF!,"No. Ramo",12,"IPP","S","PP",72,"UR","U00")</f>
        <v>#REF!</v>
      </c>
      <c r="R352" s="69" t="e">
        <f t="shared" si="100"/>
        <v>#REF!</v>
      </c>
      <c r="S352" s="69"/>
      <c r="T352" s="69"/>
      <c r="U352" s="69" t="e">
        <f t="shared" si="104"/>
        <v>#REF!</v>
      </c>
      <c r="V352" s="69" t="e">
        <f t="shared" si="104"/>
        <v>#REF!</v>
      </c>
      <c r="W352" s="69" t="e">
        <f t="shared" si="104"/>
        <v>#REF!</v>
      </c>
      <c r="X352" s="69" t="e">
        <f t="shared" si="104"/>
        <v>#REF!</v>
      </c>
      <c r="AH352" s="152"/>
      <c r="AI352" s="157" t="s">
        <v>765</v>
      </c>
      <c r="AJ352" s="175" t="s">
        <v>733</v>
      </c>
      <c r="AK352" s="175"/>
      <c r="AL352" s="150"/>
      <c r="AM352" s="150"/>
      <c r="AN352" s="150"/>
      <c r="AO352" s="151"/>
      <c r="AP352" s="146"/>
      <c r="AQ352" s="146"/>
      <c r="AR352" s="146"/>
      <c r="AS352" s="245"/>
      <c r="AT352" s="245"/>
      <c r="AU352" s="146"/>
      <c r="AX352" s="152"/>
      <c r="AY352" s="157" t="s">
        <v>765</v>
      </c>
      <c r="AZ352" s="175" t="s">
        <v>733</v>
      </c>
      <c r="BA352" s="175"/>
      <c r="BB352" s="189"/>
      <c r="BC352" s="189"/>
      <c r="BD352" s="189"/>
      <c r="BE352" s="190"/>
      <c r="BF352" s="187">
        <f>+AU352</f>
        <v>0</v>
      </c>
    </row>
    <row r="353" spans="1:75">
      <c r="B353" s="31"/>
      <c r="C353" s="30" t="s">
        <v>765</v>
      </c>
      <c r="D353" s="30" t="s">
        <v>734</v>
      </c>
      <c r="E353" s="30"/>
      <c r="F353" s="33" t="s">
        <v>809</v>
      </c>
      <c r="G353" s="33" t="s">
        <v>809</v>
      </c>
      <c r="H353" s="33"/>
      <c r="I353" s="67" t="e">
        <f>296300000/O353</f>
        <v>#REF!</v>
      </c>
      <c r="J353" s="33"/>
      <c r="K353" s="69" t="e">
        <f>+GETPIVOTDATA("PPEF 2010 ",#REF!,"No. Ramo",12,"IPP","P","PP",17,"UR","L00")+GETPIVOTDATA("PPEF 2010 ",#REF!,"No. Ramo",12,"IPP","R","PP",1,"UR",172)+GETPIVOTDATA("PPEF 2010 ",#REF!,"No. Ramo",12,"IPP","S","PP",37,"UR",310)+GETPIVOTDATA("PPEF 2010 ",#REF!,"No. Ramo",12,"IPP","S","PP",200,"UR",611)</f>
        <v>#REF!</v>
      </c>
      <c r="L353" s="69" t="e">
        <f>+GETPIVOTDATA("Ampliación Neta DIP ",#REF!,"No. Ramo",12,"IPP","P","PP",17,"UR","L00")+GETPIVOTDATA("Ampliación Neta DIP ",#REF!,"No. Ramo",12,"IPP","R","PP",1,"UR",172)+GETPIVOTDATA("Ampliación Neta DIP ",#REF!,"No. Ramo",12,"IPP","S","PP",37,"UR",310)+GETPIVOTDATA("Ampliación Neta DIP ",#REF!,"No. Ramo",12,"IPP","S","PP",200,"UR",611)</f>
        <v>#REF!</v>
      </c>
      <c r="M353" s="69" t="e">
        <f>+GETPIVOTDATA("Recorte SHCP ",#REF!,"No. Ramo",12,"IPP","P","PP",17,"UR","L00")+GETPIVOTDATA("Recorte SHCP ",#REF!,"No. Ramo",12,"IPP","R","PP",1,"UR",172)+GETPIVOTDATA("Recorte SHCP ",#REF!,"No. Ramo",12,"IPP","S","PP",37,"UR",310)+GETPIVOTDATA("Recorte SHCP ",#REF!,"No. Ramo",12,"IPP","S","PP",200,"UR",611)</f>
        <v>#REF!</v>
      </c>
      <c r="N353" s="69" t="e">
        <f>+GETPIVOTDATA("PEF 2010 ",#REF!,"No. Ramo",12,"IPP","P","PP",17,"UR","L00")+GETPIVOTDATA("PEF 2010 ",#REF!,"No. Ramo",12,"IPP","R","PP",1,"UR",172)+GETPIVOTDATA("PEF 2010 ",#REF!,"No. Ramo",12,"IPP","S","PP",37,"UR",310)+GETPIVOTDATA("PEF 2010 ",#REF!,"No. Ramo",12,"IPP","S","PP",200,"UR",611)</f>
        <v>#REF!</v>
      </c>
      <c r="O353" s="69" t="e">
        <f>+GETPIVOTDATA("PPEF 2011 ",#REF!,"No. Ramo",12,"IPP","P","PP",17,"UR","L00")+GETPIVOTDATA("PPEF 2011 ",#REF!,"No. Ramo",12,"IPP","R","PP",1,"UR",172)+GETPIVOTDATA("PPEF 2011 ",#REF!,"No. Ramo",12,"IPP","S","PP",37,"UR",310)+GETPIVOTDATA("PPEF 2011 ",#REF!,"No. Ramo",12,"IPP","S","PP",200,"UR",611)</f>
        <v>#REF!</v>
      </c>
      <c r="P353" s="69" t="e">
        <f>+GETPIVOTDATA("Reducción ",#REF!,"No. Ramo",12,"IPP","P","PP",17,"UR","L00")+GETPIVOTDATA("Reducción ",#REF!,"No. Ramo",12,"IPP","R","PP",1,"UR",172)+GETPIVOTDATA("Reducción ",#REF!,"No. Ramo",12,"IPP","S","PP",37,"UR",310)+GETPIVOTDATA("Reducción ",#REF!,"No. Ramo",12,"IPP","S","PP",200,"UR",611)</f>
        <v>#REF!</v>
      </c>
      <c r="Q353" s="69" t="e">
        <f>+GETPIVOTDATA("Ampliación ",#REF!,"No. Ramo",12,"IPP","P","PP",17,"UR","L00")+GETPIVOTDATA("Ampliación ",#REF!,"No. Ramo",12,"IPP","R","PP",1,"UR",172)+GETPIVOTDATA("Ampliación ",#REF!,"No. Ramo",12,"IPP","S","PP",37,"UR",310)+GETPIVOTDATA("Ampliación ",#REF!,"No. Ramo",12,"IPP","S","PP",200,"UR",611)</f>
        <v>#REF!</v>
      </c>
      <c r="R353" s="69" t="e">
        <f t="shared" si="100"/>
        <v>#REF!</v>
      </c>
      <c r="S353" s="69"/>
      <c r="T353" s="69"/>
      <c r="U353" s="69" t="e">
        <f t="shared" si="104"/>
        <v>#REF!</v>
      </c>
      <c r="V353" s="69" t="e">
        <f t="shared" si="104"/>
        <v>#REF!</v>
      </c>
      <c r="W353" s="69" t="e">
        <f t="shared" si="104"/>
        <v>#REF!</v>
      </c>
      <c r="X353" s="69" t="e">
        <f t="shared" si="104"/>
        <v>#REF!</v>
      </c>
      <c r="AH353" s="152"/>
      <c r="AI353" s="157" t="s">
        <v>765</v>
      </c>
      <c r="AJ353" s="158" t="s">
        <v>734</v>
      </c>
      <c r="AK353" s="158"/>
      <c r="AL353" s="150"/>
      <c r="AM353" s="150"/>
      <c r="AN353" s="150"/>
      <c r="AO353" s="151"/>
      <c r="AP353" s="146"/>
      <c r="AQ353" s="146"/>
      <c r="AR353" s="146"/>
      <c r="AS353" s="245"/>
      <c r="AT353" s="245"/>
      <c r="AU353" s="146"/>
      <c r="AX353" s="152"/>
      <c r="AY353" s="157" t="s">
        <v>765</v>
      </c>
      <c r="AZ353" s="158" t="s">
        <v>734</v>
      </c>
      <c r="BA353" s="158"/>
      <c r="BB353" s="189"/>
      <c r="BC353" s="189"/>
      <c r="BD353" s="189"/>
      <c r="BE353" s="190"/>
      <c r="BF353" s="187">
        <f>+AU353</f>
        <v>0</v>
      </c>
    </row>
    <row r="354" spans="1:75">
      <c r="B354" s="31"/>
      <c r="C354" s="30" t="s">
        <v>765</v>
      </c>
      <c r="D354" s="30" t="s">
        <v>766</v>
      </c>
      <c r="E354" s="30"/>
      <c r="F354" s="33" t="s">
        <v>849</v>
      </c>
      <c r="G354" s="33" t="s">
        <v>39</v>
      </c>
      <c r="H354" s="33"/>
      <c r="I354" s="67" t="e">
        <f>17335500000/O354</f>
        <v>#REF!</v>
      </c>
      <c r="J354" s="33"/>
      <c r="K354" s="69" t="e">
        <f>+GETPIVOTDATA("PPEF 2010 ",#REF!,"No. Ramo",12,"IPP","U","PP",5,"UR","U00")</f>
        <v>#REF!</v>
      </c>
      <c r="L354" s="69" t="e">
        <f>+GETPIVOTDATA("Ampliación Neta DIP ",#REF!,"No. Ramo",12,"IPP","U","PP",5,"UR","U00")</f>
        <v>#REF!</v>
      </c>
      <c r="M354" s="69" t="e">
        <f>+GETPIVOTDATA("Recorte SHCP ",#REF!,"No. Ramo",12,"IPP","U","PP",5,"UR","U00")</f>
        <v>#REF!</v>
      </c>
      <c r="N354" s="69" t="e">
        <f>+GETPIVOTDATA("PEF 2010 ",#REF!,"No. Ramo",12,"IPP","U","PP",5,"UR","U00")</f>
        <v>#REF!</v>
      </c>
      <c r="O354" s="69" t="e">
        <f>+GETPIVOTDATA("PPEF 2011 ",#REF!,"No. Ramo",12,"IPP","U","PP",5,"UR","U00")</f>
        <v>#REF!</v>
      </c>
      <c r="P354" s="69" t="e">
        <f>+GETPIVOTDATA("Reducción ",#REF!,"No. Ramo",12,"IPP","U","PP",5,"UR","U00")</f>
        <v>#REF!</v>
      </c>
      <c r="Q354" s="69" t="e">
        <f>+GETPIVOTDATA("Ampliación ",#REF!,"No. Ramo",12,"IPP","U","PP",5,"UR","U00")</f>
        <v>#REF!</v>
      </c>
      <c r="R354" s="69" t="e">
        <f t="shared" si="100"/>
        <v>#REF!</v>
      </c>
      <c r="S354" s="69"/>
      <c r="T354" s="69"/>
      <c r="U354" s="69" t="e">
        <f t="shared" si="104"/>
        <v>#REF!</v>
      </c>
      <c r="V354" s="69" t="e">
        <f t="shared" si="104"/>
        <v>#REF!</v>
      </c>
      <c r="W354" s="69" t="e">
        <f t="shared" si="104"/>
        <v>#REF!</v>
      </c>
      <c r="X354" s="69" t="e">
        <f t="shared" si="104"/>
        <v>#REF!</v>
      </c>
      <c r="AH354" s="152"/>
      <c r="AI354" s="157" t="s">
        <v>765</v>
      </c>
      <c r="AJ354" s="158" t="s">
        <v>766</v>
      </c>
      <c r="AK354" s="158"/>
      <c r="AL354" s="150"/>
      <c r="AM354" s="150"/>
      <c r="AN354" s="150"/>
      <c r="AO354" s="151"/>
      <c r="AP354" s="146"/>
      <c r="AQ354" s="146"/>
      <c r="AR354" s="146"/>
      <c r="AS354" s="245"/>
      <c r="AT354" s="245"/>
      <c r="AU354" s="146"/>
      <c r="AX354" s="152"/>
      <c r="AY354" s="157" t="s">
        <v>765</v>
      </c>
      <c r="AZ354" s="158" t="s">
        <v>766</v>
      </c>
      <c r="BA354" s="158"/>
      <c r="BB354" s="189"/>
      <c r="BC354" s="189"/>
      <c r="BD354" s="189"/>
      <c r="BE354" s="190"/>
      <c r="BF354" s="187">
        <f>+AU354</f>
        <v>0</v>
      </c>
      <c r="BI354" s="113"/>
      <c r="BJ354" s="113"/>
      <c r="BK354" s="113"/>
      <c r="BL354" s="113"/>
      <c r="BM354" s="113"/>
      <c r="BN354" s="113"/>
      <c r="BO354" s="113"/>
      <c r="BP354" s="113"/>
      <c r="BQ354" s="113"/>
      <c r="BR354" s="113"/>
      <c r="BS354" s="113"/>
      <c r="BT354" s="113"/>
      <c r="BU354" s="113"/>
      <c r="BV354" s="113"/>
      <c r="BW354" s="113"/>
    </row>
    <row r="355" spans="1:75">
      <c r="B355" s="28" t="s">
        <v>101</v>
      </c>
      <c r="C355" s="29" t="s">
        <v>767</v>
      </c>
      <c r="D355" s="29"/>
      <c r="E355" s="29"/>
      <c r="F355" s="28"/>
      <c r="G355" s="28"/>
      <c r="H355" s="28"/>
      <c r="I355" s="65"/>
      <c r="J355" s="28"/>
      <c r="K355" s="66" t="e">
        <f t="shared" ref="K355:Q355" si="116">+K356</f>
        <v>#REF!</v>
      </c>
      <c r="L355" s="66" t="e">
        <f t="shared" si="116"/>
        <v>#REF!</v>
      </c>
      <c r="M355" s="66" t="e">
        <f t="shared" si="116"/>
        <v>#REF!</v>
      </c>
      <c r="N355" s="66" t="e">
        <f t="shared" si="116"/>
        <v>#REF!</v>
      </c>
      <c r="O355" s="66" t="e">
        <f t="shared" si="116"/>
        <v>#REF!</v>
      </c>
      <c r="P355" s="66" t="e">
        <f t="shared" si="116"/>
        <v>#REF!</v>
      </c>
      <c r="Q355" s="66" t="e">
        <f t="shared" si="116"/>
        <v>#REF!</v>
      </c>
      <c r="R355" s="66" t="e">
        <f t="shared" si="100"/>
        <v>#REF!</v>
      </c>
      <c r="S355" s="66"/>
      <c r="T355" s="66"/>
      <c r="U355" s="66" t="e">
        <f>+U356</f>
        <v>#REF!</v>
      </c>
      <c r="V355" s="66" t="e">
        <f>+V356</f>
        <v>#REF!</v>
      </c>
      <c r="W355" s="66" t="e">
        <f>+W356</f>
        <v>#REF!</v>
      </c>
      <c r="X355" s="66" t="e">
        <f>+X356</f>
        <v>#REF!</v>
      </c>
      <c r="AH355" s="147" t="s">
        <v>101</v>
      </c>
      <c r="AI355" s="148" t="s">
        <v>767</v>
      </c>
      <c r="AJ355" s="160"/>
      <c r="AK355" s="160"/>
      <c r="AL355" s="149"/>
      <c r="AM355" s="150"/>
      <c r="AN355" s="150"/>
      <c r="AO355" s="151"/>
      <c r="AP355" s="146">
        <f>AP356</f>
        <v>0</v>
      </c>
      <c r="AQ355" s="146">
        <f t="shared" ref="AQ355:AU356" si="117">AQ356</f>
        <v>0</v>
      </c>
      <c r="AR355" s="146">
        <f t="shared" si="117"/>
        <v>0</v>
      </c>
      <c r="AS355" s="245"/>
      <c r="AT355" s="245"/>
      <c r="AU355" s="146">
        <f t="shared" si="117"/>
        <v>0</v>
      </c>
      <c r="AX355" s="147" t="s">
        <v>101</v>
      </c>
      <c r="AY355" s="148" t="s">
        <v>767</v>
      </c>
      <c r="AZ355" s="160"/>
      <c r="BA355" s="160"/>
      <c r="BB355" s="149"/>
      <c r="BC355" s="189"/>
      <c r="BD355" s="189"/>
      <c r="BE355" s="190"/>
      <c r="BF355" s="187">
        <f>BF356</f>
        <v>0</v>
      </c>
    </row>
    <row r="356" spans="1:75" s="113" customFormat="1">
      <c r="A356"/>
      <c r="B356" s="31"/>
      <c r="C356" s="30" t="s">
        <v>768</v>
      </c>
      <c r="D356" s="30"/>
      <c r="E356" s="30"/>
      <c r="F356" s="33" t="s">
        <v>850</v>
      </c>
      <c r="G356" s="33">
        <v>416</v>
      </c>
      <c r="H356" s="33"/>
      <c r="I356" s="67">
        <v>1</v>
      </c>
      <c r="J356" s="33"/>
      <c r="K356" s="69" t="e">
        <f>+GETPIVOTDATA("PPEF 2010 ",#REF!,"No. Ramo",19,"IPP","S","PP",38,"UR",416)</f>
        <v>#REF!</v>
      </c>
      <c r="L356" s="69" t="e">
        <f>+GETPIVOTDATA("Ampliación Neta DIP ",#REF!,"No. Ramo",19,"IPP","S","PP",38,"UR",416)</f>
        <v>#REF!</v>
      </c>
      <c r="M356" s="69" t="e">
        <f>+GETPIVOTDATA("Recorte SHCP ",#REF!,"No. Ramo",19,"IPP","S","PP",38,"UR",416)</f>
        <v>#REF!</v>
      </c>
      <c r="N356" s="69" t="e">
        <f>+GETPIVOTDATA("PEF 2010 ",#REF!,"No. Ramo",19,"IPP","S","PP",38,"UR",416)</f>
        <v>#REF!</v>
      </c>
      <c r="O356" s="69" t="e">
        <f>+GETPIVOTDATA("PPEF 2011 ",#REF!,"No. Ramo",19,"IPP","S","PP",38,"UR",416)</f>
        <v>#REF!</v>
      </c>
      <c r="P356" s="69" t="e">
        <f>+GETPIVOTDATA("Reducción ",#REF!,"No. Ramo",19,"IPP","S","PP",38,"UR",416)</f>
        <v>#REF!</v>
      </c>
      <c r="Q356" s="69" t="e">
        <f>+GETPIVOTDATA("Ampliación ",#REF!,"No. Ramo",19,"IPP","S","PP",38,"UR",416)</f>
        <v>#REF!</v>
      </c>
      <c r="R356" s="69" t="e">
        <f t="shared" si="100"/>
        <v>#REF!</v>
      </c>
      <c r="S356" s="69"/>
      <c r="T356" s="69"/>
      <c r="U356" s="69" t="e">
        <f t="shared" si="104"/>
        <v>#REF!</v>
      </c>
      <c r="V356" s="69" t="e">
        <f t="shared" si="104"/>
        <v>#REF!</v>
      </c>
      <c r="W356" s="69" t="e">
        <f t="shared" si="104"/>
        <v>#REF!</v>
      </c>
      <c r="X356" s="69" t="e">
        <f t="shared" si="104"/>
        <v>#REF!</v>
      </c>
      <c r="Y356"/>
      <c r="Z356"/>
      <c r="AA356"/>
      <c r="AB356"/>
      <c r="AC356"/>
      <c r="AD356"/>
      <c r="AE356"/>
      <c r="AF356"/>
      <c r="AG356"/>
      <c r="AH356" s="152"/>
      <c r="AI356" s="157" t="s">
        <v>768</v>
      </c>
      <c r="AJ356" s="158"/>
      <c r="AK356" s="158"/>
      <c r="AL356" s="150"/>
      <c r="AM356" s="150"/>
      <c r="AN356" s="150"/>
      <c r="AO356" s="151"/>
      <c r="AP356" s="146">
        <f>AP357</f>
        <v>0</v>
      </c>
      <c r="AQ356" s="146">
        <f t="shared" si="117"/>
        <v>0</v>
      </c>
      <c r="AR356" s="146">
        <f t="shared" si="117"/>
        <v>0</v>
      </c>
      <c r="AS356" s="245"/>
      <c r="AT356" s="245"/>
      <c r="AU356" s="146">
        <f t="shared" si="117"/>
        <v>0</v>
      </c>
      <c r="AV356" s="195"/>
      <c r="AW356" s="195"/>
      <c r="AX356" s="152"/>
      <c r="AY356" s="157" t="s">
        <v>768</v>
      </c>
      <c r="AZ356" s="158"/>
      <c r="BA356" s="158"/>
      <c r="BB356" s="189"/>
      <c r="BC356" s="189"/>
      <c r="BD356" s="189"/>
      <c r="BE356" s="190"/>
      <c r="BF356" s="187">
        <f>BF357</f>
        <v>0</v>
      </c>
      <c r="BG356" s="195"/>
      <c r="BH356" s="195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>
      <c r="A357" s="113"/>
      <c r="B357" s="111"/>
      <c r="C357" s="110"/>
      <c r="D357" s="110" t="s">
        <v>507</v>
      </c>
      <c r="E357" s="110"/>
      <c r="F357" s="80"/>
      <c r="G357" s="80"/>
      <c r="H357" s="80"/>
      <c r="I357" s="112"/>
      <c r="J357" s="80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113"/>
      <c r="Z357" s="113"/>
      <c r="AA357" s="113"/>
      <c r="AB357" s="113"/>
      <c r="AC357" s="113"/>
      <c r="AD357" s="113"/>
      <c r="AE357" s="113"/>
      <c r="AF357" s="113"/>
      <c r="AG357" s="113"/>
      <c r="AH357" s="152"/>
      <c r="AI357" s="157"/>
      <c r="AJ357" s="158" t="s">
        <v>507</v>
      </c>
      <c r="AK357" s="158"/>
      <c r="AL357" s="155"/>
      <c r="AM357" s="150"/>
      <c r="AN357" s="150"/>
      <c r="AO357" s="151"/>
      <c r="AP357" s="146"/>
      <c r="AQ357" s="146"/>
      <c r="AR357" s="146"/>
      <c r="AS357" s="245"/>
      <c r="AT357" s="245"/>
      <c r="AU357" s="146"/>
      <c r="AX357" s="152"/>
      <c r="AY357" s="157"/>
      <c r="AZ357" s="158" t="s">
        <v>507</v>
      </c>
      <c r="BA357" s="158"/>
      <c r="BB357" s="155"/>
      <c r="BC357" s="189"/>
      <c r="BD357" s="189"/>
      <c r="BE357" s="190"/>
      <c r="BF357" s="187">
        <f>+AU357</f>
        <v>0</v>
      </c>
    </row>
    <row r="358" spans="1:75">
      <c r="B358" s="26"/>
      <c r="C358" s="27" t="s">
        <v>769</v>
      </c>
      <c r="D358" s="27"/>
      <c r="E358" s="27"/>
      <c r="F358" s="61"/>
      <c r="G358" s="61"/>
      <c r="H358" s="61"/>
      <c r="I358" s="62"/>
      <c r="J358" s="61"/>
      <c r="K358" s="63" t="e">
        <f t="shared" ref="K358:Q359" si="118">+K359</f>
        <v>#REF!</v>
      </c>
      <c r="L358" s="63" t="e">
        <f t="shared" si="118"/>
        <v>#REF!</v>
      </c>
      <c r="M358" s="63" t="e">
        <f t="shared" si="118"/>
        <v>#REF!</v>
      </c>
      <c r="N358" s="63" t="e">
        <f t="shared" si="118"/>
        <v>#REF!</v>
      </c>
      <c r="O358" s="63" t="e">
        <f t="shared" si="118"/>
        <v>#REF!</v>
      </c>
      <c r="P358" s="63" t="e">
        <f t="shared" si="118"/>
        <v>#REF!</v>
      </c>
      <c r="Q358" s="63" t="e">
        <f t="shared" si="118"/>
        <v>#REF!</v>
      </c>
      <c r="R358" s="63" t="e">
        <f t="shared" si="100"/>
        <v>#REF!</v>
      </c>
      <c r="S358" s="63"/>
      <c r="T358" s="63"/>
      <c r="U358" s="63" t="e">
        <f t="shared" ref="U358:X359" si="119">+U359</f>
        <v>#REF!</v>
      </c>
      <c r="V358" s="63" t="e">
        <f t="shared" si="119"/>
        <v>#REF!</v>
      </c>
      <c r="W358" s="63" t="e">
        <f t="shared" si="119"/>
        <v>#REF!</v>
      </c>
      <c r="X358" s="63" t="e">
        <f t="shared" si="119"/>
        <v>#REF!</v>
      </c>
      <c r="AH358" s="147"/>
      <c r="AI358" s="148" t="s">
        <v>769</v>
      </c>
      <c r="AJ358" s="160"/>
      <c r="AK358" s="160"/>
      <c r="AL358" s="149"/>
      <c r="AM358" s="150"/>
      <c r="AN358" s="150"/>
      <c r="AO358" s="151"/>
      <c r="AP358" s="146">
        <f t="shared" ref="AP358:AU359" si="120">AP359</f>
        <v>0</v>
      </c>
      <c r="AQ358" s="146">
        <f t="shared" si="120"/>
        <v>0</v>
      </c>
      <c r="AR358" s="146">
        <f t="shared" si="120"/>
        <v>0</v>
      </c>
      <c r="AS358" s="245"/>
      <c r="AT358" s="245"/>
      <c r="AU358" s="146">
        <f t="shared" si="120"/>
        <v>0</v>
      </c>
      <c r="AX358" s="147"/>
      <c r="AY358" s="148" t="s">
        <v>769</v>
      </c>
      <c r="AZ358" s="160"/>
      <c r="BA358" s="160"/>
      <c r="BB358" s="149"/>
      <c r="BC358" s="189"/>
      <c r="BD358" s="189"/>
      <c r="BE358" s="190"/>
      <c r="BF358" s="187">
        <f>BF359</f>
        <v>0</v>
      </c>
    </row>
    <row r="359" spans="1:75">
      <c r="B359" s="28" t="s">
        <v>770</v>
      </c>
      <c r="C359" s="29" t="s">
        <v>682</v>
      </c>
      <c r="D359" s="29"/>
      <c r="E359" s="29"/>
      <c r="F359" s="28"/>
      <c r="G359" s="28"/>
      <c r="H359" s="28"/>
      <c r="I359" s="65"/>
      <c r="J359" s="28"/>
      <c r="K359" s="66" t="e">
        <f t="shared" si="118"/>
        <v>#REF!</v>
      </c>
      <c r="L359" s="66" t="e">
        <f t="shared" si="118"/>
        <v>#REF!</v>
      </c>
      <c r="M359" s="66" t="e">
        <f t="shared" si="118"/>
        <v>#REF!</v>
      </c>
      <c r="N359" s="66" t="e">
        <f t="shared" si="118"/>
        <v>#REF!</v>
      </c>
      <c r="O359" s="66" t="e">
        <f t="shared" si="118"/>
        <v>#REF!</v>
      </c>
      <c r="P359" s="66" t="e">
        <f t="shared" si="118"/>
        <v>#REF!</v>
      </c>
      <c r="Q359" s="66" t="e">
        <f t="shared" si="118"/>
        <v>#REF!</v>
      </c>
      <c r="R359" s="66" t="e">
        <f t="shared" si="100"/>
        <v>#REF!</v>
      </c>
      <c r="S359" s="66"/>
      <c r="T359" s="66"/>
      <c r="U359" s="66" t="e">
        <f t="shared" si="119"/>
        <v>#REF!</v>
      </c>
      <c r="V359" s="66" t="e">
        <f t="shared" si="119"/>
        <v>#REF!</v>
      </c>
      <c r="W359" s="66" t="e">
        <f t="shared" si="119"/>
        <v>#REF!</v>
      </c>
      <c r="X359" s="66" t="e">
        <f t="shared" si="119"/>
        <v>#REF!</v>
      </c>
      <c r="AH359" s="147" t="s">
        <v>770</v>
      </c>
      <c r="AI359" s="148" t="s">
        <v>682</v>
      </c>
      <c r="AJ359" s="160"/>
      <c r="AK359" s="160"/>
      <c r="AL359" s="149"/>
      <c r="AM359" s="150"/>
      <c r="AN359" s="150"/>
      <c r="AO359" s="151"/>
      <c r="AP359" s="146">
        <f t="shared" si="120"/>
        <v>0</v>
      </c>
      <c r="AQ359" s="146">
        <f t="shared" si="120"/>
        <v>0</v>
      </c>
      <c r="AR359" s="146">
        <f t="shared" si="120"/>
        <v>0</v>
      </c>
      <c r="AS359" s="245"/>
      <c r="AT359" s="245"/>
      <c r="AU359" s="146">
        <f t="shared" si="120"/>
        <v>0</v>
      </c>
      <c r="AX359" s="147" t="s">
        <v>770</v>
      </c>
      <c r="AY359" s="148" t="s">
        <v>682</v>
      </c>
      <c r="AZ359" s="160"/>
      <c r="BA359" s="160"/>
      <c r="BB359" s="149"/>
      <c r="BC359" s="189"/>
      <c r="BD359" s="189"/>
      <c r="BE359" s="190"/>
      <c r="BF359" s="187">
        <f>BF360</f>
        <v>0</v>
      </c>
    </row>
    <row r="360" spans="1:75">
      <c r="B360" s="31"/>
      <c r="C360" s="30" t="s">
        <v>771</v>
      </c>
      <c r="D360" s="30"/>
      <c r="E360" s="30"/>
      <c r="F360" s="33"/>
      <c r="G360" s="33"/>
      <c r="H360" s="33"/>
      <c r="I360" s="67"/>
      <c r="J360" s="33"/>
      <c r="K360" s="69" t="e">
        <f t="shared" ref="K360:Q360" si="121">SUM(K361:K363)</f>
        <v>#REF!</v>
      </c>
      <c r="L360" s="69" t="e">
        <f t="shared" si="121"/>
        <v>#REF!</v>
      </c>
      <c r="M360" s="69" t="e">
        <f t="shared" si="121"/>
        <v>#REF!</v>
      </c>
      <c r="N360" s="69" t="e">
        <f t="shared" si="121"/>
        <v>#REF!</v>
      </c>
      <c r="O360" s="69" t="e">
        <f t="shared" si="121"/>
        <v>#REF!</v>
      </c>
      <c r="P360" s="69" t="e">
        <f t="shared" si="121"/>
        <v>#REF!</v>
      </c>
      <c r="Q360" s="69" t="e">
        <f t="shared" si="121"/>
        <v>#REF!</v>
      </c>
      <c r="R360" s="69" t="e">
        <f t="shared" si="100"/>
        <v>#REF!</v>
      </c>
      <c r="S360" s="69"/>
      <c r="T360" s="69"/>
      <c r="U360" s="69" t="e">
        <f>SUM(U361:U363)</f>
        <v>#REF!</v>
      </c>
      <c r="V360" s="69" t="e">
        <f>SUM(V361:V363)</f>
        <v>#REF!</v>
      </c>
      <c r="W360" s="69" t="e">
        <f>SUM(W361:W363)</f>
        <v>#REF!</v>
      </c>
      <c r="X360" s="69" t="e">
        <f>SUM(X361:X363)</f>
        <v>#REF!</v>
      </c>
      <c r="AH360" s="152"/>
      <c r="AI360" s="157" t="s">
        <v>771</v>
      </c>
      <c r="AJ360" s="158"/>
      <c r="AK360" s="158"/>
      <c r="AL360" s="155"/>
      <c r="AM360" s="150"/>
      <c r="AN360" s="150"/>
      <c r="AO360" s="151"/>
      <c r="AP360" s="146">
        <f>AP361+AP362+AP363</f>
        <v>0</v>
      </c>
      <c r="AQ360" s="146">
        <f>AQ361+AQ362+AQ363</f>
        <v>0</v>
      </c>
      <c r="AR360" s="146">
        <f>AR361+AR362+AR363</f>
        <v>0</v>
      </c>
      <c r="AS360" s="245"/>
      <c r="AT360" s="245"/>
      <c r="AU360" s="146">
        <f>AU361+AU362+AU363</f>
        <v>0</v>
      </c>
      <c r="AX360" s="152"/>
      <c r="AY360" s="157" t="s">
        <v>771</v>
      </c>
      <c r="AZ360" s="158"/>
      <c r="BA360" s="158"/>
      <c r="BB360" s="155"/>
      <c r="BC360" s="189"/>
      <c r="BD360" s="189"/>
      <c r="BE360" s="190"/>
      <c r="BF360" s="187">
        <f>BF361+BF362+BF363</f>
        <v>0</v>
      </c>
    </row>
    <row r="361" spans="1:75">
      <c r="B361" s="31"/>
      <c r="C361" s="30" t="s">
        <v>765</v>
      </c>
      <c r="D361" s="30" t="s">
        <v>772</v>
      </c>
      <c r="E361" s="30"/>
      <c r="F361" s="33" t="s">
        <v>851</v>
      </c>
      <c r="G361" s="33" t="s">
        <v>852</v>
      </c>
      <c r="H361" s="33"/>
      <c r="I361" s="67">
        <v>1</v>
      </c>
      <c r="J361" s="33"/>
      <c r="K361" s="69" t="e">
        <f>+GETPIVOTDATA("PPEF 2010 ",#REF!,"No. Ramo",15,"IPP","E","PP",2,"UR",211)+GETPIVOTDATA("PPEF 2010 ",#REF!,"No. Ramo",15,"IPP","L","PP",1,"UR",110)</f>
        <v>#REF!</v>
      </c>
      <c r="L361" s="69" t="e">
        <f>+GETPIVOTDATA("Ampliación Neta DIP ",#REF!,"No. Ramo",15,"IPP","E","PP",2,"UR",211)+GETPIVOTDATA("Ampliación Neta DIP ",#REF!,"No. Ramo",15,"IPP","L","PP",1,"UR",110)</f>
        <v>#REF!</v>
      </c>
      <c r="M361" s="69" t="e">
        <f>+GETPIVOTDATA("Recorte SHCP ",#REF!,"No. Ramo",15,"IPP","E","PP",2,"UR",211)+GETPIVOTDATA("Recorte SHCP ",#REF!,"No. Ramo",15,"IPP","L","PP",1,"UR",110)</f>
        <v>#REF!</v>
      </c>
      <c r="N361" s="69" t="e">
        <f>+GETPIVOTDATA("PEF 2010 ",#REF!,"No. Ramo",15,"IPP","E","PP",2,"UR",211)+GETPIVOTDATA("PEF 2010 ",#REF!,"No. Ramo",15,"IPP","L","PP",1,"UR",110)</f>
        <v>#REF!</v>
      </c>
      <c r="O361" s="69" t="e">
        <f>+GETPIVOTDATA("PPEF 2011 ",#REF!,"No. Ramo",15,"IPP","E","PP",2,"UR",211)+GETPIVOTDATA("PPEF 2011 ",#REF!,"No. Ramo",15,"IPP","L","PP",1,"UR",110)</f>
        <v>#REF!</v>
      </c>
      <c r="P361" s="69" t="e">
        <f>+GETPIVOTDATA("Reducción ",#REF!,"No. Ramo",15,"IPP","E","PP",2,"UR",211)+GETPIVOTDATA("Reducción ",#REF!,"No. Ramo",15,"IPP","L","PP",1,"UR",110)</f>
        <v>#REF!</v>
      </c>
      <c r="Q361" s="69" t="e">
        <f>+GETPIVOTDATA("Ampliación ",#REF!,"No. Ramo",15,"IPP","E","PP",2,"UR",211)+GETPIVOTDATA("Ampliación ",#REF!,"No. Ramo",15,"IPP","L","PP",1,"UR",110)</f>
        <v>#REF!</v>
      </c>
      <c r="R361" s="69" t="e">
        <f t="shared" si="100"/>
        <v>#REF!</v>
      </c>
      <c r="S361" s="69"/>
      <c r="T361" s="69"/>
      <c r="U361" s="69" t="e">
        <f t="shared" si="104"/>
        <v>#REF!</v>
      </c>
      <c r="V361" s="69" t="e">
        <f t="shared" si="104"/>
        <v>#REF!</v>
      </c>
      <c r="W361" s="69" t="e">
        <f t="shared" si="104"/>
        <v>#REF!</v>
      </c>
      <c r="X361" s="69" t="e">
        <f t="shared" si="104"/>
        <v>#REF!</v>
      </c>
      <c r="AH361" s="152"/>
      <c r="AI361" s="157" t="s">
        <v>765</v>
      </c>
      <c r="AJ361" s="158" t="s">
        <v>772</v>
      </c>
      <c r="AK361" s="158"/>
      <c r="AL361" s="150"/>
      <c r="AM361" s="150"/>
      <c r="AN361" s="150"/>
      <c r="AO361" s="151"/>
      <c r="AP361" s="146"/>
      <c r="AQ361" s="146"/>
      <c r="AR361" s="146"/>
      <c r="AS361" s="245"/>
      <c r="AT361" s="245"/>
      <c r="AU361" s="146"/>
      <c r="AX361" s="152"/>
      <c r="AY361" s="157" t="s">
        <v>765</v>
      </c>
      <c r="AZ361" s="158" t="s">
        <v>772</v>
      </c>
      <c r="BA361" s="158"/>
      <c r="BB361" s="189"/>
      <c r="BC361" s="189"/>
      <c r="BD361" s="189"/>
      <c r="BE361" s="190"/>
      <c r="BF361" s="187">
        <f>+AU361</f>
        <v>0</v>
      </c>
    </row>
    <row r="362" spans="1:75">
      <c r="B362" s="31"/>
      <c r="C362" s="30" t="s">
        <v>765</v>
      </c>
      <c r="D362" s="30" t="s">
        <v>773</v>
      </c>
      <c r="E362" s="30"/>
      <c r="F362" s="33" t="s">
        <v>853</v>
      </c>
      <c r="G362" s="33"/>
      <c r="H362" s="33"/>
      <c r="I362" s="67">
        <v>1</v>
      </c>
      <c r="J362" s="33"/>
      <c r="K362" s="69" t="e">
        <f>+GETPIVOTDATA("PPEF 2010 ",#REF!,"No. Ramo",15,"IPP","E","PP",5,"UR","B00")+GETPIVOTDATA("PPEF 2010 ",#REF!,"No. Ramo",15,"IPP","E","PP",5,"UR","QEZ")</f>
        <v>#REF!</v>
      </c>
      <c r="L362" s="69" t="e">
        <f>+GETPIVOTDATA("Ampliación Neta DIP ",#REF!,"No. Ramo",15,"IPP","E","PP",5,"UR","B00")+GETPIVOTDATA("Ampliación Neta DIP ",#REF!,"No. Ramo",15,"IPP","E","PP",5,"UR","QEZ")</f>
        <v>#REF!</v>
      </c>
      <c r="M362" s="69" t="e">
        <f>+GETPIVOTDATA("Recorte SHCP ",#REF!,"No. Ramo",15,"IPP","E","PP",5,"UR","B00")+GETPIVOTDATA("Recorte SHCP ",#REF!,"No. Ramo",15,"IPP","E","PP",5,"UR","QEZ")</f>
        <v>#REF!</v>
      </c>
      <c r="N362" s="69" t="e">
        <f>+GETPIVOTDATA("PEF 2010 ",#REF!,"No. Ramo",15,"IPP","E","PP",5,"UR","B00")+GETPIVOTDATA("PEF 2010 ",#REF!,"No. Ramo",15,"IPP","E","PP",5,"UR","QEZ")</f>
        <v>#REF!</v>
      </c>
      <c r="O362" s="69" t="e">
        <f>+GETPIVOTDATA("PPEF 2011 ",#REF!,"No. Ramo",15,"IPP","E","PP",5,"UR","B00")+GETPIVOTDATA("PPEF 2011 ",#REF!,"No. Ramo",15,"IPP","E","PP",5,"UR","QEZ")</f>
        <v>#REF!</v>
      </c>
      <c r="P362" s="69" t="e">
        <f>+GETPIVOTDATA("Reducción ",#REF!,"No. Ramo",15,"IPP","E","PP",5,"UR","B00")+GETPIVOTDATA("Reducción ",#REF!,"No. Ramo",15,"IPP","E","PP",5,"UR","QEZ")</f>
        <v>#REF!</v>
      </c>
      <c r="Q362" s="69" t="e">
        <f>+GETPIVOTDATA("Ampliación ",#REF!,"No. Ramo",15,"IPP","E","PP",5,"UR","B00")+GETPIVOTDATA("Ampliación ",#REF!,"No. Ramo",15,"IPP","E","PP",5,"UR","QEZ")</f>
        <v>#REF!</v>
      </c>
      <c r="R362" s="69" t="e">
        <f t="shared" si="100"/>
        <v>#REF!</v>
      </c>
      <c r="S362" s="69"/>
      <c r="T362" s="69"/>
      <c r="U362" s="69" t="e">
        <f t="shared" si="104"/>
        <v>#REF!</v>
      </c>
      <c r="V362" s="69" t="e">
        <f t="shared" si="104"/>
        <v>#REF!</v>
      </c>
      <c r="W362" s="69" t="e">
        <f t="shared" si="104"/>
        <v>#REF!</v>
      </c>
      <c r="X362" s="69" t="e">
        <f t="shared" si="104"/>
        <v>#REF!</v>
      </c>
      <c r="AH362" s="152"/>
      <c r="AI362" s="157" t="s">
        <v>765</v>
      </c>
      <c r="AJ362" s="158" t="s">
        <v>773</v>
      </c>
      <c r="AK362" s="158"/>
      <c r="AL362" s="150"/>
      <c r="AM362" s="150"/>
      <c r="AN362" s="150"/>
      <c r="AO362" s="151"/>
      <c r="AP362" s="146"/>
      <c r="AQ362" s="146"/>
      <c r="AR362" s="146"/>
      <c r="AS362" s="245"/>
      <c r="AT362" s="245"/>
      <c r="AU362" s="146"/>
      <c r="AX362" s="152"/>
      <c r="AY362" s="157" t="s">
        <v>765</v>
      </c>
      <c r="AZ362" s="158" t="s">
        <v>773</v>
      </c>
      <c r="BA362" s="158"/>
      <c r="BB362" s="189"/>
      <c r="BC362" s="189"/>
      <c r="BD362" s="189"/>
      <c r="BE362" s="190"/>
      <c r="BF362" s="187">
        <f>+AU362</f>
        <v>0</v>
      </c>
    </row>
    <row r="363" spans="1:75">
      <c r="B363" s="31"/>
      <c r="C363" s="30" t="s">
        <v>765</v>
      </c>
      <c r="D363" s="30" t="s">
        <v>774</v>
      </c>
      <c r="E363" s="30"/>
      <c r="F363" s="33" t="s">
        <v>854</v>
      </c>
      <c r="G363" s="33" t="s">
        <v>855</v>
      </c>
      <c r="H363" s="33"/>
      <c r="I363" s="67">
        <v>1</v>
      </c>
      <c r="J363" s="33"/>
      <c r="K363" s="69" t="e">
        <f>+GETPIVOTDATA("PPEF 2010 ",#REF!,"No. Ramo",15,"IPP","G","PP",1,"UR",110)*0.800984782548114+GETPIVOTDATA("PPEF 2010 ",#REF!,"No. Ramo",15,"IPP","E","PP",4,"UR","B00")*0.28899235558068+GETPIVOTDATA("PPEF 2010 ",#REF!,"No. Ramo",15,"IPP","P","PP",2,"UR","B00")+GETPIVOTDATA("PPEF 2010 ",#REF!,"No. Ramo",15,"IPP","P","PP",3,"UR","B00")</f>
        <v>#REF!</v>
      </c>
      <c r="L363" s="69" t="e">
        <f>+GETPIVOTDATA("Ampliación Neta DIP ",#REF!,"No. Ramo",15,"IPP","G","PP",1,"UR",110)*0.800984782548114+GETPIVOTDATA("Ampliación Neta DIP ",#REF!,"No. Ramo",15,"IPP","E","PP",4,"UR","B00")*0.28899235558068+GETPIVOTDATA("Ampliación Neta DIP ",#REF!,"No. Ramo",15,"IPP","P","PP",2,"UR","B00")+GETPIVOTDATA("Ampliación Neta DIP ",#REF!,"No. Ramo",15,"IPP","P","PP",3,"UR","B00")</f>
        <v>#REF!</v>
      </c>
      <c r="M363" s="69" t="e">
        <f>+GETPIVOTDATA("Recorte SHCP ",#REF!,"No. Ramo",15,"IPP","G","PP",1,"UR",110)*0.800984782548114+GETPIVOTDATA("Recorte SHCP ",#REF!,"No. Ramo",15,"IPP","E","PP",4,"UR","B00")*0.28899235558068+GETPIVOTDATA("Recorte SHCP ",#REF!,"No. Ramo",15,"IPP","P","PP",2,"UR","B00")+GETPIVOTDATA("Recorte SHCP ",#REF!,"No. Ramo",15,"IPP","P","PP",3,"UR","B00")</f>
        <v>#REF!</v>
      </c>
      <c r="N363" s="69" t="e">
        <f>+GETPIVOTDATA("PEF 2010 ",#REF!,"No. Ramo",15,"IPP","G","PP",1,"UR",110)*0.800984782548114+GETPIVOTDATA("PEF 2010 ",#REF!,"No. Ramo",15,"IPP","E","PP",4,"UR","B00")*0.28899235558068+GETPIVOTDATA("PEF 2010 ",#REF!,"No. Ramo",15,"IPP","P","PP",2,"UR","B00")+GETPIVOTDATA("PEF 2010 ",#REF!,"No. Ramo",15,"IPP","P","PP",3,"UR","B00")</f>
        <v>#REF!</v>
      </c>
      <c r="O363" s="69" t="e">
        <f>+GETPIVOTDATA("PPEF 2011 ",#REF!,"No. Ramo",15,"IPP","G","PP",1,"UR",110)*0.800984782548114+GETPIVOTDATA("PPEF 2011 ",#REF!,"No. Ramo",15,"IPP","E","PP",4,"UR","B00")*0.28899235558068+GETPIVOTDATA("PPEF 2011 ",#REF!,"No. Ramo",15,"IPP","P","PP",2,"UR","B00")+GETPIVOTDATA("PPEF 2011 ",#REF!,"No. Ramo",15,"IPP","P","PP",3,"UR","B00")</f>
        <v>#REF!</v>
      </c>
      <c r="P363" s="69" t="e">
        <f>+GETPIVOTDATA("Reducción ",#REF!,"No. Ramo",15,"IPP","G","PP",1,"UR",110)*0.800984782548114+GETPIVOTDATA("Reducción ",#REF!,"No. Ramo",15,"IPP","E","PP",4,"UR","B00")*0.28899235558068+GETPIVOTDATA("Reducción ",#REF!,"No. Ramo",15,"IPP","P","PP",2,"UR","B00")+GETPIVOTDATA("Reducción ",#REF!,"No. Ramo",15,"IPP","P","PP",3,"UR","B00")</f>
        <v>#REF!</v>
      </c>
      <c r="Q363" s="69" t="e">
        <f>+GETPIVOTDATA("Ampliación ",#REF!,"No. Ramo",15,"IPP","G","PP",1,"UR",110)*0.800984782548114+GETPIVOTDATA("Ampliación ",#REF!,"No. Ramo",15,"IPP","E","PP",4,"UR","B00")*0.28899235558068+GETPIVOTDATA("Ampliación ",#REF!,"No. Ramo",15,"IPP","P","PP",2,"UR","B00")+GETPIVOTDATA("Ampliación ",#REF!,"No. Ramo",15,"IPP","P","PP",3,"UR","B00")</f>
        <v>#REF!</v>
      </c>
      <c r="R363" s="69" t="e">
        <f t="shared" si="100"/>
        <v>#REF!</v>
      </c>
      <c r="S363" s="69"/>
      <c r="T363" s="69"/>
      <c r="U363" s="69" t="e">
        <f t="shared" si="104"/>
        <v>#REF!</v>
      </c>
      <c r="V363" s="69" t="e">
        <f t="shared" si="104"/>
        <v>#REF!</v>
      </c>
      <c r="W363" s="69" t="e">
        <f t="shared" si="104"/>
        <v>#REF!</v>
      </c>
      <c r="X363" s="69" t="e">
        <f t="shared" si="104"/>
        <v>#REF!</v>
      </c>
      <c r="AH363" s="152"/>
      <c r="AI363" s="157" t="s">
        <v>765</v>
      </c>
      <c r="AJ363" s="158" t="s">
        <v>774</v>
      </c>
      <c r="AK363" s="158"/>
      <c r="AL363" s="150"/>
      <c r="AM363" s="150"/>
      <c r="AN363" s="150"/>
      <c r="AO363" s="151"/>
      <c r="AP363" s="146"/>
      <c r="AQ363" s="146"/>
      <c r="AR363" s="146"/>
      <c r="AS363" s="245"/>
      <c r="AT363" s="245"/>
      <c r="AU363" s="146"/>
      <c r="AX363" s="152"/>
      <c r="AY363" s="157" t="s">
        <v>765</v>
      </c>
      <c r="AZ363" s="158" t="s">
        <v>774</v>
      </c>
      <c r="BA363" s="158"/>
      <c r="BB363" s="189"/>
      <c r="BC363" s="189"/>
      <c r="BD363" s="189"/>
      <c r="BE363" s="190"/>
      <c r="BF363" s="187">
        <f>+AU363</f>
        <v>0</v>
      </c>
    </row>
    <row r="364" spans="1:75">
      <c r="A364" s="122">
        <v>1</v>
      </c>
      <c r="B364" s="26"/>
      <c r="C364" s="27" t="s">
        <v>775</v>
      </c>
      <c r="D364" s="27"/>
      <c r="E364" s="27"/>
      <c r="F364" s="61"/>
      <c r="G364" s="61"/>
      <c r="H364" s="61"/>
      <c r="I364" s="62"/>
      <c r="J364" s="61"/>
      <c r="K364" s="63" t="e">
        <f t="shared" ref="K364:Q364" si="122">+K365+K377+K382</f>
        <v>#REF!</v>
      </c>
      <c r="L364" s="63" t="e">
        <f t="shared" si="122"/>
        <v>#REF!</v>
      </c>
      <c r="M364" s="63" t="e">
        <f t="shared" si="122"/>
        <v>#REF!</v>
      </c>
      <c r="N364" s="63" t="e">
        <f t="shared" si="122"/>
        <v>#REF!</v>
      </c>
      <c r="O364" s="63" t="e">
        <f t="shared" si="122"/>
        <v>#REF!</v>
      </c>
      <c r="P364" s="63" t="e">
        <f t="shared" si="122"/>
        <v>#REF!</v>
      </c>
      <c r="Q364" s="63" t="e">
        <f t="shared" si="122"/>
        <v>#REF!</v>
      </c>
      <c r="R364" s="63" t="e">
        <f t="shared" si="100"/>
        <v>#REF!</v>
      </c>
      <c r="S364" s="63"/>
      <c r="T364" s="63"/>
      <c r="U364" s="63" t="e">
        <f>+U365+U377+U382</f>
        <v>#REF!</v>
      </c>
      <c r="V364" s="63" t="e">
        <f>+V365+V377+V382</f>
        <v>#REF!</v>
      </c>
      <c r="W364" s="63" t="e">
        <f>+W365+W377+W382</f>
        <v>#REF!</v>
      </c>
      <c r="X364" s="63" t="e">
        <f>+X365+X377+X382</f>
        <v>#REF!</v>
      </c>
      <c r="AH364" s="147"/>
      <c r="AI364" s="148" t="s">
        <v>775</v>
      </c>
      <c r="AJ364" s="160"/>
      <c r="AK364" s="160"/>
      <c r="AL364" s="149"/>
      <c r="AM364" s="150"/>
      <c r="AN364" s="150"/>
      <c r="AO364" s="151"/>
      <c r="AP364" s="146">
        <f>AP365+AP377+AP382</f>
        <v>0</v>
      </c>
      <c r="AQ364" s="146">
        <f>AQ365+AQ377+AQ382</f>
        <v>0</v>
      </c>
      <c r="AR364" s="146">
        <f>AR365+AR377+AR382</f>
        <v>0</v>
      </c>
      <c r="AS364" s="245"/>
      <c r="AT364" s="245"/>
      <c r="AU364" s="146">
        <f>AU365+AU377+AU382</f>
        <v>0</v>
      </c>
      <c r="AX364" s="147"/>
      <c r="AY364" s="148" t="s">
        <v>775</v>
      </c>
      <c r="AZ364" s="160"/>
      <c r="BA364" s="160"/>
      <c r="BB364" s="149"/>
      <c r="BC364" s="189"/>
      <c r="BD364" s="189"/>
      <c r="BE364" s="190"/>
      <c r="BF364" s="187">
        <f>BF365+BF377+BF382</f>
        <v>0</v>
      </c>
    </row>
    <row r="365" spans="1:75">
      <c r="A365" s="122">
        <v>1</v>
      </c>
      <c r="B365" s="28" t="s">
        <v>776</v>
      </c>
      <c r="C365" s="29" t="s">
        <v>660</v>
      </c>
      <c r="D365" s="29"/>
      <c r="E365" s="29"/>
      <c r="F365" s="28"/>
      <c r="G365" s="28"/>
      <c r="H365" s="28"/>
      <c r="I365" s="65"/>
      <c r="J365" s="28"/>
      <c r="K365" s="64" t="e">
        <f t="shared" ref="K365:Q365" si="123">+SUM(K366:K369)+SUM(K370:K374)+SUM(K375:K376)</f>
        <v>#REF!</v>
      </c>
      <c r="L365" s="64" t="e">
        <f t="shared" si="123"/>
        <v>#REF!</v>
      </c>
      <c r="M365" s="64" t="e">
        <f t="shared" si="123"/>
        <v>#REF!</v>
      </c>
      <c r="N365" s="64" t="e">
        <f t="shared" si="123"/>
        <v>#REF!</v>
      </c>
      <c r="O365" s="64" t="e">
        <f t="shared" si="123"/>
        <v>#REF!</v>
      </c>
      <c r="P365" s="64" t="e">
        <f t="shared" si="123"/>
        <v>#REF!</v>
      </c>
      <c r="Q365" s="64" t="e">
        <f t="shared" si="123"/>
        <v>#REF!</v>
      </c>
      <c r="R365" s="66" t="e">
        <f t="shared" si="100"/>
        <v>#REF!</v>
      </c>
      <c r="S365" s="66"/>
      <c r="T365" s="66"/>
      <c r="U365" s="64" t="e">
        <f>+SUM(U366:U369)+SUM(U370:U374)+SUM(U375:U376)</f>
        <v>#REF!</v>
      </c>
      <c r="V365" s="64" t="e">
        <f>+SUM(V366:V369)+SUM(V370:V374)+SUM(V375:V376)</f>
        <v>#REF!</v>
      </c>
      <c r="W365" s="64" t="e">
        <f>+SUM(W366:W369)+SUM(W370:W374)+SUM(W375:W376)</f>
        <v>#REF!</v>
      </c>
      <c r="X365" s="64" t="e">
        <f>+SUM(X366:X369)+SUM(X370:X374)+SUM(X375:X376)</f>
        <v>#REF!</v>
      </c>
      <c r="AH365" s="147" t="s">
        <v>776</v>
      </c>
      <c r="AI365" s="148" t="s">
        <v>660</v>
      </c>
      <c r="AJ365" s="160"/>
      <c r="AK365" s="160"/>
      <c r="AL365" s="149"/>
      <c r="AM365" s="150"/>
      <c r="AN365" s="150"/>
      <c r="AO365" s="151"/>
      <c r="AP365" s="146">
        <f>SUM(AP366:AP376)</f>
        <v>0</v>
      </c>
      <c r="AQ365" s="146">
        <f>SUM(AQ366:AQ376)</f>
        <v>0</v>
      </c>
      <c r="AR365" s="146">
        <f>SUM(AR366:AR376)</f>
        <v>0</v>
      </c>
      <c r="AS365" s="245"/>
      <c r="AT365" s="245"/>
      <c r="AU365" s="146">
        <f>SUM(AU366:AU376)</f>
        <v>0</v>
      </c>
      <c r="AX365" s="147" t="s">
        <v>776</v>
      </c>
      <c r="AY365" s="148" t="s">
        <v>660</v>
      </c>
      <c r="AZ365" s="160"/>
      <c r="BA365" s="160"/>
      <c r="BB365" s="149"/>
      <c r="BC365" s="189"/>
      <c r="BD365" s="189"/>
      <c r="BE365" s="190"/>
      <c r="BF365" s="187">
        <f>SUM(BF366:BF376)</f>
        <v>0</v>
      </c>
    </row>
    <row r="366" spans="1:75">
      <c r="A366" s="122">
        <v>1</v>
      </c>
      <c r="B366" s="31"/>
      <c r="C366" s="30" t="s">
        <v>777</v>
      </c>
      <c r="D366" s="30"/>
      <c r="E366" s="30"/>
      <c r="F366" s="33" t="s">
        <v>809</v>
      </c>
      <c r="G366" s="33" t="s">
        <v>809</v>
      </c>
      <c r="H366" s="33"/>
      <c r="I366" s="67">
        <v>1</v>
      </c>
      <c r="J366" s="33"/>
      <c r="K366" s="1" t="e">
        <f>+GETPIVOTDATA("PPEF 2010 ",#REF!,"No. Ramo",8,"IPP","F","PP",1,"UR",111)+GETPIVOTDATA("PPEF 2010 ",#REF!,"No. Ramo",8,"IPP","G","PP",1)-GETPIVOTDATA("PPEF 2010 ",#REF!,"No. Ramo",8,"IPP","G","PP",1,"UR","B00")-GETPIVOTDATA("PPEF 2010 ",#REF!,"No. Ramo",8,"IPP","G","PP",1,"UR","I00")+GETPIVOTDATA("PPEF 2010 ",#REF!,"No. Ramo",8,"IPP","L","PP",1)-GETPIVOTDATA("PPEF 2010 ",#REF!,"No. Ramo",8,"IPP","L","PP",1,"UR","B00")-GETPIVOTDATA("PPEF 2010 ",#REF!,"No. Ramo",8,"IPP","L","PP",1,"UR","D00")+GETPIVOTDATA("PPEF 2010 ",#REF!,"No. Ramo",8,"IPP","M","PP",1,"UR",500)+GETPIVOTDATA("PPEF 2010 ",#REF!,"No. Ramo",8,"IPP","M","PP",1,"UR",510)+GETPIVOTDATA("PPEF 2010 ",#REF!,"No. Ramo",8,"IPP","M","PP",1,"UR",511)+GETPIVOTDATA("PPEF 2010 ",#REF!,"No. Ramo",8,"IPP","M","PP",1,"UR",512)+GETPIVOTDATA("PPEF 2010 ",#REF!,"No. Ramo",8,"IPP","M","PP",1,"UR",513)+GETPIVOTDATA("PPEF 2010 ",#REF!,"No. Ramo",8,"IPP","O","PP",1)-GETPIVOTDATA("PPEF 2010 ",#REF!,"No. Ramo",8,"IPP","O","PP",1,"UR","A1I")-GETPIVOTDATA("PPEF 2010 ",#REF!,"No. Ramo",8,"IPP","O","PP",1,"UR","B00")-GETPIVOTDATA("PPEF 2010 ",#REF!,"No. Ramo",8,"IPP","O","PP",1,"UR","F00")-GETPIVOTDATA("PPEF 2010 ",#REF!,"No. Ramo",8,"IPP","O","PP",1,"UR","I00")-GETPIVOTDATA("PPEF 2010 ",#REF!,"No. Ramo",8,"IPP","O","PP",1,"UR","I6L")-GETPIVOTDATA("PPEF 2010 ",#REF!,"No. Ramo",8,"IPP","O","PP",1,"UR","I9H")-GETPIVOTDATA("PPEF 2010 ",#REF!,"No. Ramo",8,"IPP","O","PP",1,"UR","IZC")-GETPIVOTDATA("PPEF 2010 ",#REF!,"No. Ramo",8,"IPP","O","PP",1,"UR","IZI")-GETPIVOTDATA("PPEF 2010 ",#REF!,"No. Ramo",8,"IPP","O","PP",1,"UR","JAG")+GETPIVOTDATA("PPEF 2010 ",#REF!,"No. Ramo",8,"IPP","O","PP",99,"UR",511)+GETPIVOTDATA("PPEF 2010 ",#REF!,"No. Ramo",8,"IPP","P","PP",1)-GETPIVOTDATA("PPEF 2010 ",#REF!,"No. Ramo",8,"IPP","P","PP",1,"UR","A1I")-GETPIVOTDATA("PPEF 2010 ",#REF!,"No. Ramo",8,"IPP","P","PP",1,"UR","AFU")-GETPIVOTDATA("PPEF 2010 ",#REF!,"No. Ramo",8,"IPP","P","PP",1,"UR","B00")-GETPIVOTDATA("PPEF 2010 ",#REF!,"No. Ramo",8,"IPP","P","PP",1,"UR","C00")-GETPIVOTDATA("PPEF 2010 ",#REF!,"No. Ramo",8,"IPP","P","PP",1,"UR","F00")-GETPIVOTDATA("PPEF 2010 ",#REF!,"No. Ramo",8,"IPP","P","PP",1,"UR","G00")-GETPIVOTDATA("PPEF 2010 ",#REF!,"No. Ramo",8,"IPP","P","PP",1,"UR","I6L")-GETPIVOTDATA("PPEF 2010 ",#REF!,"No. Ramo",8,"IPP","P","PP",1,"UR","I6U")-GETPIVOTDATA("PPEF 2010 ",#REF!,"No. Ramo",8,"IPP","P","PP",1,"UR","I9H")-GETPIVOTDATA("PPEF 2010 ",#REF!,"No. Ramo",8,"IPP","P","PP",1,"UR","IZI")+GETPIVOTDATA("PPEF 2010 ",#REF!,"No. Ramo",8,"IPP","R","PP",3,"UR",300)+GETPIVOTDATA("PPEF 2010 ",#REF!,"No. Ramo",8,"IPP","U","PP",3,"UR",116)+GETPIVOTDATA("PPEF 2010 ",#REF!,"No. Ramo",8,"IPP","U","PP",4)+GETPIVOTDATA("PPEF 2010 ",#REF!,"No. Ramo",8,"IPP","U","PP",9,"UR",116)+GETPIVOTDATA("PPEF 2010 ",#REF!,"No. Ramo",8,"IPP","U","PP",10,"UR",116)+GETPIVOTDATA("PPEF 2010 ",#REF!,"No. Ramo",8,"IPP","U","PP",11,"UR",116)</f>
        <v>#REF!</v>
      </c>
      <c r="L366" s="1" t="e">
        <f>+GETPIVOTDATA("Ampliación Neta DIP ",#REF!,"No. Ramo",8,"IPP","F","PP",1,"UR",111)+GETPIVOTDATA("Ampliación Neta DIP ",#REF!,"No. Ramo",8,"IPP","G","PP",1)-GETPIVOTDATA("Ampliación Neta DIP ",#REF!,"No. Ramo",8,"IPP","G","PP",1,"UR","B00")-GETPIVOTDATA("Ampliación Neta DIP ",#REF!,"No. Ramo",8,"IPP","G","PP",1,"UR","I00")+GETPIVOTDATA("Ampliación Neta DIP ",#REF!,"No. Ramo",8,"IPP","L","PP",1)-GETPIVOTDATA("Ampliación Neta DIP ",#REF!,"No. Ramo",8,"IPP","L","PP",1,"UR","B00")-GETPIVOTDATA("Ampliación Neta DIP ",#REF!,"No. Ramo",8,"IPP","L","PP",1,"UR","D00")+GETPIVOTDATA("Ampliación Neta DIP ",#REF!,"No. Ramo",8,"IPP","M","PP",1,"UR",500)+GETPIVOTDATA("Ampliación Neta DIP ",#REF!,"No. Ramo",8,"IPP","M","PP",1,"UR",510)+GETPIVOTDATA("Ampliación Neta DIP ",#REF!,"No. Ramo",8,"IPP","M","PP",1,"UR",511)+GETPIVOTDATA("Ampliación Neta DIP ",#REF!,"No. Ramo",8,"IPP","M","PP",1,"UR",512)+GETPIVOTDATA("Ampliación Neta DIP ",#REF!,"No. Ramo",8,"IPP","M","PP",1,"UR",513)+GETPIVOTDATA("Ampliación Neta DIP ",#REF!,"No. Ramo",8,"IPP","O","PP",1)-GETPIVOTDATA("Ampliación Neta DIP ",#REF!,"No. Ramo",8,"IPP","O","PP",1,"UR","A1I")-GETPIVOTDATA("Ampliación Neta DIP ",#REF!,"No. Ramo",8,"IPP","O","PP",1,"UR","B00")-GETPIVOTDATA("Ampliación Neta DIP ",#REF!,"No. Ramo",8,"IPP","O","PP",1,"UR","F00")-GETPIVOTDATA("Ampliación Neta DIP ",#REF!,"No. Ramo",8,"IPP","O","PP",1,"UR","I00")-GETPIVOTDATA("Ampliación Neta DIP ",#REF!,"No. Ramo",8,"IPP","O","PP",1,"UR","I6L")-GETPIVOTDATA("Ampliación Neta DIP ",#REF!,"No. Ramo",8,"IPP","O","PP",1,"UR","I9H")-GETPIVOTDATA("Ampliación Neta DIP ",#REF!,"No. Ramo",8,"IPP","O","PP",1,"UR","IZC")-GETPIVOTDATA("Ampliación Neta DIP ",#REF!,"No. Ramo",8,"IPP","O","PP",1,"UR","IZI")-GETPIVOTDATA("Ampliación Neta DIP ",#REF!,"No. Ramo",8,"IPP","O","PP",1,"UR","JAG")+GETPIVOTDATA("Ampliación Neta DIP ",#REF!,"No. Ramo",8,"IPP","O","PP",99,"UR",511)+GETPIVOTDATA("Ampliación Neta DIP ",#REF!,"No. Ramo",8,"IPP","P","PP",1)-GETPIVOTDATA("Ampliación Neta DIP ",#REF!,"No. Ramo",8,"IPP","P","PP",1,"UR","A1I")-GETPIVOTDATA("Ampliación Neta DIP ",#REF!,"No. Ramo",8,"IPP","P","PP",1,"UR","AFU")-GETPIVOTDATA("Ampliación Neta DIP ",#REF!,"No. Ramo",8,"IPP","P","PP",1,"UR","B00")-GETPIVOTDATA("Ampliación Neta DIP ",#REF!,"No. Ramo",8,"IPP","P","PP",1,"UR","C00")-GETPIVOTDATA("Ampliación Neta DIP ",#REF!,"No. Ramo",8,"IPP","P","PP",1,"UR","F00")-GETPIVOTDATA("Ampliación Neta DIP ",#REF!,"No. Ramo",8,"IPP","P","PP",1,"UR","G00")-GETPIVOTDATA("Ampliación Neta DIP ",#REF!,"No. Ramo",8,"IPP","P","PP",1,"UR","I6L")-GETPIVOTDATA("Ampliación Neta DIP ",#REF!,"No. Ramo",8,"IPP","P","PP",1,"UR","I6U")-GETPIVOTDATA("Ampliación Neta DIP ",#REF!,"No. Ramo",8,"IPP","P","PP",1,"UR","I9H")-GETPIVOTDATA("Ampliación Neta DIP ",#REF!,"No. Ramo",8,"IPP","P","PP",1,"UR","IZI")+GETPIVOTDATA("Ampliación Neta DIP ",#REF!,"No. Ramo",8,"IPP","R","PP",3,"UR",300)+GETPIVOTDATA("Ampliación Neta DIP ",#REF!,"No. Ramo",8,"IPP","U","PP",3,"UR",116)+GETPIVOTDATA("Ampliación Neta DIP ",#REF!,"No. Ramo",8,"IPP","U","PP",4)+GETPIVOTDATA("Ampliación Neta DIP ",#REF!,"No. Ramo",8,"IPP","U","PP",9,"UR",116)+GETPIVOTDATA("Ampliación Neta DIP ",#REF!,"No. Ramo",8,"IPP","U","PP",10,"UR",116)+GETPIVOTDATA("Ampliación Neta DIP ",#REF!,"No. Ramo",8,"IPP","U","PP",11,"UR",116)</f>
        <v>#REF!</v>
      </c>
      <c r="M366" s="1" t="e">
        <f>+GETPIVOTDATA("Recorte SHCP ",#REF!,"No. Ramo",8,"IPP","F","PP",1,"UR",111)+GETPIVOTDATA("Recorte SHCP ",#REF!,"No. Ramo",8,"IPP","G","PP",1)-GETPIVOTDATA("Recorte SHCP ",#REF!,"No. Ramo",8,"IPP","G","PP",1,"UR","B00")-GETPIVOTDATA("Recorte SHCP ",#REF!,"No. Ramo",8,"IPP","G","PP",1,"UR","I00")+GETPIVOTDATA("Recorte SHCP ",#REF!,"No. Ramo",8,"IPP","L","PP",1)-GETPIVOTDATA("Recorte SHCP ",#REF!,"No. Ramo",8,"IPP","L","PP",1,"UR","B00")-GETPIVOTDATA("Recorte SHCP ",#REF!,"No. Ramo",8,"IPP","L","PP",1,"UR","D00")+GETPIVOTDATA("Recorte SHCP ",#REF!,"No. Ramo",8,"IPP","M","PP",1,"UR",500)+GETPIVOTDATA("Recorte SHCP ",#REF!,"No. Ramo",8,"IPP","M","PP",1,"UR",510)+GETPIVOTDATA("Recorte SHCP ",#REF!,"No. Ramo",8,"IPP","M","PP",1,"UR",511)+GETPIVOTDATA("Recorte SHCP ",#REF!,"No. Ramo",8,"IPP","M","PP",1,"UR",512)+GETPIVOTDATA("Recorte SHCP ",#REF!,"No. Ramo",8,"IPP","M","PP",1,"UR",513)+GETPIVOTDATA("Recorte SHCP ",#REF!,"No. Ramo",8,"IPP","O","PP",1)-GETPIVOTDATA("Recorte SHCP ",#REF!,"No. Ramo",8,"IPP","O","PP",1,"UR","A1I")-GETPIVOTDATA("Recorte SHCP ",#REF!,"No. Ramo",8,"IPP","O","PP",1,"UR","B00")-GETPIVOTDATA("Recorte SHCP ",#REF!,"No. Ramo",8,"IPP","O","PP",1,"UR","F00")-GETPIVOTDATA("Recorte SHCP ",#REF!,"No. Ramo",8,"IPP","O","PP",1,"UR","I00")-GETPIVOTDATA("Recorte SHCP ",#REF!,"No. Ramo",8,"IPP","O","PP",1,"UR","I6L")-GETPIVOTDATA("Recorte SHCP ",#REF!,"No. Ramo",8,"IPP","O","PP",1,"UR","I9H")-GETPIVOTDATA("Recorte SHCP ",#REF!,"No. Ramo",8,"IPP","O","PP",1,"UR","IZC")-GETPIVOTDATA("Recorte SHCP ",#REF!,"No. Ramo",8,"IPP","O","PP",1,"UR","IZI")-GETPIVOTDATA("Recorte SHCP ",#REF!,"No. Ramo",8,"IPP","O","PP",1,"UR","JAG")+GETPIVOTDATA("Recorte SHCP ",#REF!,"No. Ramo",8,"IPP","O","PP",99,"UR",511)+GETPIVOTDATA("Recorte SHCP ",#REF!,"No. Ramo",8,"IPP","P","PP",1)-GETPIVOTDATA("Recorte SHCP ",#REF!,"No. Ramo",8,"IPP","P","PP",1,"UR","A1I")-GETPIVOTDATA("Recorte SHCP ",#REF!,"No. Ramo",8,"IPP","P","PP",1,"UR","AFU")-GETPIVOTDATA("Recorte SHCP ",#REF!,"No. Ramo",8,"IPP","P","PP",1,"UR","B00")-GETPIVOTDATA("Recorte SHCP ",#REF!,"No. Ramo",8,"IPP","P","PP",1,"UR","C00")-GETPIVOTDATA("Recorte SHCP ",#REF!,"No. Ramo",8,"IPP","P","PP",1,"UR","F00")-GETPIVOTDATA("Recorte SHCP ",#REF!,"No. Ramo",8,"IPP","P","PP",1,"UR","G00")-GETPIVOTDATA("Recorte SHCP ",#REF!,"No. Ramo",8,"IPP","P","PP",1,"UR","I6L")-GETPIVOTDATA("Recorte SHCP ",#REF!,"No. Ramo",8,"IPP","P","PP",1,"UR","I6U")-GETPIVOTDATA("Recorte SHCP ",#REF!,"No. Ramo",8,"IPP","P","PP",1,"UR","I9H")-GETPIVOTDATA("Recorte SHCP ",#REF!,"No. Ramo",8,"IPP","P","PP",1,"UR","IZI")+GETPIVOTDATA("Recorte SHCP ",#REF!,"No. Ramo",8,"IPP","R","PP",3,"UR",300)+GETPIVOTDATA("Recorte SHCP ",#REF!,"No. Ramo",8,"IPP","U","PP",3,"UR",116)+GETPIVOTDATA("Recorte SHCP ",#REF!,"No. Ramo",8,"IPP","U","PP",4)+GETPIVOTDATA("Recorte SHCP ",#REF!,"No. Ramo",8,"IPP","U","PP",9,"UR",116)+GETPIVOTDATA("Recorte SHCP ",#REF!,"No. Ramo",8,"IPP","U","PP",10,"UR",116)+GETPIVOTDATA("Recorte SHCP ",#REF!,"No. Ramo",8,"IPP","U","PP",11,"UR",116)</f>
        <v>#REF!</v>
      </c>
      <c r="N366" s="1" t="e">
        <f>+GETPIVOTDATA("PEF 2010 ",#REF!,"No. Ramo",8,"IPP","F","PP",1,"UR",111)+GETPIVOTDATA("PEF 2010 ",#REF!,"No. Ramo",8,"IPP","G","PP",1)-GETPIVOTDATA("PEF 2010 ",#REF!,"No. Ramo",8,"IPP","G","PP",1,"UR","B00")-GETPIVOTDATA("PEF 2010 ",#REF!,"No. Ramo",8,"IPP","G","PP",1,"UR","I00")+GETPIVOTDATA("PEF 2010 ",#REF!,"No. Ramo",8,"IPP","L","PP",1)-GETPIVOTDATA("PEF 2010 ",#REF!,"No. Ramo",8,"IPP","L","PP",1,"UR","B00")-GETPIVOTDATA("PEF 2010 ",#REF!,"No. Ramo",8,"IPP","L","PP",1,"UR","D00")+GETPIVOTDATA("PEF 2010 ",#REF!,"No. Ramo",8,"IPP","M","PP",1,"UR",500)+GETPIVOTDATA("PEF 2010 ",#REF!,"No. Ramo",8,"IPP","M","PP",1,"UR",510)+GETPIVOTDATA("PEF 2010 ",#REF!,"No. Ramo",8,"IPP","M","PP",1,"UR",511)+GETPIVOTDATA("PEF 2010 ",#REF!,"No. Ramo",8,"IPP","M","PP",1,"UR",512)+GETPIVOTDATA("PEF 2010 ",#REF!,"No. Ramo",8,"IPP","M","PP",1,"UR",513)+GETPIVOTDATA("PEF 2010 ",#REF!,"No. Ramo",8,"IPP","O","PP",1)-GETPIVOTDATA("PEF 2010 ",#REF!,"No. Ramo",8,"IPP","O","PP",1,"UR","A1I")-GETPIVOTDATA("PEF 2010 ",#REF!,"No. Ramo",8,"IPP","O","PP",1,"UR","B00")-GETPIVOTDATA("PEF 2010 ",#REF!,"No. Ramo",8,"IPP","O","PP",1,"UR","F00")-GETPIVOTDATA("PEF 2010 ",#REF!,"No. Ramo",8,"IPP","O","PP",1,"UR","I00")-GETPIVOTDATA("PEF 2010 ",#REF!,"No. Ramo",8,"IPP","O","PP",1,"UR","I6L")-GETPIVOTDATA("PEF 2010 ",#REF!,"No. Ramo",8,"IPP","O","PP",1,"UR","I9H")-GETPIVOTDATA("PEF 2010 ",#REF!,"No. Ramo",8,"IPP","O","PP",1,"UR","IZC")-GETPIVOTDATA("PEF 2010 ",#REF!,"No. Ramo",8,"IPP","O","PP",1,"UR","IZI")-GETPIVOTDATA("PEF 2010 ",#REF!,"No. Ramo",8,"IPP","O","PP",1,"UR","JAG")+GETPIVOTDATA("PEF 2010 ",#REF!,"No. Ramo",8,"IPP","O","PP",99,"UR",511)+GETPIVOTDATA("PEF 2010 ",#REF!,"No. Ramo",8,"IPP","P","PP",1)-GETPIVOTDATA("PEF 2010 ",#REF!,"No. Ramo",8,"IPP","P","PP",1,"UR","A1I")-GETPIVOTDATA("PEF 2010 ",#REF!,"No. Ramo",8,"IPP","P","PP",1,"UR","AFU")-GETPIVOTDATA("PEF 2010 ",#REF!,"No. Ramo",8,"IPP","P","PP",1,"UR","B00")-GETPIVOTDATA("PEF 2010 ",#REF!,"No. Ramo",8,"IPP","P","PP",1,"UR","C00")-GETPIVOTDATA("PEF 2010 ",#REF!,"No. Ramo",8,"IPP","P","PP",1,"UR","F00")-GETPIVOTDATA("PEF 2010 ",#REF!,"No. Ramo",8,"IPP","P","PP",1,"UR","G00")-GETPIVOTDATA("PEF 2010 ",#REF!,"No. Ramo",8,"IPP","P","PP",1,"UR","I6L")-GETPIVOTDATA("PEF 2010 ",#REF!,"No. Ramo",8,"IPP","P","PP",1,"UR","I6U")-GETPIVOTDATA("PEF 2010 ",#REF!,"No. Ramo",8,"IPP","P","PP",1,"UR","I9H")-GETPIVOTDATA("PEF 2010 ",#REF!,"No. Ramo",8,"IPP","P","PP",1,"UR","IZI")+GETPIVOTDATA("PEF 2010 ",#REF!,"No. Ramo",8,"IPP","R","PP",3,"UR",300)+GETPIVOTDATA("PEF 2010 ",#REF!,"No. Ramo",8,"IPP","U","PP",3,"UR",116)+GETPIVOTDATA("PEF 2010 ",#REF!,"No. Ramo",8,"IPP","U","PP",4)+GETPIVOTDATA("PEF 2010 ",#REF!,"No. Ramo",8,"IPP","U","PP",9,"UR",116)+GETPIVOTDATA("PEF 2010 ",#REF!,"No. Ramo",8,"IPP","U","PP",10,"UR",116)+GETPIVOTDATA("PEF 2010 ",#REF!,"No. Ramo",8,"IPP","U","PP",11,"UR",116)</f>
        <v>#REF!</v>
      </c>
      <c r="O366" s="1" t="e">
        <f>+GETPIVOTDATA("PPEF 2011 ",#REF!,"No. Ramo",8,"IPP","F","PP",1,"UR",111)+GETPIVOTDATA("PPEF 2011 ",#REF!,"No. Ramo",8,"IPP","G","PP",1)-GETPIVOTDATA("PPEF 2011 ",#REF!,"No. Ramo",8,"IPP","G","PP",1,"UR","B00")-GETPIVOTDATA("PPEF 2011 ",#REF!,"No. Ramo",8,"IPP","G","PP",1,"UR","I00")+GETPIVOTDATA("PPEF 2011 ",#REF!,"No. Ramo",8,"IPP","L","PP",1)-GETPIVOTDATA("PPEF 2011 ",#REF!,"No. Ramo",8,"IPP","L","PP",1,"UR","B00")-GETPIVOTDATA("PPEF 2011 ",#REF!,"No. Ramo",8,"IPP","L","PP",1,"UR","D00")+GETPIVOTDATA("PPEF 2011 ",#REF!,"No. Ramo",8,"IPP","M","PP",1,"UR",500)+GETPIVOTDATA("PPEF 2011 ",#REF!,"No. Ramo",8,"IPP","M","PP",1,"UR",510)+GETPIVOTDATA("PPEF 2011 ",#REF!,"No. Ramo",8,"IPP","M","PP",1,"UR",511)+GETPIVOTDATA("PPEF 2011 ",#REF!,"No. Ramo",8,"IPP","M","PP",1,"UR",512)+GETPIVOTDATA("PPEF 2011 ",#REF!,"No. Ramo",8,"IPP","M","PP",1,"UR",513)+GETPIVOTDATA("PPEF 2011 ",#REF!,"No. Ramo",8,"IPP","O","PP",1)-GETPIVOTDATA("PPEF 2011 ",#REF!,"No. Ramo",8,"IPP","O","PP",1,"UR","A1I")-GETPIVOTDATA("PPEF 2011 ",#REF!,"No. Ramo",8,"IPP","O","PP",1,"UR","B00")-GETPIVOTDATA("PPEF 2011 ",#REF!,"No. Ramo",8,"IPP","O","PP",1,"UR","F00")-GETPIVOTDATA("PPEF 2011 ",#REF!,"No. Ramo",8,"IPP","O","PP",1,"UR","I00")-GETPIVOTDATA("PPEF 2011 ",#REF!,"No. Ramo",8,"IPP","O","PP",1,"UR","I6L")-GETPIVOTDATA("PPEF 2011 ",#REF!,"No. Ramo",8,"IPP","O","PP",1,"UR","I9H")-GETPIVOTDATA("PPEF 2011 ",#REF!,"No. Ramo",8,"IPP","O","PP",1,"UR","IZC")-GETPIVOTDATA("PPEF 2011 ",#REF!,"No. Ramo",8,"IPP","O","PP",1,"UR","IZI")-GETPIVOTDATA("PPEF 2011 ",#REF!,"No. Ramo",8,"IPP","O","PP",1,"UR","JAG")+GETPIVOTDATA("PPEF 2011 ",#REF!,"No. Ramo",8,"IPP","O","PP",99,"UR",511)+GETPIVOTDATA("PPEF 2011 ",#REF!,"No. Ramo",8,"IPP","P","PP",1)-GETPIVOTDATA("PPEF 2011 ",#REF!,"No. Ramo",8,"IPP","P","PP",1,"UR","A1I")-GETPIVOTDATA("PPEF 2011 ",#REF!,"No. Ramo",8,"IPP","P","PP",1,"UR","AFU")-GETPIVOTDATA("PPEF 2011 ",#REF!,"No. Ramo",8,"IPP","P","PP",1,"UR","B00")-GETPIVOTDATA("PPEF 2011 ",#REF!,"No. Ramo",8,"IPP","P","PP",1,"UR","C00")-GETPIVOTDATA("PPEF 2011 ",#REF!,"No. Ramo",8,"IPP","P","PP",1,"UR","F00")-GETPIVOTDATA("PPEF 2011 ",#REF!,"No. Ramo",8,"IPP","P","PP",1,"UR","G00")-GETPIVOTDATA("PPEF 2011 ",#REF!,"No. Ramo",8,"IPP","P","PP",1,"UR","I6L")-GETPIVOTDATA("PPEF 2011 ",#REF!,"No. Ramo",8,"IPP","P","PP",1,"UR","I6U")-GETPIVOTDATA("PPEF 2011 ",#REF!,"No. Ramo",8,"IPP","P","PP",1,"UR","I9H")-GETPIVOTDATA("PPEF 2011 ",#REF!,"No. Ramo",8,"IPP","P","PP",1,"UR","IZI")+GETPIVOTDATA("PPEF 2011 ",#REF!,"No. Ramo",8,"IPP","R","PP",3,"UR",300)+GETPIVOTDATA("PPEF 2011 ",#REF!,"No. Ramo",8,"IPP","U","PP",3,"UR",116)+GETPIVOTDATA("PPEF 2011 ",#REF!,"No. Ramo",8,"IPP","U","PP",4)+GETPIVOTDATA("PPEF 2011 ",#REF!,"No. Ramo",8,"IPP","U","PP",9,"UR",116)+GETPIVOTDATA("PPEF 2011 ",#REF!,"No. Ramo",8,"IPP","U","PP",10,"UR",116)+GETPIVOTDATA("PPEF 2011 ",#REF!,"No. Ramo",8,"IPP","U","PP",11,"UR",116)</f>
        <v>#REF!</v>
      </c>
      <c r="P366" s="1" t="e">
        <f>+GETPIVOTDATA("Reducción ",#REF!,"No. Ramo",8,"IPP","F","PP",1,"UR",111)+GETPIVOTDATA("Reducción ",#REF!,"No. Ramo",8,"IPP","G","PP",1)-GETPIVOTDATA("Reducción ",#REF!,"No. Ramo",8,"IPP","G","PP",1,"UR","B00")-GETPIVOTDATA("Reducción ",#REF!,"No. Ramo",8,"IPP","G","PP",1,"UR","I00")+GETPIVOTDATA("Reducción ",#REF!,"No. Ramo",8,"IPP","L","PP",1)-GETPIVOTDATA("Reducción ",#REF!,"No. Ramo",8,"IPP","L","PP",1,"UR","B00")-GETPIVOTDATA("Reducción ",#REF!,"No. Ramo",8,"IPP","L","PP",1,"UR","D00")+GETPIVOTDATA("Reducción ",#REF!,"No. Ramo",8,"IPP","M","PP",1,"UR",500)+GETPIVOTDATA("Reducción ",#REF!,"No. Ramo",8,"IPP","M","PP",1,"UR",510)+GETPIVOTDATA("Reducción ",#REF!,"No. Ramo",8,"IPP","M","PP",1,"UR",511)+GETPIVOTDATA("Reducción ",#REF!,"No. Ramo",8,"IPP","M","PP",1,"UR",512)+GETPIVOTDATA("Reducción ",#REF!,"No. Ramo",8,"IPP","M","PP",1,"UR",513)+GETPIVOTDATA("Reducción ",#REF!,"No. Ramo",8,"IPP","O","PP",1)-GETPIVOTDATA("Reducción ",#REF!,"No. Ramo",8,"IPP","O","PP",1,"UR","A1I")-GETPIVOTDATA("Reducción ",#REF!,"No. Ramo",8,"IPP","O","PP",1,"UR","B00")-GETPIVOTDATA("Reducción ",#REF!,"No. Ramo",8,"IPP","O","PP",1,"UR","F00")-GETPIVOTDATA("Reducción ",#REF!,"No. Ramo",8,"IPP","O","PP",1,"UR","I00")-GETPIVOTDATA("Reducción ",#REF!,"No. Ramo",8,"IPP","O","PP",1,"UR","I6L")-GETPIVOTDATA("Reducción ",#REF!,"No. Ramo",8,"IPP","O","PP",1,"UR","I9H")-GETPIVOTDATA("Reducción ",#REF!,"No. Ramo",8,"IPP","O","PP",1,"UR","IZC")-GETPIVOTDATA("Reducción ",#REF!,"No. Ramo",8,"IPP","O","PP",1,"UR","IZI")-GETPIVOTDATA("Reducción ",#REF!,"No. Ramo",8,"IPP","O","PP",1,"UR","JAG")+GETPIVOTDATA("Reducción ",#REF!,"No. Ramo",8,"IPP","O","PP",99,"UR",511)+GETPIVOTDATA("Reducción ",#REF!,"No. Ramo",8,"IPP","P","PP",1)-GETPIVOTDATA("Reducción ",#REF!,"No. Ramo",8,"IPP","P","PP",1,"UR","A1I")-GETPIVOTDATA("Reducción ",#REF!,"No. Ramo",8,"IPP","P","PP",1,"UR","AFU")-GETPIVOTDATA("Reducción ",#REF!,"No. Ramo",8,"IPP","P","PP",1,"UR","B00")-GETPIVOTDATA("Reducción ",#REF!,"No. Ramo",8,"IPP","P","PP",1,"UR","C00")-GETPIVOTDATA("Reducción ",#REF!,"No. Ramo",8,"IPP","P","PP",1,"UR","F00")-GETPIVOTDATA("Reducción ",#REF!,"No. Ramo",8,"IPP","P","PP",1,"UR","G00")-GETPIVOTDATA("Reducción ",#REF!,"No. Ramo",8,"IPP","P","PP",1,"UR","I6L")-GETPIVOTDATA("Reducción ",#REF!,"No. Ramo",8,"IPP","P","PP",1,"UR","I6U")-GETPIVOTDATA("Reducción ",#REF!,"No. Ramo",8,"IPP","P","PP",1,"UR","I9H")-GETPIVOTDATA("Reducción ",#REF!,"No. Ramo",8,"IPP","P","PP",1,"UR","IZI")+GETPIVOTDATA("Reducción ",#REF!,"No. Ramo",8,"IPP","R","PP",3,"UR",300)+GETPIVOTDATA("Reducción ",#REF!,"No. Ramo",8,"IPP","U","PP",3,"UR",116)+GETPIVOTDATA("Reducción ",#REF!,"No. Ramo",8,"IPP","U","PP",4)+GETPIVOTDATA("Reducción ",#REF!,"No. Ramo",8,"IPP","U","PP",9,"UR",116)+GETPIVOTDATA("Reducción ",#REF!,"No. Ramo",8,"IPP","U","PP",10,"UR",116)+GETPIVOTDATA("Reducción ",#REF!,"No. Ramo",8,"IPP","U","PP",11,"UR",116)</f>
        <v>#REF!</v>
      </c>
      <c r="Q366" s="1" t="e">
        <f>+GETPIVOTDATA("Ampliación ",#REF!,"No. Ramo",8,"IPP","F","PP",1,"UR",111)+GETPIVOTDATA("Ampliación ",#REF!,"No. Ramo",8,"IPP","G","PP",1)-GETPIVOTDATA("Ampliación ",#REF!,"No. Ramo",8,"IPP","G","PP",1,"UR","B00")-GETPIVOTDATA("Ampliación ",#REF!,"No. Ramo",8,"IPP","G","PP",1,"UR","I00")+GETPIVOTDATA("Ampliación ",#REF!,"No. Ramo",8,"IPP","L","PP",1)-GETPIVOTDATA("Ampliación ",#REF!,"No. Ramo",8,"IPP","L","PP",1,"UR","B00")-GETPIVOTDATA("Ampliación ",#REF!,"No. Ramo",8,"IPP","L","PP",1,"UR","D00")+GETPIVOTDATA("Ampliación ",#REF!,"No. Ramo",8,"IPP","M","PP",1,"UR",500)+GETPIVOTDATA("Ampliación ",#REF!,"No. Ramo",8,"IPP","M","PP",1,"UR",510)+GETPIVOTDATA("Ampliación ",#REF!,"No. Ramo",8,"IPP","M","PP",1,"UR",511)+GETPIVOTDATA("Ampliación ",#REF!,"No. Ramo",8,"IPP","M","PP",1,"UR",512)+GETPIVOTDATA("Ampliación ",#REF!,"No. Ramo",8,"IPP","M","PP",1,"UR",513)+GETPIVOTDATA("Ampliación ",#REF!,"No. Ramo",8,"IPP","O","PP",1)-GETPIVOTDATA("Ampliación ",#REF!,"No. Ramo",8,"IPP","O","PP",1,"UR","A1I")-GETPIVOTDATA("Ampliación ",#REF!,"No. Ramo",8,"IPP","O","PP",1,"UR","B00")-GETPIVOTDATA("Ampliación ",#REF!,"No. Ramo",8,"IPP","O","PP",1,"UR","F00")-GETPIVOTDATA("Ampliación ",#REF!,"No. Ramo",8,"IPP","O","PP",1,"UR","I00")-GETPIVOTDATA("Ampliación ",#REF!,"No. Ramo",8,"IPP","O","PP",1,"UR","I6L")-GETPIVOTDATA("Ampliación ",#REF!,"No. Ramo",8,"IPP","O","PP",1,"UR","I9H")-GETPIVOTDATA("Ampliación ",#REF!,"No. Ramo",8,"IPP","O","PP",1,"UR","IZC")-GETPIVOTDATA("Ampliación ",#REF!,"No. Ramo",8,"IPP","O","PP",1,"UR","IZI")-GETPIVOTDATA("Ampliación ",#REF!,"No. Ramo",8,"IPP","O","PP",1,"UR","JAG")+GETPIVOTDATA("Ampliación ",#REF!,"No. Ramo",8,"IPP","O","PP",99,"UR",511)+GETPIVOTDATA("Ampliación ",#REF!,"No. Ramo",8,"IPP","P","PP",1)-GETPIVOTDATA("Ampliación ",#REF!,"No. Ramo",8,"IPP","P","PP",1,"UR","A1I")-GETPIVOTDATA("Ampliación ",#REF!,"No. Ramo",8,"IPP","P","PP",1,"UR","AFU")-GETPIVOTDATA("Ampliación ",#REF!,"No. Ramo",8,"IPP","P","PP",1,"UR","B00")-GETPIVOTDATA("Ampliación ",#REF!,"No. Ramo",8,"IPP","P","PP",1,"UR","C00")-GETPIVOTDATA("Ampliación ",#REF!,"No. Ramo",8,"IPP","P","PP",1,"UR","F00")-GETPIVOTDATA("Ampliación ",#REF!,"No. Ramo",8,"IPP","P","PP",1,"UR","G00")-GETPIVOTDATA("Ampliación ",#REF!,"No. Ramo",8,"IPP","P","PP",1,"UR","I6L")-GETPIVOTDATA("Ampliación ",#REF!,"No. Ramo",8,"IPP","P","PP",1,"UR","I6U")-GETPIVOTDATA("Ampliación ",#REF!,"No. Ramo",8,"IPP","P","PP",1,"UR","I9H")-GETPIVOTDATA("Ampliación ",#REF!,"No. Ramo",8,"IPP","P","PP",1,"UR","IZI")+GETPIVOTDATA("Ampliación ",#REF!,"No. Ramo",8,"IPP","R","PP",3,"UR",300)+GETPIVOTDATA("Ampliación ",#REF!,"No. Ramo",8,"IPP","U","PP",3,"UR",116)+GETPIVOTDATA("Ampliación ",#REF!,"No. Ramo",8,"IPP","U","PP",4)+GETPIVOTDATA("Ampliación ",#REF!,"No. Ramo",8,"IPP","U","PP",9,"UR",116)+GETPIVOTDATA("Ampliación ",#REF!,"No. Ramo",8,"IPP","U","PP",10,"UR",116)+GETPIVOTDATA("Ampliación ",#REF!,"No. Ramo",8,"IPP","U","PP",11,"UR",116)</f>
        <v>#REF!</v>
      </c>
      <c r="R366" s="69" t="e">
        <f t="shared" si="100"/>
        <v>#REF!</v>
      </c>
      <c r="S366" s="69"/>
      <c r="T366" s="69"/>
      <c r="U366" s="69" t="e">
        <f t="shared" si="104"/>
        <v>#REF!</v>
      </c>
      <c r="V366" s="69" t="e">
        <f t="shared" si="104"/>
        <v>#REF!</v>
      </c>
      <c r="W366" s="69" t="e">
        <f t="shared" si="104"/>
        <v>#REF!</v>
      </c>
      <c r="X366" s="69" t="e">
        <f t="shared" si="104"/>
        <v>#REF!</v>
      </c>
      <c r="AH366" s="152"/>
      <c r="AI366" s="157" t="s">
        <v>777</v>
      </c>
      <c r="AJ366" s="158"/>
      <c r="AK366" s="158"/>
      <c r="AL366" s="150"/>
      <c r="AM366" s="150"/>
      <c r="AN366" s="150"/>
      <c r="AO366" s="151"/>
      <c r="AP366" s="146"/>
      <c r="AQ366" s="146"/>
      <c r="AR366" s="146"/>
      <c r="AS366" s="245"/>
      <c r="AT366" s="245"/>
      <c r="AU366" s="146"/>
      <c r="AX366" s="152"/>
      <c r="AY366" s="157" t="s">
        <v>777</v>
      </c>
      <c r="AZ366" s="158"/>
      <c r="BA366" s="158"/>
      <c r="BB366" s="189"/>
      <c r="BC366" s="189"/>
      <c r="BD366" s="189"/>
      <c r="BE366" s="190"/>
      <c r="BF366" s="187">
        <f t="shared" ref="BF366:BF376" si="124">+AU366</f>
        <v>0</v>
      </c>
    </row>
    <row r="367" spans="1:75">
      <c r="A367" s="122">
        <v>1</v>
      </c>
      <c r="B367" s="31"/>
      <c r="C367" s="30" t="s">
        <v>778</v>
      </c>
      <c r="D367" s="30"/>
      <c r="E367" s="30"/>
      <c r="F367" s="33" t="s">
        <v>856</v>
      </c>
      <c r="G367" s="33" t="s">
        <v>133</v>
      </c>
      <c r="H367" s="33"/>
      <c r="I367" s="67">
        <v>1</v>
      </c>
      <c r="J367" s="33"/>
      <c r="K367" s="69" t="e">
        <f>+GETPIVOTDATA("PPEF 2010 ",#REF!,"No. Ramo",8,"IPP","M","PP",1,"UR","IZI")+GETPIVOTDATA("PPEF 2010 ",#REF!,"No. Ramo",8,"IPP","O","PP",1,"UR","IZI")+GETPIVOTDATA("PPEF 2010 ",#REF!,"No. Ramo",8,"IPP","P","PP",1,"UR","IZI")</f>
        <v>#REF!</v>
      </c>
      <c r="L367" s="69" t="e">
        <f>+GETPIVOTDATA("Ampliación Neta DIP ",#REF!,"No. Ramo",8,"IPP","M","PP",1,"UR","IZI")+GETPIVOTDATA("Ampliación Neta DIP ",#REF!,"No. Ramo",8,"IPP","O","PP",1,"UR","IZI")+GETPIVOTDATA("Ampliación Neta DIP ",#REF!,"No. Ramo",8,"IPP","P","PP",1,"UR","IZI")</f>
        <v>#REF!</v>
      </c>
      <c r="M367" s="69" t="e">
        <f>+GETPIVOTDATA("Recorte SHCP ",#REF!,"No. Ramo",8,"IPP","M","PP",1,"UR","IZI")+GETPIVOTDATA("Recorte SHCP ",#REF!,"No. Ramo",8,"IPP","O","PP",1,"UR","IZI")+GETPIVOTDATA("Recorte SHCP ",#REF!,"No. Ramo",8,"IPP","P","PP",1,"UR","IZI")</f>
        <v>#REF!</v>
      </c>
      <c r="N367" s="69" t="e">
        <f>+GETPIVOTDATA("PEF 2010 ",#REF!,"No. Ramo",8,"IPP","M","PP",1,"UR","IZI")+GETPIVOTDATA("PEF 2010 ",#REF!,"No. Ramo",8,"IPP","O","PP",1,"UR","IZI")+GETPIVOTDATA("PEF 2010 ",#REF!,"No. Ramo",8,"IPP","P","PP",1,"UR","IZI")</f>
        <v>#REF!</v>
      </c>
      <c r="O367" s="69" t="e">
        <f>+GETPIVOTDATA("PPEF 2011 ",#REF!,"No. Ramo",8,"IPP","M","PP",1,"UR","IZI")+GETPIVOTDATA("PPEF 2011 ",#REF!,"No. Ramo",8,"IPP","O","PP",1,"UR","IZI")+GETPIVOTDATA("PPEF 2011 ",#REF!,"No. Ramo",8,"IPP","P","PP",1,"UR","IZI")</f>
        <v>#REF!</v>
      </c>
      <c r="P367" s="69" t="e">
        <f>+GETPIVOTDATA("Reducción ",#REF!,"No. Ramo",8,"IPP","M","PP",1,"UR","IZI")+GETPIVOTDATA("Reducción ",#REF!,"No. Ramo",8,"IPP","O","PP",1,"UR","IZI")+GETPIVOTDATA("Reducción ",#REF!,"No. Ramo",8,"IPP","P","PP",1,"UR","IZI")</f>
        <v>#REF!</v>
      </c>
      <c r="Q367" s="69" t="e">
        <f>+GETPIVOTDATA("Ampliación ",#REF!,"No. Ramo",8,"IPP","M","PP",1,"UR","IZI")+GETPIVOTDATA("Ampliación ",#REF!,"No. Ramo",8,"IPP","O","PP",1,"UR","IZI")+GETPIVOTDATA("Ampliación ",#REF!,"No. Ramo",8,"IPP","P","PP",1,"UR","IZI")</f>
        <v>#REF!</v>
      </c>
      <c r="R367" s="69" t="e">
        <f t="shared" si="100"/>
        <v>#REF!</v>
      </c>
      <c r="S367" s="69"/>
      <c r="T367" s="69"/>
      <c r="U367" s="69" t="e">
        <f t="shared" si="104"/>
        <v>#REF!</v>
      </c>
      <c r="V367" s="69" t="e">
        <f t="shared" si="104"/>
        <v>#REF!</v>
      </c>
      <c r="W367" s="69" t="e">
        <f t="shared" si="104"/>
        <v>#REF!</v>
      </c>
      <c r="X367" s="69" t="e">
        <f t="shared" si="104"/>
        <v>#REF!</v>
      </c>
      <c r="AH367" s="152"/>
      <c r="AI367" s="157" t="s">
        <v>778</v>
      </c>
      <c r="AJ367" s="158"/>
      <c r="AK367" s="158"/>
      <c r="AL367" s="150"/>
      <c r="AM367" s="150"/>
      <c r="AN367" s="150"/>
      <c r="AO367" s="151"/>
      <c r="AP367" s="146"/>
      <c r="AQ367" s="146"/>
      <c r="AR367" s="146"/>
      <c r="AS367" s="245"/>
      <c r="AT367" s="245"/>
      <c r="AU367" s="146"/>
      <c r="AX367" s="152"/>
      <c r="AY367" s="157" t="s">
        <v>778</v>
      </c>
      <c r="AZ367" s="158"/>
      <c r="BA367" s="158"/>
      <c r="BB367" s="189"/>
      <c r="BC367" s="189"/>
      <c r="BD367" s="189"/>
      <c r="BE367" s="190"/>
      <c r="BF367" s="187">
        <f t="shared" si="124"/>
        <v>0</v>
      </c>
    </row>
    <row r="368" spans="1:75">
      <c r="A368" s="122">
        <v>1</v>
      </c>
      <c r="B368" s="31"/>
      <c r="C368" s="30" t="s">
        <v>779</v>
      </c>
      <c r="D368" s="30"/>
      <c r="E368" s="30"/>
      <c r="F368" s="33" t="s">
        <v>857</v>
      </c>
      <c r="G368" s="33" t="s">
        <v>131</v>
      </c>
      <c r="H368" s="33"/>
      <c r="I368" s="67">
        <v>1</v>
      </c>
      <c r="J368" s="33"/>
      <c r="K368" s="69" t="e">
        <f>+GETPIVOTDATA("PPEF 2010 ",#REF!,"No. Ramo",8,"IPP","M","PP",1,"UR","I6U")+GETPIVOTDATA("PPEF 2010 ",#REF!,"No. Ramo",8,"IPP","P","PP",1,"UR","I6U")</f>
        <v>#REF!</v>
      </c>
      <c r="L368" s="69" t="e">
        <f>+GETPIVOTDATA("Ampliación Neta DIP ",#REF!,"No. Ramo",8,"IPP","M","PP",1,"UR","I6U")+GETPIVOTDATA("Ampliación Neta DIP ",#REF!,"No. Ramo",8,"IPP","P","PP",1,"UR","I6U")</f>
        <v>#REF!</v>
      </c>
      <c r="M368" s="69" t="e">
        <f>+GETPIVOTDATA("Recorte SHCP ",#REF!,"No. Ramo",8,"IPP","M","PP",1,"UR","I6U")+GETPIVOTDATA("Recorte SHCP ",#REF!,"No. Ramo",8,"IPP","P","PP",1,"UR","I6U")</f>
        <v>#REF!</v>
      </c>
      <c r="N368" s="69" t="e">
        <f>+GETPIVOTDATA("PEF 2010 ",#REF!,"No. Ramo",8,"IPP","M","PP",1,"UR","I6U")+GETPIVOTDATA("PEF 2010 ",#REF!,"No. Ramo",8,"IPP","P","PP",1,"UR","I6U")</f>
        <v>#REF!</v>
      </c>
      <c r="O368" s="69" t="e">
        <f>+GETPIVOTDATA("PPEF 2011 ",#REF!,"No. Ramo",8,"IPP","M","PP",1,"UR","I6U")+GETPIVOTDATA("PPEF 2011 ",#REF!,"No. Ramo",8,"IPP","P","PP",1,"UR","I6U")</f>
        <v>#REF!</v>
      </c>
      <c r="P368" s="69" t="e">
        <f>+GETPIVOTDATA("Reducción ",#REF!,"No. Ramo",8,"IPP","M","PP",1,"UR","I6U")+GETPIVOTDATA("Reducción ",#REF!,"No. Ramo",8,"IPP","P","PP",1,"UR","I6U")</f>
        <v>#REF!</v>
      </c>
      <c r="Q368" s="69" t="e">
        <f>+GETPIVOTDATA("Ampliación ",#REF!,"No. Ramo",8,"IPP","M","PP",1,"UR","I6U")+GETPIVOTDATA("Ampliación ",#REF!,"No. Ramo",8,"IPP","P","PP",1,"UR","I6U")</f>
        <v>#REF!</v>
      </c>
      <c r="R368" s="69" t="e">
        <f t="shared" si="100"/>
        <v>#REF!</v>
      </c>
      <c r="S368" s="69"/>
      <c r="T368" s="69"/>
      <c r="U368" s="69" t="e">
        <f t="shared" si="104"/>
        <v>#REF!</v>
      </c>
      <c r="V368" s="69" t="e">
        <f t="shared" si="104"/>
        <v>#REF!</v>
      </c>
      <c r="W368" s="69" t="e">
        <f t="shared" si="104"/>
        <v>#REF!</v>
      </c>
      <c r="X368" s="69" t="e">
        <f t="shared" si="104"/>
        <v>#REF!</v>
      </c>
      <c r="AH368" s="152"/>
      <c r="AI368" s="157" t="s">
        <v>779</v>
      </c>
      <c r="AJ368" s="158"/>
      <c r="AK368" s="158"/>
      <c r="AL368" s="150"/>
      <c r="AM368" s="150"/>
      <c r="AN368" s="150"/>
      <c r="AO368" s="151"/>
      <c r="AP368" s="146"/>
      <c r="AQ368" s="146"/>
      <c r="AR368" s="146"/>
      <c r="AS368" s="245"/>
      <c r="AT368" s="245"/>
      <c r="AU368" s="146"/>
      <c r="AX368" s="152"/>
      <c r="AY368" s="157" t="s">
        <v>779</v>
      </c>
      <c r="AZ368" s="158"/>
      <c r="BA368" s="158"/>
      <c r="BB368" s="189"/>
      <c r="BC368" s="189"/>
      <c r="BD368" s="189"/>
      <c r="BE368" s="190"/>
      <c r="BF368" s="187">
        <f t="shared" si="124"/>
        <v>0</v>
      </c>
    </row>
    <row r="369" spans="1:58">
      <c r="A369" s="122">
        <v>1</v>
      </c>
      <c r="B369" s="31"/>
      <c r="C369" s="30" t="s">
        <v>780</v>
      </c>
      <c r="D369" s="30"/>
      <c r="E369" s="30"/>
      <c r="F369" s="33" t="s">
        <v>856</v>
      </c>
      <c r="G369" s="33" t="s">
        <v>130</v>
      </c>
      <c r="H369" s="33"/>
      <c r="I369" s="67">
        <v>1</v>
      </c>
      <c r="J369" s="33"/>
      <c r="K369" s="69" t="e">
        <f>+GETPIVOTDATA("PPEF 2010 ",#REF!,"No. Ramo",8,"IPP","P","PP",1,"UR","I6L")+GETPIVOTDATA("PPEF 2010 ",#REF!,"No. Ramo",8,"IPP","O","PP",1,"UR","I6L")+GETPIVOTDATA("PPEF 2010 ",#REF!,"No. Ramo",8,"IPP","M","PP",1,"UR","I6L")</f>
        <v>#REF!</v>
      </c>
      <c r="L369" s="69" t="e">
        <f>+GETPIVOTDATA("Ampliación Neta DIP ",#REF!,"No. Ramo",8,"IPP","P","PP",1,"UR","I6L")+GETPIVOTDATA("Ampliación Neta DIP ",#REF!,"No. Ramo",8,"IPP","O","PP",1,"UR","I6L")+GETPIVOTDATA("Ampliación Neta DIP ",#REF!,"No. Ramo",8,"IPP","M","PP",1,"UR","I6L")</f>
        <v>#REF!</v>
      </c>
      <c r="M369" s="69" t="e">
        <f>+GETPIVOTDATA("Recorte SHCP ",#REF!,"No. Ramo",8,"IPP","P","PP",1,"UR","I6L")+GETPIVOTDATA("Recorte SHCP ",#REF!,"No. Ramo",8,"IPP","O","PP",1,"UR","I6L")+GETPIVOTDATA("Recorte SHCP ",#REF!,"No. Ramo",8,"IPP","M","PP",1,"UR","I6L")</f>
        <v>#REF!</v>
      </c>
      <c r="N369" s="69" t="e">
        <f>+GETPIVOTDATA("PEF 2010 ",#REF!,"No. Ramo",8,"IPP","P","PP",1,"UR","I6L")+GETPIVOTDATA("PEF 2010 ",#REF!,"No. Ramo",8,"IPP","O","PP",1,"UR","I6L")+GETPIVOTDATA("PEF 2010 ",#REF!,"No. Ramo",8,"IPP","M","PP",1,"UR","I6L")</f>
        <v>#REF!</v>
      </c>
      <c r="O369" s="69" t="e">
        <f>+GETPIVOTDATA("PPEF 2011 ",#REF!,"No. Ramo",8,"IPP","P","PP",1,"UR","I6L")+GETPIVOTDATA("PPEF 2011 ",#REF!,"No. Ramo",8,"IPP","O","PP",1,"UR","I6L")+GETPIVOTDATA("PPEF 2011 ",#REF!,"No. Ramo",8,"IPP","M","PP",1,"UR","I6L")</f>
        <v>#REF!</v>
      </c>
      <c r="P369" s="69" t="e">
        <f>+GETPIVOTDATA("Reducción ",#REF!,"No. Ramo",8,"IPP","P","PP",1,"UR","I6L")+GETPIVOTDATA("Reducción ",#REF!,"No. Ramo",8,"IPP","O","PP",1,"UR","I6L")+GETPIVOTDATA("Reducción ",#REF!,"No. Ramo",8,"IPP","M","PP",1,"UR","I6L")</f>
        <v>#REF!</v>
      </c>
      <c r="Q369" s="69" t="e">
        <f>+GETPIVOTDATA("Ampliación ",#REF!,"No. Ramo",8,"IPP","P","PP",1,"UR","I6L")+GETPIVOTDATA("Ampliación ",#REF!,"No. Ramo",8,"IPP","O","PP",1,"UR","I6L")+GETPIVOTDATA("Ampliación ",#REF!,"No. Ramo",8,"IPP","M","PP",1,"UR","I6L")</f>
        <v>#REF!</v>
      </c>
      <c r="R369" s="69" t="e">
        <f t="shared" si="100"/>
        <v>#REF!</v>
      </c>
      <c r="S369" s="69"/>
      <c r="T369" s="69"/>
      <c r="U369" s="69" t="e">
        <f t="shared" si="104"/>
        <v>#REF!</v>
      </c>
      <c r="V369" s="69" t="e">
        <f t="shared" si="104"/>
        <v>#REF!</v>
      </c>
      <c r="W369" s="69" t="e">
        <f t="shared" si="104"/>
        <v>#REF!</v>
      </c>
      <c r="X369" s="69" t="e">
        <f t="shared" si="104"/>
        <v>#REF!</v>
      </c>
      <c r="AH369" s="152"/>
      <c r="AI369" s="157" t="s">
        <v>780</v>
      </c>
      <c r="AJ369" s="158"/>
      <c r="AK369" s="158"/>
      <c r="AL369" s="150"/>
      <c r="AM369" s="150"/>
      <c r="AN369" s="150"/>
      <c r="AO369" s="151"/>
      <c r="AP369" s="146"/>
      <c r="AQ369" s="146"/>
      <c r="AR369" s="146"/>
      <c r="AS369" s="245"/>
      <c r="AT369" s="245"/>
      <c r="AU369" s="146"/>
      <c r="AX369" s="152"/>
      <c r="AY369" s="157" t="s">
        <v>780</v>
      </c>
      <c r="AZ369" s="158"/>
      <c r="BA369" s="158"/>
      <c r="BB369" s="189"/>
      <c r="BC369" s="189"/>
      <c r="BD369" s="189"/>
      <c r="BE369" s="190"/>
      <c r="BF369" s="187">
        <f t="shared" si="124"/>
        <v>0</v>
      </c>
    </row>
    <row r="370" spans="1:58">
      <c r="A370" s="122">
        <v>1</v>
      </c>
      <c r="B370" s="31"/>
      <c r="C370" s="30" t="s">
        <v>781</v>
      </c>
      <c r="D370" s="30"/>
      <c r="E370" s="30"/>
      <c r="F370" s="33" t="s">
        <v>856</v>
      </c>
      <c r="G370" s="33" t="s">
        <v>132</v>
      </c>
      <c r="H370" s="33"/>
      <c r="I370" s="67">
        <v>1</v>
      </c>
      <c r="J370" s="33"/>
      <c r="K370" s="69" t="e">
        <f>+GETPIVOTDATA("PPEF 2010 ",#REF!,"No. Ramo",8,"IPP","M","PP",1,"UR","I9H")+GETPIVOTDATA("PPEF 2010 ",#REF!,"No. Ramo",8,"IPP","O","PP",1,"UR","I9H")+GETPIVOTDATA("PPEF 2010 ",#REF!,"No. Ramo",8,"IPP","P","PP",1,"UR","I9H")</f>
        <v>#REF!</v>
      </c>
      <c r="L370" s="69" t="e">
        <f>+GETPIVOTDATA("Ampliación Neta DIP ",#REF!,"No. Ramo",8,"IPP","M","PP",1,"UR","I9H")+GETPIVOTDATA("Ampliación Neta DIP ",#REF!,"No. Ramo",8,"IPP","O","PP",1,"UR","I9H")+GETPIVOTDATA("Ampliación Neta DIP ",#REF!,"No. Ramo",8,"IPP","P","PP",1,"UR","I9H")</f>
        <v>#REF!</v>
      </c>
      <c r="M370" s="69" t="e">
        <f>+GETPIVOTDATA("Recorte SHCP ",#REF!,"No. Ramo",8,"IPP","M","PP",1,"UR","I9H")+GETPIVOTDATA("Recorte SHCP ",#REF!,"No. Ramo",8,"IPP","O","PP",1,"UR","I9H")+GETPIVOTDATA("Recorte SHCP ",#REF!,"No. Ramo",8,"IPP","P","PP",1,"UR","I9H")</f>
        <v>#REF!</v>
      </c>
      <c r="N370" s="69" t="e">
        <f>+GETPIVOTDATA("PEF 2010 ",#REF!,"No. Ramo",8,"IPP","M","PP",1,"UR","I9H")+GETPIVOTDATA("PEF 2010 ",#REF!,"No. Ramo",8,"IPP","O","PP",1,"UR","I9H")+GETPIVOTDATA("PEF 2010 ",#REF!,"No. Ramo",8,"IPP","P","PP",1,"UR","I9H")</f>
        <v>#REF!</v>
      </c>
      <c r="O370" s="69" t="e">
        <f>+GETPIVOTDATA("PPEF 2011 ",#REF!,"No. Ramo",8,"IPP","M","PP",1,"UR","I9H")+GETPIVOTDATA("PPEF 2011 ",#REF!,"No. Ramo",8,"IPP","O","PP",1,"UR","I9H")+GETPIVOTDATA("PPEF 2011 ",#REF!,"No. Ramo",8,"IPP","P","PP",1,"UR","I9H")</f>
        <v>#REF!</v>
      </c>
      <c r="P370" s="69" t="e">
        <f>+GETPIVOTDATA("Reducción ",#REF!,"No. Ramo",8,"IPP","M","PP",1,"UR","I9H")+GETPIVOTDATA("Reducción ",#REF!,"No. Ramo",8,"IPP","O","PP",1,"UR","I9H")+GETPIVOTDATA("Reducción ",#REF!,"No. Ramo",8,"IPP","P","PP",1,"UR","I9H")</f>
        <v>#REF!</v>
      </c>
      <c r="Q370" s="69" t="e">
        <f>+GETPIVOTDATA("Ampliación ",#REF!,"No. Ramo",8,"IPP","M","PP",1,"UR","I9H")+GETPIVOTDATA("Ampliación ",#REF!,"No. Ramo",8,"IPP","O","PP",1,"UR","I9H")+GETPIVOTDATA("Ampliación ",#REF!,"No. Ramo",8,"IPP","P","PP",1,"UR","I9H")</f>
        <v>#REF!</v>
      </c>
      <c r="R370" s="69" t="e">
        <f t="shared" si="100"/>
        <v>#REF!</v>
      </c>
      <c r="S370" s="69"/>
      <c r="T370" s="69"/>
      <c r="U370" s="69" t="e">
        <f t="shared" si="104"/>
        <v>#REF!</v>
      </c>
      <c r="V370" s="69" t="e">
        <f t="shared" si="104"/>
        <v>#REF!</v>
      </c>
      <c r="W370" s="69" t="e">
        <f t="shared" si="104"/>
        <v>#REF!</v>
      </c>
      <c r="X370" s="69" t="e">
        <f t="shared" si="104"/>
        <v>#REF!</v>
      </c>
      <c r="AH370" s="152"/>
      <c r="AI370" s="157" t="s">
        <v>781</v>
      </c>
      <c r="AJ370" s="158"/>
      <c r="AK370" s="158"/>
      <c r="AL370" s="150"/>
      <c r="AM370" s="150"/>
      <c r="AN370" s="150"/>
      <c r="AO370" s="151"/>
      <c r="AP370" s="146"/>
      <c r="AQ370" s="146"/>
      <c r="AR370" s="146"/>
      <c r="AS370" s="245"/>
      <c r="AT370" s="245"/>
      <c r="AU370" s="146"/>
      <c r="AX370" s="152"/>
      <c r="AY370" s="157" t="s">
        <v>781</v>
      </c>
      <c r="AZ370" s="158"/>
      <c r="BA370" s="158"/>
      <c r="BB370" s="189"/>
      <c r="BC370" s="189"/>
      <c r="BD370" s="189"/>
      <c r="BE370" s="190"/>
      <c r="BF370" s="187">
        <f t="shared" si="124"/>
        <v>0</v>
      </c>
    </row>
    <row r="371" spans="1:58">
      <c r="A371" s="122">
        <v>1</v>
      </c>
      <c r="B371" s="31"/>
      <c r="C371" s="30" t="s">
        <v>782</v>
      </c>
      <c r="D371" s="30"/>
      <c r="E371" s="30"/>
      <c r="F371" s="33" t="s">
        <v>809</v>
      </c>
      <c r="G371" s="33" t="s">
        <v>13</v>
      </c>
      <c r="H371" s="33"/>
      <c r="I371" s="67">
        <v>1</v>
      </c>
      <c r="J371" s="33"/>
      <c r="K371" s="69" t="e">
        <f>+GETPIVOTDATA("PPEF 2010 ",#REF!,"No. Ramo",8,"IPP","G","PP",1,"UR","B00")*34.3042008749644%+GETPIVOTDATA("PPEF 2010 ",#REF!,"No. Ramo",8,"IPP","L","PP",1,"UR","B00")+GETPIVOTDATA("PPEF 2010 ",#REF!,"No. Ramo",8,"IPP","M","PP",1,"UR","B00")*95.5242387913895%+GETPIVOTDATA("PPEF 2010 ",#REF!,"No. Ramo",8,"IPP","O","PP",1,"UR","B00")+GETPIVOTDATA("PPEF 2010 ",#REF!,"No. Ramo",8,"IPP","O","PP",99,"UR","B00")</f>
        <v>#REF!</v>
      </c>
      <c r="L371" s="69" t="e">
        <f>+GETPIVOTDATA("Ampliación Neta DIP ",#REF!,"No. Ramo",8,"IPP","G","PP",1,"UR","B00")*34.3042008749644%+GETPIVOTDATA("Ampliación Neta DIP ",#REF!,"No. Ramo",8,"IPP","L","PP",1,"UR","B00")+GETPIVOTDATA("Ampliación Neta DIP ",#REF!,"No. Ramo",8,"IPP","M","PP",1,"UR","B00")*95.5242387913895%+GETPIVOTDATA("Ampliación Neta DIP ",#REF!,"No. Ramo",8,"IPP","O","PP",1,"UR","B00")+GETPIVOTDATA("Ampliación Neta DIP ",#REF!,"No. Ramo",8,"IPP","O","PP",99,"UR","B00")</f>
        <v>#REF!</v>
      </c>
      <c r="M371" s="69" t="e">
        <f>+GETPIVOTDATA("Recorte SHCP ",#REF!,"No. Ramo",8,"IPP","G","PP",1,"UR","B00")*34.3042008749644%+GETPIVOTDATA("Recorte SHCP ",#REF!,"No. Ramo",8,"IPP","L","PP",1,"UR","B00")+GETPIVOTDATA("Recorte SHCP ",#REF!,"No. Ramo",8,"IPP","M","PP",1,"UR","B00")*95.5242387913895%+GETPIVOTDATA("Recorte SHCP ",#REF!,"No. Ramo",8,"IPP","O","PP",1,"UR","B00")+GETPIVOTDATA("Recorte SHCP ",#REF!,"No. Ramo",8,"IPP","O","PP",99,"UR","B00")</f>
        <v>#REF!</v>
      </c>
      <c r="N371" s="69" t="e">
        <f>+GETPIVOTDATA("PEF 2010 ",#REF!,"No. Ramo",8,"IPP","G","PP",1,"UR","B00")*34.3042008749644%+GETPIVOTDATA("PEF 2010 ",#REF!,"No. Ramo",8,"IPP","L","PP",1,"UR","B00")+GETPIVOTDATA("PEF 2010 ",#REF!,"No. Ramo",8,"IPP","M","PP",1,"UR","B00")*95.5242387913895%+GETPIVOTDATA("PEF 2010 ",#REF!,"No. Ramo",8,"IPP","O","PP",1,"UR","B00")+GETPIVOTDATA("PEF 2010 ",#REF!,"No. Ramo",8,"IPP","O","PP",99,"UR","B00")</f>
        <v>#REF!</v>
      </c>
      <c r="O371" s="69" t="e">
        <f>+GETPIVOTDATA("PPEF 2011 ",#REF!,"No. Ramo",8,"IPP","G","PP",1,"UR","B00")*34.3042008749644%+GETPIVOTDATA("PPEF 2011 ",#REF!,"No. Ramo",8,"IPP","L","PP",1,"UR","B00")+GETPIVOTDATA("PPEF 2011 ",#REF!,"No. Ramo",8,"IPP","M","PP",1,"UR","B00")*95.5242387913895%+GETPIVOTDATA("PPEF 2011 ",#REF!,"No. Ramo",8,"IPP","O","PP",1,"UR","B00")+GETPIVOTDATA("PPEF 2011 ",#REF!,"No. Ramo",8,"IPP","O","PP",99,"UR","B00")</f>
        <v>#REF!</v>
      </c>
      <c r="P371" s="69" t="e">
        <f>+GETPIVOTDATA("Reducción ",#REF!,"No. Ramo",8,"IPP","G","PP",1,"UR","B00")*34.3042008749644%+GETPIVOTDATA("Reducción ",#REF!,"No. Ramo",8,"IPP","L","PP",1,"UR","B00")+GETPIVOTDATA("Reducción ",#REF!,"No. Ramo",8,"IPP","M","PP",1,"UR","B00")*95.5242387913895%+GETPIVOTDATA("Reducción ",#REF!,"No. Ramo",8,"IPP","O","PP",1,"UR","B00")+GETPIVOTDATA("Reducción ",#REF!,"No. Ramo",8,"IPP","O","PP",99,"UR","B00")</f>
        <v>#REF!</v>
      </c>
      <c r="Q371" s="69" t="e">
        <f>+GETPIVOTDATA("Ampliación ",#REF!,"No. Ramo",8,"IPP","G","PP",1,"UR","B00")*34.3042008749644%+GETPIVOTDATA("Ampliación ",#REF!,"No. Ramo",8,"IPP","L","PP",1,"UR","B00")+GETPIVOTDATA("Ampliación ",#REF!,"No. Ramo",8,"IPP","M","PP",1,"UR","B00")*95.5242387913895%+GETPIVOTDATA("Ampliación ",#REF!,"No. Ramo",8,"IPP","O","PP",1,"UR","B00")+GETPIVOTDATA("Ampliación ",#REF!,"No. Ramo",8,"IPP","O","PP",99,"UR","B00")</f>
        <v>#REF!</v>
      </c>
      <c r="R371" s="69" t="e">
        <f t="shared" si="100"/>
        <v>#REF!</v>
      </c>
      <c r="S371" s="69"/>
      <c r="T371" s="69"/>
      <c r="U371" s="69" t="e">
        <f t="shared" si="104"/>
        <v>#REF!</v>
      </c>
      <c r="V371" s="69" t="e">
        <f t="shared" si="104"/>
        <v>#REF!</v>
      </c>
      <c r="W371" s="69" t="e">
        <f t="shared" si="104"/>
        <v>#REF!</v>
      </c>
      <c r="X371" s="69" t="e">
        <f t="shared" si="104"/>
        <v>#REF!</v>
      </c>
      <c r="AH371" s="152"/>
      <c r="AI371" s="157" t="s">
        <v>782</v>
      </c>
      <c r="AJ371" s="158"/>
      <c r="AK371" s="158"/>
      <c r="AL371" s="150"/>
      <c r="AM371" s="150"/>
      <c r="AN371" s="150"/>
      <c r="AO371" s="151"/>
      <c r="AP371" s="146"/>
      <c r="AQ371" s="146"/>
      <c r="AR371" s="146"/>
      <c r="AS371" s="245"/>
      <c r="AT371" s="245"/>
      <c r="AU371" s="146"/>
      <c r="AX371" s="152"/>
      <c r="AY371" s="157" t="s">
        <v>782</v>
      </c>
      <c r="AZ371" s="158"/>
      <c r="BA371" s="158"/>
      <c r="BB371" s="189"/>
      <c r="BC371" s="189"/>
      <c r="BD371" s="189"/>
      <c r="BE371" s="190"/>
      <c r="BF371" s="187">
        <f t="shared" si="124"/>
        <v>0</v>
      </c>
    </row>
    <row r="372" spans="1:58">
      <c r="A372" s="122">
        <v>1</v>
      </c>
      <c r="B372" s="31"/>
      <c r="C372" s="30" t="s">
        <v>783</v>
      </c>
      <c r="D372" s="30"/>
      <c r="E372" s="30"/>
      <c r="F372" s="33" t="s">
        <v>858</v>
      </c>
      <c r="G372" s="33" t="s">
        <v>37</v>
      </c>
      <c r="H372" s="33"/>
      <c r="I372" s="67">
        <v>1</v>
      </c>
      <c r="J372" s="33"/>
      <c r="K372" s="69" t="e">
        <f>+GETPIVOTDATA("PPEF 2010 ",#REF!,"No. Ramo",8,"IPP","P","PP",1,"UR","G00")+GETPIVOTDATA("PPEF 2010 ",#REF!,"No. Ramo",8,"IPP","O","PP",99,"UR","G00")+GETPIVOTDATA("PPEF 2010 ",#REF!,"No. Ramo",8,"IPP","M","PP",1,"UR","G00")</f>
        <v>#REF!</v>
      </c>
      <c r="L372" s="69" t="e">
        <f>+GETPIVOTDATA("Ampliación Neta DIP ",#REF!,"No. Ramo",8,"IPP","P","PP",1,"UR","G00")+GETPIVOTDATA("Ampliación Neta DIP ",#REF!,"No. Ramo",8,"IPP","O","PP",99,"UR","G00")+GETPIVOTDATA("Ampliación Neta DIP ",#REF!,"No. Ramo",8,"IPP","M","PP",1,"UR","G00")</f>
        <v>#REF!</v>
      </c>
      <c r="M372" s="69" t="e">
        <f>+GETPIVOTDATA("Recorte SHCP ",#REF!,"No. Ramo",8,"IPP","P","PP",1,"UR","G00")+GETPIVOTDATA("Recorte SHCP ",#REF!,"No. Ramo",8,"IPP","O","PP",99,"UR","G00")+GETPIVOTDATA("Recorte SHCP ",#REF!,"No. Ramo",8,"IPP","M","PP",1,"UR","G00")</f>
        <v>#REF!</v>
      </c>
      <c r="N372" s="69" t="e">
        <f>+GETPIVOTDATA("PEF 2010 ",#REF!,"No. Ramo",8,"IPP","P","PP",1,"UR","G00")+GETPIVOTDATA("PEF 2010 ",#REF!,"No. Ramo",8,"IPP","O","PP",99,"UR","G00")+GETPIVOTDATA("PEF 2010 ",#REF!,"No. Ramo",8,"IPP","M","PP",1,"UR","G00")</f>
        <v>#REF!</v>
      </c>
      <c r="O372" s="69" t="e">
        <f>+GETPIVOTDATA("PPEF 2011 ",#REF!,"No. Ramo",8,"IPP","P","PP",1,"UR","G00")+GETPIVOTDATA("PPEF 2011 ",#REF!,"No. Ramo",8,"IPP","O","PP",99,"UR","G00")+GETPIVOTDATA("PPEF 2011 ",#REF!,"No. Ramo",8,"IPP","M","PP",1,"UR","G00")</f>
        <v>#REF!</v>
      </c>
      <c r="P372" s="69" t="e">
        <f>+GETPIVOTDATA("Reducción ",#REF!,"No. Ramo",8,"IPP","P","PP",1,"UR","G00")+GETPIVOTDATA("Reducción ",#REF!,"No. Ramo",8,"IPP","O","PP",99,"UR","G00")+GETPIVOTDATA("Reducción ",#REF!,"No. Ramo",8,"IPP","M","PP",1,"UR","G00")</f>
        <v>#REF!</v>
      </c>
      <c r="Q372" s="69" t="e">
        <f>+GETPIVOTDATA("Ampliación ",#REF!,"No. Ramo",8,"IPP","P","PP",1,"UR","G00")+GETPIVOTDATA("Ampliación ",#REF!,"No. Ramo",8,"IPP","O","PP",99,"UR","G00")+GETPIVOTDATA("Ampliación ",#REF!,"No. Ramo",8,"IPP","M","PP",1,"UR","G00")</f>
        <v>#REF!</v>
      </c>
      <c r="R372" s="69" t="e">
        <f t="shared" si="100"/>
        <v>#REF!</v>
      </c>
      <c r="S372" s="69"/>
      <c r="T372" s="69"/>
      <c r="U372" s="69" t="e">
        <f t="shared" si="104"/>
        <v>#REF!</v>
      </c>
      <c r="V372" s="69" t="e">
        <f t="shared" si="104"/>
        <v>#REF!</v>
      </c>
      <c r="W372" s="69" t="e">
        <f t="shared" si="104"/>
        <v>#REF!</v>
      </c>
      <c r="X372" s="69" t="e">
        <f t="shared" si="104"/>
        <v>#REF!</v>
      </c>
      <c r="Y372" s="19"/>
      <c r="Z372" s="98"/>
      <c r="AH372" s="152"/>
      <c r="AI372" s="157" t="s">
        <v>783</v>
      </c>
      <c r="AJ372" s="158"/>
      <c r="AK372" s="158"/>
      <c r="AL372" s="150"/>
      <c r="AM372" s="150"/>
      <c r="AN372" s="150"/>
      <c r="AO372" s="151"/>
      <c r="AP372" s="146"/>
      <c r="AQ372" s="146"/>
      <c r="AR372" s="146"/>
      <c r="AS372" s="245"/>
      <c r="AT372" s="245"/>
      <c r="AU372" s="146"/>
      <c r="AX372" s="152"/>
      <c r="AY372" s="157" t="s">
        <v>783</v>
      </c>
      <c r="AZ372" s="158"/>
      <c r="BA372" s="158"/>
      <c r="BB372" s="189"/>
      <c r="BC372" s="189"/>
      <c r="BD372" s="189"/>
      <c r="BE372" s="190"/>
      <c r="BF372" s="187">
        <f t="shared" si="124"/>
        <v>0</v>
      </c>
    </row>
    <row r="373" spans="1:58">
      <c r="A373" s="122">
        <v>1</v>
      </c>
      <c r="B373" s="31"/>
      <c r="C373" s="30" t="s">
        <v>784</v>
      </c>
      <c r="D373" s="30"/>
      <c r="E373" s="30"/>
      <c r="F373" s="33" t="s">
        <v>859</v>
      </c>
      <c r="G373" s="33" t="s">
        <v>15</v>
      </c>
      <c r="H373" s="33"/>
      <c r="I373" s="67">
        <v>1</v>
      </c>
      <c r="J373" s="33"/>
      <c r="K373" s="69" t="e">
        <f>+GETPIVOTDATA("PPEF 2010 ",#REF!,"No. Ramo",8,"IPP","K","PP",27,"UR","C00")+GETPIVOTDATA("PPEF 2010 ",#REF!,"No. Ramo",8,"IPP","M","PP",1,"UR","C00")+GETPIVOTDATA("PPEF 2010 ",#REF!,"No. Ramo",8,"IPP","O","PP",99,"UR","C00")+GETPIVOTDATA("PPEF 2010 ",#REF!,"No. Ramo",8,"IPP","P","PP",1,"UR","C00")+GETPIVOTDATA("PPEF 2010 ",#REF!,"No. Ramo",8,"IPP","R","PP",3,"UR","C00")</f>
        <v>#REF!</v>
      </c>
      <c r="L373" s="69" t="e">
        <f>+GETPIVOTDATA("Ampliación Neta DIP ",#REF!,"No. Ramo",8,"IPP","K","PP",27,"UR","C00")+GETPIVOTDATA("Ampliación Neta DIP ",#REF!,"No. Ramo",8,"IPP","M","PP",1,"UR","C00")+GETPIVOTDATA("Ampliación Neta DIP ",#REF!,"No. Ramo",8,"IPP","O","PP",99,"UR","C00")+GETPIVOTDATA("Ampliación Neta DIP ",#REF!,"No. Ramo",8,"IPP","P","PP",1,"UR","C00")+GETPIVOTDATA("Ampliación Neta DIP ",#REF!,"No. Ramo",8,"IPP","R","PP",3,"UR","C00")</f>
        <v>#REF!</v>
      </c>
      <c r="M373" s="69" t="e">
        <f>+GETPIVOTDATA("Recorte SHCP ",#REF!,"No. Ramo",8,"IPP","K","PP",27,"UR","C00")+GETPIVOTDATA("Recorte SHCP ",#REF!,"No. Ramo",8,"IPP","M","PP",1,"UR","C00")+GETPIVOTDATA("Recorte SHCP ",#REF!,"No. Ramo",8,"IPP","O","PP",99,"UR","C00")+GETPIVOTDATA("Recorte SHCP ",#REF!,"No. Ramo",8,"IPP","P","PP",1,"UR","C00")+GETPIVOTDATA("Recorte SHCP ",#REF!,"No. Ramo",8,"IPP","R","PP",3,"UR","C00")</f>
        <v>#REF!</v>
      </c>
      <c r="N373" s="69" t="e">
        <f>+GETPIVOTDATA("PEF 2010 ",#REF!,"No. Ramo",8,"IPP","K","PP",27,"UR","C00")+GETPIVOTDATA("PEF 2010 ",#REF!,"No. Ramo",8,"IPP","M","PP",1,"UR","C00")+GETPIVOTDATA("PEF 2010 ",#REF!,"No. Ramo",8,"IPP","O","PP",99,"UR","C00")+GETPIVOTDATA("PEF 2010 ",#REF!,"No. Ramo",8,"IPP","P","PP",1,"UR","C00")+GETPIVOTDATA("PEF 2010 ",#REF!,"No. Ramo",8,"IPP","R","PP",3,"UR","C00")</f>
        <v>#REF!</v>
      </c>
      <c r="O373" s="69" t="e">
        <f>+GETPIVOTDATA("PPEF 2011 ",#REF!,"No. Ramo",8,"IPP","K","PP",27,"UR","C00")+GETPIVOTDATA("PPEF 2011 ",#REF!,"No. Ramo",8,"IPP","M","PP",1,"UR","C00")+GETPIVOTDATA("PPEF 2011 ",#REF!,"No. Ramo",8,"IPP","O","PP",99,"UR","C00")+GETPIVOTDATA("PPEF 2011 ",#REF!,"No. Ramo",8,"IPP","P","PP",1,"UR","C00")+GETPIVOTDATA("PPEF 2011 ",#REF!,"No. Ramo",8,"IPP","R","PP",3,"UR","C00")</f>
        <v>#REF!</v>
      </c>
      <c r="P373" s="69" t="e">
        <f>+GETPIVOTDATA("Reducción ",#REF!,"No. Ramo",8,"IPP","K","PP",27,"UR","C00")+GETPIVOTDATA("Reducción ",#REF!,"No. Ramo",8,"IPP","M","PP",1,"UR","C00")+GETPIVOTDATA("Reducción ",#REF!,"No. Ramo",8,"IPP","O","PP",99,"UR","C00")+GETPIVOTDATA("Reducción ",#REF!,"No. Ramo",8,"IPP","P","PP",1,"UR","C00")+GETPIVOTDATA("Reducción ",#REF!,"No. Ramo",8,"IPP","R","PP",3,"UR","C00")</f>
        <v>#REF!</v>
      </c>
      <c r="Q373" s="69" t="e">
        <f>+GETPIVOTDATA("Ampliación ",#REF!,"No. Ramo",8,"IPP","K","PP",27,"UR","C00")+GETPIVOTDATA("Ampliación ",#REF!,"No. Ramo",8,"IPP","M","PP",1,"UR","C00")+GETPIVOTDATA("Ampliación ",#REF!,"No. Ramo",8,"IPP","O","PP",99,"UR","C00")+GETPIVOTDATA("Ampliación ",#REF!,"No. Ramo",8,"IPP","P","PP",1,"UR","C00")+GETPIVOTDATA("Ampliación ",#REF!,"No. Ramo",8,"IPP","R","PP",3,"UR","C00")</f>
        <v>#REF!</v>
      </c>
      <c r="R373" s="69" t="e">
        <f t="shared" si="100"/>
        <v>#REF!</v>
      </c>
      <c r="S373" s="69"/>
      <c r="T373" s="69"/>
      <c r="U373" s="69" t="e">
        <f t="shared" si="104"/>
        <v>#REF!</v>
      </c>
      <c r="V373" s="69" t="e">
        <f t="shared" si="104"/>
        <v>#REF!</v>
      </c>
      <c r="W373" s="69" t="e">
        <f t="shared" si="104"/>
        <v>#REF!</v>
      </c>
      <c r="X373" s="69" t="e">
        <f t="shared" si="104"/>
        <v>#REF!</v>
      </c>
      <c r="AH373" s="152"/>
      <c r="AI373" s="157" t="s">
        <v>784</v>
      </c>
      <c r="AJ373" s="158"/>
      <c r="AK373" s="158"/>
      <c r="AL373" s="150"/>
      <c r="AM373" s="150"/>
      <c r="AN373" s="150"/>
      <c r="AO373" s="151"/>
      <c r="AP373" s="146"/>
      <c r="AQ373" s="146"/>
      <c r="AR373" s="146"/>
      <c r="AS373" s="245"/>
      <c r="AT373" s="245"/>
      <c r="AU373" s="146"/>
      <c r="AX373" s="152"/>
      <c r="AY373" s="157" t="s">
        <v>784</v>
      </c>
      <c r="AZ373" s="158"/>
      <c r="BA373" s="158"/>
      <c r="BB373" s="189"/>
      <c r="BC373" s="189"/>
      <c r="BD373" s="189"/>
      <c r="BE373" s="190"/>
      <c r="BF373" s="187">
        <f t="shared" si="124"/>
        <v>0</v>
      </c>
    </row>
    <row r="374" spans="1:58">
      <c r="A374" s="122">
        <v>1</v>
      </c>
      <c r="B374" s="31"/>
      <c r="C374" s="30" t="s">
        <v>785</v>
      </c>
      <c r="D374" s="30"/>
      <c r="E374" s="30"/>
      <c r="F374" s="33" t="s">
        <v>858</v>
      </c>
      <c r="G374" s="33" t="s">
        <v>18</v>
      </c>
      <c r="H374" s="33"/>
      <c r="I374" s="67">
        <v>1</v>
      </c>
      <c r="J374" s="33"/>
      <c r="K374" s="69" t="e">
        <f>+GETPIVOTDATA("PPEF 2010 ",#REF!,"No. Ramo",8,"IPP","M","PP",1,"UR","F00")+GETPIVOTDATA("PPEF 2010 ",#REF!,"No. Ramo",8,"IPP","O","PP",1,"UR","F00")+GETPIVOTDATA("PPEF 2010 ",#REF!,"No. Ramo",8,"IPP","O","PP",99,"UR","F00")+GETPIVOTDATA("PPEF 2010 ",#REF!,"No. Ramo",8,"IPP","P","PP",1,"UR","F00")</f>
        <v>#REF!</v>
      </c>
      <c r="L374" s="69" t="e">
        <f>+GETPIVOTDATA("Ampliación Neta DIP ",#REF!,"No. Ramo",8,"IPP","M","PP",1,"UR","F00")+GETPIVOTDATA("Ampliación Neta DIP ",#REF!,"No. Ramo",8,"IPP","O","PP",1,"UR","F00")+GETPIVOTDATA("Ampliación Neta DIP ",#REF!,"No. Ramo",8,"IPP","O","PP",99,"UR","F00")+GETPIVOTDATA("Ampliación Neta DIP ",#REF!,"No. Ramo",8,"IPP","P","PP",1,"UR","F00")</f>
        <v>#REF!</v>
      </c>
      <c r="M374" s="69" t="e">
        <f>+GETPIVOTDATA("Recorte SHCP ",#REF!,"No. Ramo",8,"IPP","M","PP",1,"UR","F00")+GETPIVOTDATA("Recorte SHCP ",#REF!,"No. Ramo",8,"IPP","O","PP",1,"UR","F00")+GETPIVOTDATA("Recorte SHCP ",#REF!,"No. Ramo",8,"IPP","O","PP",99,"UR","F00")+GETPIVOTDATA("Recorte SHCP ",#REF!,"No. Ramo",8,"IPP","P","PP",1,"UR","F00")</f>
        <v>#REF!</v>
      </c>
      <c r="N374" s="69" t="e">
        <f>+GETPIVOTDATA("PEF 2010 ",#REF!,"No. Ramo",8,"IPP","M","PP",1,"UR","F00")+GETPIVOTDATA("PEF 2010 ",#REF!,"No. Ramo",8,"IPP","O","PP",1,"UR","F00")+GETPIVOTDATA("PEF 2010 ",#REF!,"No. Ramo",8,"IPP","O","PP",99,"UR","F00")+GETPIVOTDATA("PEF 2010 ",#REF!,"No. Ramo",8,"IPP","P","PP",1,"UR","F00")</f>
        <v>#REF!</v>
      </c>
      <c r="O374" s="69" t="e">
        <f>+GETPIVOTDATA("PPEF 2011 ",#REF!,"No. Ramo",8,"IPP","M","PP",1,"UR","F00")+GETPIVOTDATA("PPEF 2011 ",#REF!,"No. Ramo",8,"IPP","O","PP",1,"UR","F00")+GETPIVOTDATA("PPEF 2011 ",#REF!,"No. Ramo",8,"IPP","O","PP",99,"UR","F00")+GETPIVOTDATA("PPEF 2011 ",#REF!,"No. Ramo",8,"IPP","P","PP",1,"UR","F00")</f>
        <v>#REF!</v>
      </c>
      <c r="P374" s="69" t="e">
        <f>+GETPIVOTDATA("Reducción ",#REF!,"No. Ramo",8,"IPP","M","PP",1,"UR","F00")+GETPIVOTDATA("Reducción ",#REF!,"No. Ramo",8,"IPP","O","PP",1,"UR","F00")+GETPIVOTDATA("Reducción ",#REF!,"No. Ramo",8,"IPP","O","PP",99,"UR","F00")+GETPIVOTDATA("Reducción ",#REF!,"No. Ramo",8,"IPP","P","PP",1,"UR","F00")</f>
        <v>#REF!</v>
      </c>
      <c r="Q374" s="69" t="e">
        <f>+GETPIVOTDATA("Ampliación ",#REF!,"No. Ramo",8,"IPP","M","PP",1,"UR","F00")+GETPIVOTDATA("Ampliación ",#REF!,"No. Ramo",8,"IPP","O","PP",1,"UR","F00")+GETPIVOTDATA("Ampliación ",#REF!,"No. Ramo",8,"IPP","O","PP",99,"UR","F00")+GETPIVOTDATA("Ampliación ",#REF!,"No. Ramo",8,"IPP","P","PP",1,"UR","F00")</f>
        <v>#REF!</v>
      </c>
      <c r="R374" s="69" t="e">
        <f t="shared" si="100"/>
        <v>#REF!</v>
      </c>
      <c r="S374" s="69"/>
      <c r="T374" s="69"/>
      <c r="U374" s="69" t="e">
        <f t="shared" si="104"/>
        <v>#REF!</v>
      </c>
      <c r="V374" s="69" t="e">
        <f t="shared" si="104"/>
        <v>#REF!</v>
      </c>
      <c r="W374" s="69" t="e">
        <f t="shared" si="104"/>
        <v>#REF!</v>
      </c>
      <c r="X374" s="69" t="e">
        <f t="shared" si="104"/>
        <v>#REF!</v>
      </c>
      <c r="AH374" s="152"/>
      <c r="AI374" s="157" t="s">
        <v>785</v>
      </c>
      <c r="AJ374" s="158"/>
      <c r="AK374" s="158"/>
      <c r="AL374" s="150"/>
      <c r="AM374" s="150"/>
      <c r="AN374" s="150"/>
      <c r="AO374" s="151"/>
      <c r="AP374" s="146"/>
      <c r="AQ374" s="146"/>
      <c r="AR374" s="146"/>
      <c r="AS374" s="245"/>
      <c r="AT374" s="245"/>
      <c r="AU374" s="146"/>
      <c r="AX374" s="152"/>
      <c r="AY374" s="157" t="s">
        <v>785</v>
      </c>
      <c r="AZ374" s="158"/>
      <c r="BA374" s="158"/>
      <c r="BB374" s="189"/>
      <c r="BC374" s="189"/>
      <c r="BD374" s="189"/>
      <c r="BE374" s="190"/>
      <c r="BF374" s="187">
        <f t="shared" si="124"/>
        <v>0</v>
      </c>
    </row>
    <row r="375" spans="1:58">
      <c r="A375" s="122">
        <v>1</v>
      </c>
      <c r="B375" s="31"/>
      <c r="C375" s="30" t="s">
        <v>786</v>
      </c>
      <c r="D375" s="30"/>
      <c r="E375" s="30"/>
      <c r="F375" s="33" t="s">
        <v>860</v>
      </c>
      <c r="G375" s="33" t="s">
        <v>12</v>
      </c>
      <c r="H375" s="33"/>
      <c r="I375" s="67">
        <v>1</v>
      </c>
      <c r="J375" s="33"/>
      <c r="K375" s="69" t="e">
        <f>+GETPIVOTDATA("PPEF 2010 ",#REF!,"No. Ramo",8,"IPP","E","PP",11,"UR","I00")+GETPIVOTDATA("PPEF 2010 ",#REF!,"No. Ramo",8,"IPP","G","PP",1,"UR","I00")+GETPIVOTDATA("PPEF 2010 ",#REF!,"No. Ramo",8,"IPP","M","PP",1,"UR","I00")+GETPIVOTDATA("PPEF 2010 ",#REF!,"No. Ramo",8,"IPP","O","PP",1,"UR","I00")+GETPIVOTDATA("PPEF 2010 ",#REF!,"No. Ramo",8,"IPP","O","PP",99,"UR","I00")+GETPIVOTDATA("PPEF 2010 ",#REF!,"No. Ramo",8,"IPP","R","PP",3,"UR","I00")+GETPIVOTDATA("PPEF 2010 ",#REF!,"No. Ramo",8,"IPP","U","PP",13,"UR","I00")</f>
        <v>#REF!</v>
      </c>
      <c r="L375" s="69" t="e">
        <f>+GETPIVOTDATA("Ampliación Neta DIP ",#REF!,"No. Ramo",8,"IPP","E","PP",11,"UR","I00")+GETPIVOTDATA("Ampliación Neta DIP ",#REF!,"No. Ramo",8,"IPP","G","PP",1,"UR","I00")+GETPIVOTDATA("Ampliación Neta DIP ",#REF!,"No. Ramo",8,"IPP","M","PP",1,"UR","I00")+GETPIVOTDATA("Ampliación Neta DIP ",#REF!,"No. Ramo",8,"IPP","O","PP",1,"UR","I00")+GETPIVOTDATA("Ampliación Neta DIP ",#REF!,"No. Ramo",8,"IPP","O","PP",99,"UR","I00")+GETPIVOTDATA("Ampliación Neta DIP ",#REF!,"No. Ramo",8,"IPP","R","PP",3,"UR","I00")+GETPIVOTDATA("Ampliación Neta DIP ",#REF!,"No. Ramo",8,"IPP","U","PP",13,"UR","I00")</f>
        <v>#REF!</v>
      </c>
      <c r="M375" s="69" t="e">
        <f>+GETPIVOTDATA("Recorte SHCP ",#REF!,"No. Ramo",8,"IPP","E","PP",11,"UR","I00")+GETPIVOTDATA("Recorte SHCP ",#REF!,"No. Ramo",8,"IPP","G","PP",1,"UR","I00")+GETPIVOTDATA("Recorte SHCP ",#REF!,"No. Ramo",8,"IPP","M","PP",1,"UR","I00")+GETPIVOTDATA("Recorte SHCP ",#REF!,"No. Ramo",8,"IPP","O","PP",1,"UR","I00")+GETPIVOTDATA("Recorte SHCP ",#REF!,"No. Ramo",8,"IPP","O","PP",99,"UR","I00")+GETPIVOTDATA("Recorte SHCP ",#REF!,"No. Ramo",8,"IPP","R","PP",3,"UR","I00")+GETPIVOTDATA("Recorte SHCP ",#REF!,"No. Ramo",8,"IPP","U","PP",13,"UR","I00")</f>
        <v>#REF!</v>
      </c>
      <c r="N375" s="69" t="e">
        <f>+GETPIVOTDATA("PEF 2010 ",#REF!,"No. Ramo",8,"IPP","E","PP",11,"UR","I00")+GETPIVOTDATA("PEF 2010 ",#REF!,"No. Ramo",8,"IPP","G","PP",1,"UR","I00")+GETPIVOTDATA("PEF 2010 ",#REF!,"No. Ramo",8,"IPP","M","PP",1,"UR","I00")+GETPIVOTDATA("PEF 2010 ",#REF!,"No. Ramo",8,"IPP","O","PP",1,"UR","I00")+GETPIVOTDATA("PEF 2010 ",#REF!,"No. Ramo",8,"IPP","O","PP",99,"UR","I00")+GETPIVOTDATA("PEF 2010 ",#REF!,"No. Ramo",8,"IPP","R","PP",3,"UR","I00")+GETPIVOTDATA("PEF 2010 ",#REF!,"No. Ramo",8,"IPP","U","PP",13,"UR","I00")</f>
        <v>#REF!</v>
      </c>
      <c r="O375" s="69" t="e">
        <f>+GETPIVOTDATA("PPEF 2011 ",#REF!,"No. Ramo",8,"IPP","E","PP",11,"UR","I00")+GETPIVOTDATA("PPEF 2011 ",#REF!,"No. Ramo",8,"IPP","G","PP",1,"UR","I00")+GETPIVOTDATA("PPEF 2011 ",#REF!,"No. Ramo",8,"IPP","M","PP",1,"UR","I00")+GETPIVOTDATA("PPEF 2011 ",#REF!,"No. Ramo",8,"IPP","O","PP",1,"UR","I00")+GETPIVOTDATA("PPEF 2011 ",#REF!,"No. Ramo",8,"IPP","O","PP",99,"UR","I00")+GETPIVOTDATA("PPEF 2011 ",#REF!,"No. Ramo",8,"IPP","R","PP",3,"UR","I00")+GETPIVOTDATA("PPEF 2011 ",#REF!,"No. Ramo",8,"IPP","U","PP",13,"UR","I00")</f>
        <v>#REF!</v>
      </c>
      <c r="P375" s="69" t="e">
        <f>+GETPIVOTDATA("Reducción ",#REF!,"No. Ramo",8,"IPP","E","PP",11,"UR","I00")+GETPIVOTDATA("Reducción ",#REF!,"No. Ramo",8,"IPP","G","PP",1,"UR","I00")+GETPIVOTDATA("Reducción ",#REF!,"No. Ramo",8,"IPP","M","PP",1,"UR","I00")+GETPIVOTDATA("Reducción ",#REF!,"No. Ramo",8,"IPP","O","PP",1,"UR","I00")+GETPIVOTDATA("Reducción ",#REF!,"No. Ramo",8,"IPP","O","PP",99,"UR","I00")+GETPIVOTDATA("Reducción ",#REF!,"No. Ramo",8,"IPP","R","PP",3,"UR","I00")+GETPIVOTDATA("Reducción ",#REF!,"No. Ramo",8,"IPP","U","PP",13,"UR","I00")</f>
        <v>#REF!</v>
      </c>
      <c r="Q375" s="69" t="e">
        <f>+GETPIVOTDATA("Ampliación ",#REF!,"No. Ramo",8,"IPP","E","PP",11,"UR","I00")+GETPIVOTDATA("Ampliación ",#REF!,"No. Ramo",8,"IPP","G","PP",1,"UR","I00")+GETPIVOTDATA("Ampliación ",#REF!,"No. Ramo",8,"IPP","M","PP",1,"UR","I00")+GETPIVOTDATA("Ampliación ",#REF!,"No. Ramo",8,"IPP","O","PP",1,"UR","I00")+GETPIVOTDATA("Ampliación ",#REF!,"No. Ramo",8,"IPP","O","PP",99,"UR","I00")+GETPIVOTDATA("Ampliación ",#REF!,"No. Ramo",8,"IPP","R","PP",3,"UR","I00")+GETPIVOTDATA("Ampliación ",#REF!,"No. Ramo",8,"IPP","U","PP",13,"UR","I00")</f>
        <v>#REF!</v>
      </c>
      <c r="R375" s="69" t="e">
        <f t="shared" si="100"/>
        <v>#REF!</v>
      </c>
      <c r="S375" s="69"/>
      <c r="T375" s="69"/>
      <c r="U375" s="69" t="e">
        <f t="shared" si="104"/>
        <v>#REF!</v>
      </c>
      <c r="V375" s="69" t="e">
        <f t="shared" si="104"/>
        <v>#REF!</v>
      </c>
      <c r="W375" s="69" t="e">
        <f t="shared" si="104"/>
        <v>#REF!</v>
      </c>
      <c r="X375" s="69" t="e">
        <f t="shared" si="104"/>
        <v>#REF!</v>
      </c>
      <c r="AH375" s="152"/>
      <c r="AI375" s="157" t="s">
        <v>786</v>
      </c>
      <c r="AJ375" s="158"/>
      <c r="AK375" s="158"/>
      <c r="AL375" s="150"/>
      <c r="AM375" s="150"/>
      <c r="AN375" s="150"/>
      <c r="AO375" s="151"/>
      <c r="AP375" s="146"/>
      <c r="AQ375" s="146"/>
      <c r="AR375" s="146"/>
      <c r="AS375" s="245"/>
      <c r="AT375" s="245"/>
      <c r="AU375" s="146"/>
      <c r="AX375" s="152"/>
      <c r="AY375" s="157" t="s">
        <v>786</v>
      </c>
      <c r="AZ375" s="158"/>
      <c r="BA375" s="158"/>
      <c r="BB375" s="189"/>
      <c r="BC375" s="189"/>
      <c r="BD375" s="189"/>
      <c r="BE375" s="190"/>
      <c r="BF375" s="187">
        <f t="shared" si="124"/>
        <v>0</v>
      </c>
    </row>
    <row r="376" spans="1:58">
      <c r="A376" s="122">
        <v>1</v>
      </c>
      <c r="B376" s="31"/>
      <c r="C376" s="30" t="s">
        <v>787</v>
      </c>
      <c r="D376" s="30"/>
      <c r="E376" s="30"/>
      <c r="F376" s="33" t="s">
        <v>857</v>
      </c>
      <c r="G376" s="33" t="s">
        <v>129</v>
      </c>
      <c r="H376" s="33"/>
      <c r="I376" s="67">
        <v>1</v>
      </c>
      <c r="J376" s="33"/>
      <c r="K376" s="69" t="e">
        <f>+GETPIVOTDATA("PPEF 2010 ",#REF!,"No. Ramo",8,"IPP","M","PP",1,"UR","AFU")+GETPIVOTDATA("PPEF 2010 ",#REF!,"No. Ramo",8,"IPP","P","PP",1,"UR","AFU")</f>
        <v>#REF!</v>
      </c>
      <c r="L376" s="69" t="e">
        <f>+GETPIVOTDATA("Ampliación Neta DIP ",#REF!,"No. Ramo",8,"IPP","M","PP",1,"UR","AFU")+GETPIVOTDATA("Ampliación Neta DIP ",#REF!,"No. Ramo",8,"IPP","P","PP",1,"UR","AFU")</f>
        <v>#REF!</v>
      </c>
      <c r="M376" s="69" t="e">
        <f>+GETPIVOTDATA("Recorte SHCP ",#REF!,"No. Ramo",8,"IPP","M","PP",1,"UR","AFU")+GETPIVOTDATA("Recorte SHCP ",#REF!,"No. Ramo",8,"IPP","P","PP",1,"UR","AFU")</f>
        <v>#REF!</v>
      </c>
      <c r="N376" s="69" t="e">
        <f>+GETPIVOTDATA("PEF 2010 ",#REF!,"No. Ramo",8,"IPP","M","PP",1,"UR","AFU")+GETPIVOTDATA("PEF 2010 ",#REF!,"No. Ramo",8,"IPP","P","PP",1,"UR","AFU")</f>
        <v>#REF!</v>
      </c>
      <c r="O376" s="69" t="e">
        <f>+GETPIVOTDATA("PPEF 2011 ",#REF!,"No. Ramo",8,"IPP","M","PP",1,"UR","AFU")+GETPIVOTDATA("PPEF 2011 ",#REF!,"No. Ramo",8,"IPP","P","PP",1,"UR","AFU")</f>
        <v>#REF!</v>
      </c>
      <c r="P376" s="69" t="e">
        <f>+GETPIVOTDATA("Reducción ",#REF!,"No. Ramo",8,"IPP","M","PP",1,"UR","AFU")+GETPIVOTDATA("Reducción ",#REF!,"No. Ramo",8,"IPP","P","PP",1,"UR","AFU")</f>
        <v>#REF!</v>
      </c>
      <c r="Q376" s="69" t="e">
        <f>+GETPIVOTDATA("Ampliación ",#REF!,"No. Ramo",8,"IPP","M","PP",1,"UR","AFU")+GETPIVOTDATA("Ampliación ",#REF!,"No. Ramo",8,"IPP","P","PP",1,"UR","AFU")</f>
        <v>#REF!</v>
      </c>
      <c r="R376" s="69" t="e">
        <f t="shared" si="100"/>
        <v>#REF!</v>
      </c>
      <c r="S376" s="69"/>
      <c r="T376" s="69"/>
      <c r="U376" s="69" t="e">
        <f t="shared" si="104"/>
        <v>#REF!</v>
      </c>
      <c r="V376" s="69" t="e">
        <f t="shared" si="104"/>
        <v>#REF!</v>
      </c>
      <c r="W376" s="69" t="e">
        <f t="shared" si="104"/>
        <v>#REF!</v>
      </c>
      <c r="X376" s="69" t="e">
        <f t="shared" si="104"/>
        <v>#REF!</v>
      </c>
      <c r="AH376" s="152"/>
      <c r="AI376" s="157" t="s">
        <v>1367</v>
      </c>
      <c r="AJ376" s="158"/>
      <c r="AK376" s="158"/>
      <c r="AL376" s="150"/>
      <c r="AM376" s="150"/>
      <c r="AN376" s="150"/>
      <c r="AO376" s="151"/>
      <c r="AP376" s="146"/>
      <c r="AQ376" s="146"/>
      <c r="AR376" s="146"/>
      <c r="AS376" s="245"/>
      <c r="AT376" s="245"/>
      <c r="AU376" s="146"/>
      <c r="AX376" s="152"/>
      <c r="AY376" s="157" t="s">
        <v>1367</v>
      </c>
      <c r="AZ376" s="158"/>
      <c r="BA376" s="158"/>
      <c r="BB376" s="189"/>
      <c r="BC376" s="189"/>
      <c r="BD376" s="189"/>
      <c r="BE376" s="190"/>
      <c r="BF376" s="187">
        <f t="shared" si="124"/>
        <v>0</v>
      </c>
    </row>
    <row r="377" spans="1:58">
      <c r="B377" s="28" t="s">
        <v>776</v>
      </c>
      <c r="C377" s="29" t="s">
        <v>682</v>
      </c>
      <c r="D377" s="29"/>
      <c r="E377" s="29"/>
      <c r="F377" s="28"/>
      <c r="G377" s="28"/>
      <c r="H377" s="28"/>
      <c r="I377" s="65"/>
      <c r="J377" s="28"/>
      <c r="K377" s="66" t="e">
        <f t="shared" ref="K377:Q377" si="125">+SUM(K378:K380)</f>
        <v>#REF!</v>
      </c>
      <c r="L377" s="66" t="e">
        <f t="shared" si="125"/>
        <v>#REF!</v>
      </c>
      <c r="M377" s="66" t="e">
        <f t="shared" si="125"/>
        <v>#REF!</v>
      </c>
      <c r="N377" s="66" t="e">
        <f t="shared" si="125"/>
        <v>#REF!</v>
      </c>
      <c r="O377" s="66" t="e">
        <f t="shared" si="125"/>
        <v>#REF!</v>
      </c>
      <c r="P377" s="66" t="e">
        <f t="shared" si="125"/>
        <v>#REF!</v>
      </c>
      <c r="Q377" s="66" t="e">
        <f t="shared" si="125"/>
        <v>#REF!</v>
      </c>
      <c r="R377" s="66" t="e">
        <f t="shared" si="100"/>
        <v>#REF!</v>
      </c>
      <c r="S377" s="66"/>
      <c r="T377" s="66"/>
      <c r="U377" s="66" t="e">
        <f>+SUM(U378:U380)</f>
        <v>#REF!</v>
      </c>
      <c r="V377" s="66" t="e">
        <f>+SUM(V378:V380)</f>
        <v>#REF!</v>
      </c>
      <c r="W377" s="66" t="e">
        <f>+SUM(W378:W380)</f>
        <v>#REF!</v>
      </c>
      <c r="X377" s="66" t="e">
        <f>+SUM(X378:X380)</f>
        <v>#REF!</v>
      </c>
      <c r="AH377" s="147" t="s">
        <v>776</v>
      </c>
      <c r="AI377" s="148" t="s">
        <v>682</v>
      </c>
      <c r="AJ377" s="160"/>
      <c r="AK377" s="160"/>
      <c r="AL377" s="150"/>
      <c r="AM377" s="150"/>
      <c r="AN377" s="150"/>
      <c r="AO377" s="151"/>
      <c r="AP377" s="146">
        <f>AP378+AP379+AP380</f>
        <v>0</v>
      </c>
      <c r="AQ377" s="146">
        <f>AQ378+AQ379+AQ380</f>
        <v>0</v>
      </c>
      <c r="AR377" s="146">
        <f>AR378+AR379+AR380</f>
        <v>0</v>
      </c>
      <c r="AS377" s="245"/>
      <c r="AT377" s="245"/>
      <c r="AU377" s="146">
        <f>AU378+AU379+AU380</f>
        <v>0</v>
      </c>
      <c r="AX377" s="147" t="s">
        <v>776</v>
      </c>
      <c r="AY377" s="148" t="s">
        <v>682</v>
      </c>
      <c r="AZ377" s="160"/>
      <c r="BA377" s="160"/>
      <c r="BB377" s="189"/>
      <c r="BC377" s="189"/>
      <c r="BD377" s="189"/>
      <c r="BE377" s="190"/>
      <c r="BF377" s="187">
        <f>BF378+BF379+BF380</f>
        <v>0</v>
      </c>
    </row>
    <row r="378" spans="1:58">
      <c r="B378" s="31"/>
      <c r="C378" s="30" t="s">
        <v>777</v>
      </c>
      <c r="D378" s="30"/>
      <c r="E378" s="30"/>
      <c r="F378" s="33" t="s">
        <v>861</v>
      </c>
      <c r="G378" s="33" t="s">
        <v>862</v>
      </c>
      <c r="H378" s="33"/>
      <c r="I378" s="67">
        <v>1</v>
      </c>
      <c r="J378" s="33"/>
      <c r="K378" s="69" t="e">
        <f>+GETPIVOTDATA("PPEF 2010 ",#REF!,"No. Ramo",15,"IPP","E","PP",3,"UR",210)+GETPIVOTDATA("PPEF 2010 ",#REF!,"No. Ramo",15,"IPP","E","PP",3,"UR",212)+GETPIVOTDATA("PPEF 2010 ",#REF!,"No. Ramo",15,"IPP","M","PP",1,"UR",400)+GETPIVOTDATA("PPEF 2010 ",#REF!,"No. Ramo",15,"IPP","M","PP",1,"UR",410)+GETPIVOTDATA("PPEF 2010 ",#REF!,"No. Ramo",15,"IPP","M","PP",1,"UR",411)+GETPIVOTDATA("PPEF 2010 ",#REF!,"No. Ramo",15,"IPP","O","PP",1,"UR",112)+GETPIVOTDATA("PPEF 2010 ",#REF!,"No. Ramo",15,"IPP","O","PP",99,"UR",400)+GETPIVOTDATA("PPEF 2010 ",#REF!,"No. Ramo",15,"IPP","P","PP",1)-GETPIVOTDATA("PPEF 2010 ",#REF!,"No. Ramo",15,"IPP","P","PP",1,"UR","B00")+GETPIVOTDATA("PPEF 2010 ",#REF!,"No. Ramo",15,"IPP","G","PP",1,"UR",110)*0.199015217451886</f>
        <v>#REF!</v>
      </c>
      <c r="L378" s="69" t="e">
        <f>+GETPIVOTDATA("Ampliación Neta DIP ",#REF!,"No. Ramo",15,"IPP","E","PP",3,"UR",210)+GETPIVOTDATA("Ampliación Neta DIP ",#REF!,"No. Ramo",15,"IPP","E","PP",3,"UR",212)+GETPIVOTDATA("Ampliación Neta DIP ",#REF!,"No. Ramo",15,"IPP","M","PP",1,"UR",400)+GETPIVOTDATA("Ampliación Neta DIP ",#REF!,"No. Ramo",15,"IPP","M","PP",1,"UR",410)+GETPIVOTDATA("Ampliación Neta DIP ",#REF!,"No. Ramo",15,"IPP","M","PP",1,"UR",411)+GETPIVOTDATA("Ampliación Neta DIP ",#REF!,"No. Ramo",15,"IPP","O","PP",1,"UR",112)+GETPIVOTDATA("Ampliación Neta DIP ",#REF!,"No. Ramo",15,"IPP","O","PP",99,"UR",400)+GETPIVOTDATA("Ampliación Neta DIP ",#REF!,"No. Ramo",15,"IPP","P","PP",1)-GETPIVOTDATA("Ampliación Neta DIP ",#REF!,"No. Ramo",15,"IPP","P","PP",1,"UR","B00")+GETPIVOTDATA("Ampliación Neta DIP ",#REF!,"No. Ramo",15,"IPP","G","PP",1,"UR",110)*0.199015217451886</f>
        <v>#REF!</v>
      </c>
      <c r="M378" s="69" t="e">
        <f>+GETPIVOTDATA("Recorte SHCP ",#REF!,"No. Ramo",15,"IPP","E","PP",3,"UR",210)+GETPIVOTDATA("Recorte SHCP ",#REF!,"No. Ramo",15,"IPP","E","PP",3,"UR",212)+GETPIVOTDATA("Recorte SHCP ",#REF!,"No. Ramo",15,"IPP","M","PP",1,"UR",400)+GETPIVOTDATA("Recorte SHCP ",#REF!,"No. Ramo",15,"IPP","M","PP",1,"UR",410)+GETPIVOTDATA("Recorte SHCP ",#REF!,"No. Ramo",15,"IPP","M","PP",1,"UR",411)+GETPIVOTDATA("Recorte SHCP ",#REF!,"No. Ramo",15,"IPP","O","PP",1,"UR",112)+GETPIVOTDATA("Recorte SHCP ",#REF!,"No. Ramo",15,"IPP","O","PP",99,"UR",400)+GETPIVOTDATA("Recorte SHCP ",#REF!,"No. Ramo",15,"IPP","P","PP",1)-GETPIVOTDATA("Recorte SHCP ",#REF!,"No. Ramo",15,"IPP","P","PP",1,"UR","B00")+GETPIVOTDATA("Recorte SHCP ",#REF!,"No. Ramo",15,"IPP","G","PP",1,"UR",110)*0.199015217451886</f>
        <v>#REF!</v>
      </c>
      <c r="N378" s="69" t="e">
        <f>+GETPIVOTDATA("PEF 2010 ",#REF!,"No. Ramo",15,"IPP","E","PP",3,"UR",210)+GETPIVOTDATA("PEF 2010 ",#REF!,"No. Ramo",15,"IPP","E","PP",3,"UR",212)+GETPIVOTDATA("PEF 2010 ",#REF!,"No. Ramo",15,"IPP","M","PP",1,"UR",400)+GETPIVOTDATA("PEF 2010 ",#REF!,"No. Ramo",15,"IPP","M","PP",1,"UR",410)+GETPIVOTDATA("PEF 2010 ",#REF!,"No. Ramo",15,"IPP","M","PP",1,"UR",411)+GETPIVOTDATA("PEF 2010 ",#REF!,"No. Ramo",15,"IPP","O","PP",1,"UR",112)+GETPIVOTDATA("PEF 2010 ",#REF!,"No. Ramo",15,"IPP","O","PP",99,"UR",400)+GETPIVOTDATA("PEF 2010 ",#REF!,"No. Ramo",15,"IPP","P","PP",1)-GETPIVOTDATA("PEF 2010 ",#REF!,"No. Ramo",15,"IPP","P","PP",1,"UR","B00")+GETPIVOTDATA("PEF 2010 ",#REF!,"No. Ramo",15,"IPP","G","PP",1,"UR",110)*0.199015217451886</f>
        <v>#REF!</v>
      </c>
      <c r="O378" s="69" t="e">
        <f>+GETPIVOTDATA("PPEF 2011 ",#REF!,"No. Ramo",15,"IPP","E","PP",3,"UR",210)+GETPIVOTDATA("PPEF 2011 ",#REF!,"No. Ramo",15,"IPP","E","PP",3,"UR",212)+GETPIVOTDATA("PPEF 2011 ",#REF!,"No. Ramo",15,"IPP","M","PP",1,"UR",400)+GETPIVOTDATA("PPEF 2011 ",#REF!,"No. Ramo",15,"IPP","M","PP",1,"UR",410)+GETPIVOTDATA("PPEF 2011 ",#REF!,"No. Ramo",15,"IPP","M","PP",1,"UR",411)+GETPIVOTDATA("PPEF 2011 ",#REF!,"No. Ramo",15,"IPP","O","PP",1,"UR",112)+GETPIVOTDATA("PPEF 2011 ",#REF!,"No. Ramo",15,"IPP","O","PP",99,"UR",400)+GETPIVOTDATA("PPEF 2011 ",#REF!,"No. Ramo",15,"IPP","P","PP",1)-GETPIVOTDATA("PPEF 2011 ",#REF!,"No. Ramo",15,"IPP","P","PP",1,"UR","B00")+GETPIVOTDATA("PPEF 2011 ",#REF!,"No. Ramo",15,"IPP","G","PP",1,"UR",110)*0.199015217451886</f>
        <v>#REF!</v>
      </c>
      <c r="P378" s="69" t="e">
        <f>+GETPIVOTDATA("Reducción ",#REF!,"No. Ramo",15,"IPP","E","PP",3,"UR",210)+GETPIVOTDATA("Reducción ",#REF!,"No. Ramo",15,"IPP","E","PP",3,"UR",212)+GETPIVOTDATA("Reducción ",#REF!,"No. Ramo",15,"IPP","M","PP",1,"UR",400)+GETPIVOTDATA("Reducción ",#REF!,"No. Ramo",15,"IPP","M","PP",1,"UR",410)+GETPIVOTDATA("Reducción ",#REF!,"No. Ramo",15,"IPP","M","PP",1,"UR",411)+GETPIVOTDATA("Reducción ",#REF!,"No. Ramo",15,"IPP","O","PP",1,"UR",112)+GETPIVOTDATA("Reducción ",#REF!,"No. Ramo",15,"IPP","O","PP",99,"UR",400)+GETPIVOTDATA("Reducción ",#REF!,"No. Ramo",15,"IPP","P","PP",1)-GETPIVOTDATA("Reducción ",#REF!,"No. Ramo",15,"IPP","P","PP",1,"UR","B00")+GETPIVOTDATA("Reducción ",#REF!,"No. Ramo",15,"IPP","G","PP",1,"UR",110)*0.199015217451886</f>
        <v>#REF!</v>
      </c>
      <c r="Q378" s="69" t="e">
        <f>+GETPIVOTDATA("Ampliación ",#REF!,"No. Ramo",15,"IPP","E","PP",3,"UR",210)+GETPIVOTDATA("Ampliación ",#REF!,"No. Ramo",15,"IPP","E","PP",3,"UR",212)+GETPIVOTDATA("Ampliación ",#REF!,"No. Ramo",15,"IPP","M","PP",1,"UR",400)+GETPIVOTDATA("Ampliación ",#REF!,"No. Ramo",15,"IPP","M","PP",1,"UR",410)+GETPIVOTDATA("Ampliación ",#REF!,"No. Ramo",15,"IPP","M","PP",1,"UR",411)+GETPIVOTDATA("Ampliación ",#REF!,"No. Ramo",15,"IPP","O","PP",1,"UR",112)+GETPIVOTDATA("Ampliación ",#REF!,"No. Ramo",15,"IPP","O","PP",99,"UR",400)+GETPIVOTDATA("Ampliación ",#REF!,"No. Ramo",15,"IPP","P","PP",1)-GETPIVOTDATA("Ampliación ",#REF!,"No. Ramo",15,"IPP","P","PP",1,"UR","B00")+GETPIVOTDATA("Ampliación ",#REF!,"No. Ramo",15,"IPP","G","PP",1,"UR",110)*0.199015217451886</f>
        <v>#REF!</v>
      </c>
      <c r="R378" s="69" t="e">
        <f t="shared" si="100"/>
        <v>#REF!</v>
      </c>
      <c r="S378" s="69"/>
      <c r="T378" s="69"/>
      <c r="U378" s="69" t="e">
        <f t="shared" si="104"/>
        <v>#REF!</v>
      </c>
      <c r="V378" s="69" t="e">
        <f t="shared" si="104"/>
        <v>#REF!</v>
      </c>
      <c r="W378" s="69" t="e">
        <f t="shared" si="104"/>
        <v>#REF!</v>
      </c>
      <c r="X378" s="79" t="e">
        <f t="shared" si="104"/>
        <v>#REF!</v>
      </c>
      <c r="AH378" s="174"/>
      <c r="AI378" s="157" t="s">
        <v>777</v>
      </c>
      <c r="AJ378" s="158"/>
      <c r="AK378" s="158"/>
      <c r="AL378" s="150"/>
      <c r="AM378" s="150"/>
      <c r="AN378" s="150"/>
      <c r="AO378" s="151"/>
      <c r="AP378" s="146"/>
      <c r="AQ378" s="146"/>
      <c r="AR378" s="146"/>
      <c r="AS378" s="245"/>
      <c r="AT378" s="245"/>
      <c r="AU378" s="146"/>
      <c r="AX378" s="174"/>
      <c r="AY378" s="157" t="s">
        <v>777</v>
      </c>
      <c r="AZ378" s="158"/>
      <c r="BA378" s="158"/>
      <c r="BB378" s="189"/>
      <c r="BC378" s="189"/>
      <c r="BD378" s="189"/>
      <c r="BE378" s="190"/>
      <c r="BF378" s="187">
        <f>+AU378</f>
        <v>0</v>
      </c>
    </row>
    <row r="379" spans="1:58">
      <c r="B379" s="31"/>
      <c r="C379" s="30" t="s">
        <v>277</v>
      </c>
      <c r="D379" s="30"/>
      <c r="E379" s="30"/>
      <c r="F379" s="33" t="s">
        <v>863</v>
      </c>
      <c r="G379" s="33" t="s">
        <v>276</v>
      </c>
      <c r="H379" s="33"/>
      <c r="I379" s="67">
        <v>1</v>
      </c>
      <c r="J379" s="33"/>
      <c r="K379" s="69" t="e">
        <f>+GETPIVOTDATA("PPEF 2010 ",#REF!,"No. Ramo",15,"IPP","E","PP",1,"UR","QEZ")+GETPIVOTDATA("PPEF 2010 ",#REF!,"No. Ramo",15,"IPP","E","PP",3,"UR","QEZ")+GETPIVOTDATA("PPEF 2010 ",#REF!,"No. Ramo",15,"IPP","E","PP",7,"UR","QEU")+GETPIVOTDATA("PPEF 2010 ",#REF!,"No. Ramo",15,"IPP","F","PP",2,"UR","QEZ")+GETPIVOTDATA("PPEF 2010 ",#REF!,"No. Ramo",15,"IPP","F","PP",1,"UR","QEZ")+GETPIVOTDATA("PPEF 2010 ",#REF!,"No. Ramo",15,"IPP","M","PP",1,"UR","QEZ")+GETPIVOTDATA("PPEF 2010 ",#REF!,"No. Ramo",15,"IPP","O","PP",1,"UR","QEZ")</f>
        <v>#REF!</v>
      </c>
      <c r="L379" s="69" t="e">
        <f>+GETPIVOTDATA("Ampliación Neta DIP ",#REF!,"No. Ramo",15,"IPP","E","PP",1,"UR","QEZ")+GETPIVOTDATA("Ampliación Neta DIP ",#REF!,"No. Ramo",15,"IPP","E","PP",3,"UR","QEZ")+GETPIVOTDATA("Ampliación Neta DIP ",#REF!,"No. Ramo",15,"IPP","E","PP",7,"UR","QEU")+GETPIVOTDATA("Ampliación Neta DIP ",#REF!,"No. Ramo",15,"IPP","F","PP",2,"UR","QEZ")+GETPIVOTDATA("Ampliación Neta DIP ",#REF!,"No. Ramo",15,"IPP","F","PP",1,"UR","QEZ")+GETPIVOTDATA("Ampliación Neta DIP ",#REF!,"No. Ramo",15,"IPP","M","PP",1,"UR","QEZ")+GETPIVOTDATA("Ampliación Neta DIP ",#REF!,"No. Ramo",15,"IPP","O","PP",1,"UR","QEZ")</f>
        <v>#REF!</v>
      </c>
      <c r="M379" s="69" t="e">
        <f>+GETPIVOTDATA("Recorte SHCP ",#REF!,"No. Ramo",15,"IPP","E","PP",1,"UR","QEZ")+GETPIVOTDATA("Recorte SHCP ",#REF!,"No. Ramo",15,"IPP","E","PP",3,"UR","QEZ")+GETPIVOTDATA("Recorte SHCP ",#REF!,"No. Ramo",15,"IPP","E","PP",7,"UR","QEU")+GETPIVOTDATA("Recorte SHCP ",#REF!,"No. Ramo",15,"IPP","F","PP",2,"UR","QEZ")+GETPIVOTDATA("Recorte SHCP ",#REF!,"No. Ramo",15,"IPP","F","PP",1,"UR","QEZ")+GETPIVOTDATA("Recorte SHCP ",#REF!,"No. Ramo",15,"IPP","M","PP",1,"UR","QEZ")+GETPIVOTDATA("Recorte SHCP ",#REF!,"No. Ramo",15,"IPP","O","PP",1,"UR","QEZ")</f>
        <v>#REF!</v>
      </c>
      <c r="N379" s="69" t="e">
        <f>+GETPIVOTDATA("PEF 2010 ",#REF!,"No. Ramo",15,"IPP","E","PP",1,"UR","QEZ")+GETPIVOTDATA("PEF 2010 ",#REF!,"No. Ramo",15,"IPP","E","PP",3,"UR","QEZ")+GETPIVOTDATA("PEF 2010 ",#REF!,"No. Ramo",15,"IPP","E","PP",7,"UR","QEU")+GETPIVOTDATA("PEF 2010 ",#REF!,"No. Ramo",15,"IPP","F","PP",2,"UR","QEZ")+GETPIVOTDATA("PEF 2010 ",#REF!,"No. Ramo",15,"IPP","F","PP",1,"UR","QEZ")+GETPIVOTDATA("PEF 2010 ",#REF!,"No. Ramo",15,"IPP","M","PP",1,"UR","QEZ")+GETPIVOTDATA("PEF 2010 ",#REF!,"No. Ramo",15,"IPP","O","PP",1,"UR","QEZ")</f>
        <v>#REF!</v>
      </c>
      <c r="O379" s="69" t="e">
        <f>+GETPIVOTDATA("PPEF 2011 ",#REF!,"No. Ramo",15,"IPP","E","PP",1,"UR","QEZ")+GETPIVOTDATA("PPEF 2011 ",#REF!,"No. Ramo",15,"IPP","E","PP",3,"UR","QEZ")+GETPIVOTDATA("PPEF 2011 ",#REF!,"No. Ramo",15,"IPP","E","PP",7,"UR","QEU")+GETPIVOTDATA("PPEF 2011 ",#REF!,"No. Ramo",15,"IPP","F","PP",2,"UR","QEZ")+GETPIVOTDATA("PPEF 2011 ",#REF!,"No. Ramo",15,"IPP","F","PP",1,"UR","QEZ")+GETPIVOTDATA("PPEF 2011 ",#REF!,"No. Ramo",15,"IPP","M","PP",1,"UR","QEZ")+GETPIVOTDATA("PPEF 2011 ",#REF!,"No. Ramo",15,"IPP","O","PP",1,"UR","QEZ")</f>
        <v>#REF!</v>
      </c>
      <c r="P379" s="69" t="e">
        <f>+GETPIVOTDATA("Reducción ",#REF!,"No. Ramo",15,"IPP","E","PP",1,"UR","QEZ")+GETPIVOTDATA("Reducción ",#REF!,"No. Ramo",15,"IPP","E","PP",3,"UR","QEZ")+GETPIVOTDATA("Reducción ",#REF!,"No. Ramo",15,"IPP","E","PP",7,"UR","QEU")+GETPIVOTDATA("Reducción ",#REF!,"No. Ramo",15,"IPP","F","PP",2,"UR","QEZ")+GETPIVOTDATA("Reducción ",#REF!,"No. Ramo",15,"IPP","F","PP",1,"UR","QEZ")+GETPIVOTDATA("Reducción ",#REF!,"No. Ramo",15,"IPP","M","PP",1,"UR","QEZ")+GETPIVOTDATA("Reducción ",#REF!,"No. Ramo",15,"IPP","O","PP",1,"UR","QEZ")</f>
        <v>#REF!</v>
      </c>
      <c r="Q379" s="69" t="e">
        <f>+GETPIVOTDATA("Ampliación ",#REF!,"No. Ramo",15,"IPP","E","PP",1,"UR","QEZ")+GETPIVOTDATA("Ampliación ",#REF!,"No. Ramo",15,"IPP","E","PP",3,"UR","QEZ")+GETPIVOTDATA("Ampliación ",#REF!,"No. Ramo",15,"IPP","E","PP",7,"UR","QEU")+GETPIVOTDATA("Ampliación ",#REF!,"No. Ramo",15,"IPP","F","PP",2,"UR","QEZ")+GETPIVOTDATA("Ampliación ",#REF!,"No. Ramo",15,"IPP","F","PP",1,"UR","QEZ")+GETPIVOTDATA("Ampliación ",#REF!,"No. Ramo",15,"IPP","M","PP",1,"UR","QEZ")+GETPIVOTDATA("Ampliación ",#REF!,"No. Ramo",15,"IPP","O","PP",1,"UR","QEZ")</f>
        <v>#REF!</v>
      </c>
      <c r="R379" s="69" t="e">
        <f t="shared" si="100"/>
        <v>#REF!</v>
      </c>
      <c r="S379" s="69"/>
      <c r="T379" s="69"/>
      <c r="U379" s="69" t="e">
        <f t="shared" si="104"/>
        <v>#REF!</v>
      </c>
      <c r="V379" s="69" t="e">
        <f t="shared" si="104"/>
        <v>#REF!</v>
      </c>
      <c r="W379" s="69" t="e">
        <f t="shared" si="104"/>
        <v>#REF!</v>
      </c>
      <c r="X379" s="69" t="e">
        <f t="shared" si="104"/>
        <v>#REF!</v>
      </c>
      <c r="AH379" s="174"/>
      <c r="AI379" s="157" t="s">
        <v>277</v>
      </c>
      <c r="AJ379" s="158"/>
      <c r="AK379" s="158"/>
      <c r="AL379" s="150"/>
      <c r="AM379" s="150"/>
      <c r="AN379" s="150"/>
      <c r="AO379" s="151"/>
      <c r="AP379" s="146"/>
      <c r="AQ379" s="146"/>
      <c r="AR379" s="146"/>
      <c r="AS379" s="245"/>
      <c r="AT379" s="245"/>
      <c r="AU379" s="146"/>
      <c r="AX379" s="174"/>
      <c r="AY379" s="157" t="s">
        <v>277</v>
      </c>
      <c r="AZ379" s="158"/>
      <c r="BA379" s="158"/>
      <c r="BB379" s="189"/>
      <c r="BC379" s="189"/>
      <c r="BD379" s="189"/>
      <c r="BE379" s="190"/>
      <c r="BF379" s="187">
        <f>+AU379</f>
        <v>0</v>
      </c>
    </row>
    <row r="380" spans="1:58">
      <c r="B380" s="31"/>
      <c r="C380" s="30" t="s">
        <v>280</v>
      </c>
      <c r="D380" s="30"/>
      <c r="E380" s="30"/>
      <c r="F380" s="33" t="s">
        <v>864</v>
      </c>
      <c r="G380" s="33" t="s">
        <v>13</v>
      </c>
      <c r="H380" s="33"/>
      <c r="I380" s="67">
        <v>1</v>
      </c>
      <c r="J380" s="33"/>
      <c r="K380" s="69" t="e">
        <f>+GETPIVOTDATA("PPEF 2010 ",#REF!,"No. Ramo",15,"IPP","E","PP",3,"UR","B00")+GETPIVOTDATA("PPEF 2010 ",#REF!,"No. Ramo",15,"IPP","E","PP",4,"UR","B00")*0.710990348011172+GETPIVOTDATA("PPEF 2010 ",#REF!,"No. Ramo",15,"IPP","M","PP",1,"UR","B00")+GETPIVOTDATA("PPEF 2010 ",#REF!,"No. Ramo",15,"IPP","O","PP",1,"UR","B00")+GETPIVOTDATA("PPEF 2010 ",#REF!,"No. Ramo",15,"IPP","O","PP",99,"UR","B00")+GETPIVOTDATA("PPEF 2010 ",#REF!,"No. Ramo",15,"IPP","P","PP",1,"UR","B00")</f>
        <v>#REF!</v>
      </c>
      <c r="L380" s="69" t="e">
        <f>+GETPIVOTDATA("Ampliación Neta DIP ",#REF!,"No. Ramo",15,"IPP","E","PP",3,"UR","B00")+GETPIVOTDATA("Ampliación Neta DIP ",#REF!,"No. Ramo",15,"IPP","E","PP",4,"UR","B00")*0.710990348011172+GETPIVOTDATA("Ampliación Neta DIP ",#REF!,"No. Ramo",15,"IPP","M","PP",1,"UR","B00")+GETPIVOTDATA("Ampliación Neta DIP ",#REF!,"No. Ramo",15,"IPP","O","PP",1,"UR","B00")+GETPIVOTDATA("Ampliación Neta DIP ",#REF!,"No. Ramo",15,"IPP","O","PP",99,"UR","B00")+GETPIVOTDATA("Ampliación Neta DIP ",#REF!,"No. Ramo",15,"IPP","P","PP",1,"UR","B00")</f>
        <v>#REF!</v>
      </c>
      <c r="M380" s="69" t="e">
        <f>+GETPIVOTDATA("Recorte SHCP ",#REF!,"No. Ramo",15,"IPP","E","PP",3,"UR","B00")+GETPIVOTDATA("Recorte SHCP ",#REF!,"No. Ramo",15,"IPP","E","PP",4,"UR","B00")*0.710990348011172+GETPIVOTDATA("Recorte SHCP ",#REF!,"No. Ramo",15,"IPP","M","PP",1,"UR","B00")+GETPIVOTDATA("Recorte SHCP ",#REF!,"No. Ramo",15,"IPP","O","PP",1,"UR","B00")+GETPIVOTDATA("Recorte SHCP ",#REF!,"No. Ramo",15,"IPP","O","PP",99,"UR","B00")+GETPIVOTDATA("Recorte SHCP ",#REF!,"No. Ramo",15,"IPP","P","PP",1,"UR","B00")</f>
        <v>#REF!</v>
      </c>
      <c r="N380" s="69" t="e">
        <f>+GETPIVOTDATA("PEF 2010 ",#REF!,"No. Ramo",15,"IPP","E","PP",3,"UR","B00")+GETPIVOTDATA("PEF 2010 ",#REF!,"No. Ramo",15,"IPP","E","PP",4,"UR","B00")*0.710990348011172+GETPIVOTDATA("PEF 2010 ",#REF!,"No. Ramo",15,"IPP","M","PP",1,"UR","B00")+GETPIVOTDATA("PEF 2010 ",#REF!,"No. Ramo",15,"IPP","O","PP",1,"UR","B00")+GETPIVOTDATA("PEF 2010 ",#REF!,"No. Ramo",15,"IPP","O","PP",99,"UR","B00")+GETPIVOTDATA("PEF 2010 ",#REF!,"No. Ramo",15,"IPP","P","PP",1,"UR","B00")</f>
        <v>#REF!</v>
      </c>
      <c r="O380" s="69" t="e">
        <f>+GETPIVOTDATA("PPEF 2011 ",#REF!,"No. Ramo",15,"IPP","E","PP",3,"UR","B00")+GETPIVOTDATA("PPEF 2011 ",#REF!,"No. Ramo",15,"IPP","E","PP",4,"UR","B00")*0.710990348011172+GETPIVOTDATA("PPEF 2011 ",#REF!,"No. Ramo",15,"IPP","M","PP",1,"UR","B00")+GETPIVOTDATA("PPEF 2011 ",#REF!,"No. Ramo",15,"IPP","O","PP",1,"UR","B00")+GETPIVOTDATA("PPEF 2011 ",#REF!,"No. Ramo",15,"IPP","O","PP",99,"UR","B00")+GETPIVOTDATA("PPEF 2011 ",#REF!,"No. Ramo",15,"IPP","P","PP",1,"UR","B00")</f>
        <v>#REF!</v>
      </c>
      <c r="P380" s="69" t="e">
        <f>+GETPIVOTDATA("Reducción ",#REF!,"No. Ramo",15,"IPP","E","PP",3,"UR","B00")+GETPIVOTDATA("Reducción ",#REF!,"No. Ramo",15,"IPP","E","PP",4,"UR","B00")*0.710990348011172+GETPIVOTDATA("Reducción ",#REF!,"No. Ramo",15,"IPP","M","PP",1,"UR","B00")+GETPIVOTDATA("Reducción ",#REF!,"No. Ramo",15,"IPP","O","PP",1,"UR","B00")+GETPIVOTDATA("Reducción ",#REF!,"No. Ramo",15,"IPP","O","PP",99,"UR","B00")+GETPIVOTDATA("Reducción ",#REF!,"No. Ramo",15,"IPP","P","PP",1,"UR","B00")</f>
        <v>#REF!</v>
      </c>
      <c r="Q380" s="69" t="e">
        <f>+GETPIVOTDATA("Ampliación ",#REF!,"No. Ramo",15,"IPP","E","PP",3,"UR","B00")+GETPIVOTDATA("Ampliación ",#REF!,"No. Ramo",15,"IPP","E","PP",4,"UR","B00")*0.710990348011172+GETPIVOTDATA("Ampliación ",#REF!,"No. Ramo",15,"IPP","M","PP",1,"UR","B00")+GETPIVOTDATA("Ampliación ",#REF!,"No. Ramo",15,"IPP","O","PP",1,"UR","B00")+GETPIVOTDATA("Ampliación ",#REF!,"No. Ramo",15,"IPP","O","PP",99,"UR","B00")+GETPIVOTDATA("Ampliación ",#REF!,"No. Ramo",15,"IPP","P","PP",1,"UR","B00")</f>
        <v>#REF!</v>
      </c>
      <c r="R380" s="69" t="e">
        <f t="shared" si="100"/>
        <v>#REF!</v>
      </c>
      <c r="S380" s="69"/>
      <c r="T380" s="69"/>
      <c r="U380" s="69" t="e">
        <f t="shared" si="104"/>
        <v>#REF!</v>
      </c>
      <c r="V380" s="69" t="e">
        <f t="shared" si="104"/>
        <v>#REF!</v>
      </c>
      <c r="W380" s="69" t="e">
        <f t="shared" si="104"/>
        <v>#REF!</v>
      </c>
      <c r="X380" s="69" t="e">
        <f t="shared" si="104"/>
        <v>#REF!</v>
      </c>
      <c r="AH380" s="174"/>
      <c r="AI380" s="157" t="s">
        <v>280</v>
      </c>
      <c r="AJ380" s="158"/>
      <c r="AK380" s="158"/>
      <c r="AL380" s="150"/>
      <c r="AM380" s="150"/>
      <c r="AN380" s="150"/>
      <c r="AO380" s="151"/>
      <c r="AP380" s="146"/>
      <c r="AQ380" s="146"/>
      <c r="AR380" s="146"/>
      <c r="AS380" s="245"/>
      <c r="AT380" s="245"/>
      <c r="AU380" s="146"/>
      <c r="AX380" s="174"/>
      <c r="AY380" s="157" t="s">
        <v>280</v>
      </c>
      <c r="AZ380" s="158"/>
      <c r="BA380" s="158"/>
      <c r="BB380" s="189"/>
      <c r="BC380" s="189"/>
      <c r="BD380" s="189"/>
      <c r="BE380" s="190"/>
      <c r="BF380" s="187">
        <f>+AU380</f>
        <v>0</v>
      </c>
    </row>
    <row r="381" spans="1:58">
      <c r="B381" s="117"/>
      <c r="C381" s="100" t="s">
        <v>1035</v>
      </c>
      <c r="D381" s="118"/>
      <c r="E381" s="118"/>
      <c r="F381" s="91"/>
      <c r="G381" s="91"/>
      <c r="H381" s="91"/>
      <c r="I381" s="67"/>
      <c r="J381" s="91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AH381" s="152"/>
      <c r="AI381" s="159" t="s">
        <v>1035</v>
      </c>
      <c r="AJ381" s="158"/>
      <c r="AK381" s="158"/>
      <c r="AL381" s="150"/>
      <c r="AM381" s="150"/>
      <c r="AN381" s="150"/>
      <c r="AO381" s="151"/>
      <c r="AP381" s="146"/>
      <c r="AQ381" s="146"/>
      <c r="AR381" s="146"/>
      <c r="AS381" s="245"/>
      <c r="AT381" s="245"/>
      <c r="AU381" s="146"/>
      <c r="AX381" s="152"/>
      <c r="AY381" s="159" t="s">
        <v>1035</v>
      </c>
      <c r="AZ381" s="158"/>
      <c r="BA381" s="158"/>
      <c r="BB381" s="189"/>
      <c r="BC381" s="189"/>
      <c r="BD381" s="189"/>
      <c r="BE381" s="190"/>
      <c r="BF381" s="187">
        <f>+AU381</f>
        <v>0</v>
      </c>
    </row>
    <row r="382" spans="1:58">
      <c r="B382" s="36" t="s">
        <v>776</v>
      </c>
      <c r="C382" s="37" t="s">
        <v>788</v>
      </c>
      <c r="D382" s="37"/>
      <c r="E382" s="37"/>
      <c r="F382" s="91" t="s">
        <v>865</v>
      </c>
      <c r="G382" s="91" t="s">
        <v>866</v>
      </c>
      <c r="H382" s="92"/>
      <c r="I382" s="67">
        <v>1</v>
      </c>
      <c r="J382" s="92"/>
      <c r="K382" s="93" t="e">
        <f>+GETPIVOTDATA("PPEF 2010 ",#REF!,"No. Ramo",31,"IPP","E","PP",2,"UR",100)+GETPIVOTDATA("PPEF 2010 ",#REF!,"No. Ramo",31,"IPP","E","PP",1,"UR",200)+GETPIVOTDATA("PPEF 2010 ",#REF!,"No. Ramo",31,"IPP","M","PP",1,"UR",200)+GETPIVOTDATA("PPEF 2010 ",#REF!,"No. Ramo",31,"IPP","M","PP",1,"UR",300)+GETPIVOTDATA("PPEF 2010 ",#REF!,"No. Ramo",31,"IPP","O","PP",1,"UR",300)</f>
        <v>#REF!</v>
      </c>
      <c r="L382" s="93" t="e">
        <f>+GETPIVOTDATA("Ampliación Neta DIP ",#REF!,"No. Ramo",31,"IPP","E","PP",2,"UR",100)+GETPIVOTDATA("Ampliación Neta DIP ",#REF!,"No. Ramo",31,"IPP","E","PP",1,"UR",200)+GETPIVOTDATA("Ampliación Neta DIP ",#REF!,"No. Ramo",31,"IPP","M","PP",1,"UR",200)+GETPIVOTDATA("Ampliación Neta DIP ",#REF!,"No. Ramo",31,"IPP","M","PP",1,"UR",300)+GETPIVOTDATA("Ampliación Neta DIP ",#REF!,"No. Ramo",31,"IPP","O","PP",1,"UR",300)</f>
        <v>#REF!</v>
      </c>
      <c r="M382" s="93" t="e">
        <f>+GETPIVOTDATA("Recorte SHCP ",#REF!,"No. Ramo",31,"IPP","E","PP",2,"UR",100)+GETPIVOTDATA("Recorte SHCP ",#REF!,"No. Ramo",31,"IPP","E","PP",1,"UR",200)+GETPIVOTDATA("Recorte SHCP ",#REF!,"No. Ramo",31,"IPP","M","PP",1,"UR",200)+GETPIVOTDATA("Recorte SHCP ",#REF!,"No. Ramo",31,"IPP","M","PP",1,"UR",300)+GETPIVOTDATA("Recorte SHCP ",#REF!,"No. Ramo",31,"IPP","O","PP",1,"UR",300)</f>
        <v>#REF!</v>
      </c>
      <c r="N382" s="93" t="e">
        <f>+GETPIVOTDATA("PEF 2010 ",#REF!,"No. Ramo",31,"IPP","E","PP",2,"UR",100)+GETPIVOTDATA("PEF 2010 ",#REF!,"No. Ramo",31,"IPP","E","PP",1,"UR",200)+GETPIVOTDATA("PEF 2010 ",#REF!,"No. Ramo",31,"IPP","M","PP",1,"UR",200)+GETPIVOTDATA("PEF 2010 ",#REF!,"No. Ramo",31,"IPP","M","PP",1,"UR",300)+GETPIVOTDATA("PEF 2010 ",#REF!,"No. Ramo",31,"IPP","O","PP",1,"UR",300)</f>
        <v>#REF!</v>
      </c>
      <c r="O382" s="93" t="e">
        <f>+GETPIVOTDATA("PPEF 2011 ",#REF!,"No. Ramo",31,"IPP","E","PP",2,"UR",100)+GETPIVOTDATA("PPEF 2011 ",#REF!,"No. Ramo",31,"IPP","E","PP",1,"UR",200)+GETPIVOTDATA("PPEF 2011 ",#REF!,"No. Ramo",31,"IPP","M","PP",1,"UR",200)+GETPIVOTDATA("PPEF 2011 ",#REF!,"No. Ramo",31,"IPP","M","PP",1,"UR",300)+GETPIVOTDATA("PPEF 2011 ",#REF!,"No. Ramo",31,"IPP","O","PP",1,"UR",300)</f>
        <v>#REF!</v>
      </c>
      <c r="P382" s="93" t="e">
        <f>+GETPIVOTDATA("Reducción ",#REF!,"No. Ramo",31,"IPP","E","PP",2,"UR",100)+GETPIVOTDATA("Reducción ",#REF!,"No. Ramo",31,"IPP","E","PP",1,"UR",200)+GETPIVOTDATA("Reducción ",#REF!,"No. Ramo",31,"IPP","M","PP",1,"UR",200)+GETPIVOTDATA("Reducción ",#REF!,"No. Ramo",31,"IPP","M","PP",1,"UR",300)+GETPIVOTDATA("Reducción ",#REF!,"No. Ramo",31,"IPP","O","PP",1,"UR",300)</f>
        <v>#REF!</v>
      </c>
      <c r="Q382" s="93" t="e">
        <f>+GETPIVOTDATA("Ampliación ",#REF!,"No. Ramo",31,"IPP","E","PP",2,"UR",100)+GETPIVOTDATA("Ampliación ",#REF!,"No. Ramo",31,"IPP","E","PP",1,"UR",200)+GETPIVOTDATA("Ampliación ",#REF!,"No. Ramo",31,"IPP","M","PP",1,"UR",200)+GETPIVOTDATA("Ampliación ",#REF!,"No. Ramo",31,"IPP","M","PP",1,"UR",300)+GETPIVOTDATA("Ampliación ",#REF!,"No. Ramo",31,"IPP","O","PP",1,"UR",300)</f>
        <v>#REF!</v>
      </c>
      <c r="R382" s="93" t="e">
        <f t="shared" si="100"/>
        <v>#REF!</v>
      </c>
      <c r="S382" s="93"/>
      <c r="T382" s="93"/>
      <c r="U382" s="93" t="e">
        <f t="shared" si="104"/>
        <v>#REF!</v>
      </c>
      <c r="V382" s="93" t="e">
        <f t="shared" si="104"/>
        <v>#REF!</v>
      </c>
      <c r="W382" s="93" t="e">
        <f t="shared" si="104"/>
        <v>#REF!</v>
      </c>
      <c r="X382" s="93" t="e">
        <f t="shared" si="104"/>
        <v>#REF!</v>
      </c>
      <c r="AH382" s="147" t="s">
        <v>776</v>
      </c>
      <c r="AI382" s="148" t="s">
        <v>788</v>
      </c>
      <c r="AJ382" s="160"/>
      <c r="AK382" s="160"/>
      <c r="AL382" s="150"/>
      <c r="AM382" s="150"/>
      <c r="AN382" s="150"/>
      <c r="AO382" s="151"/>
      <c r="AP382" s="146">
        <v>0</v>
      </c>
      <c r="AQ382" s="146">
        <v>0</v>
      </c>
      <c r="AR382" s="146">
        <v>0</v>
      </c>
      <c r="AS382" s="245"/>
      <c r="AT382" s="245"/>
      <c r="AU382" s="146">
        <v>0</v>
      </c>
      <c r="AX382" s="147" t="s">
        <v>776</v>
      </c>
      <c r="AY382" s="148" t="s">
        <v>788</v>
      </c>
      <c r="AZ382" s="160"/>
      <c r="BA382" s="160"/>
      <c r="BB382" s="189"/>
      <c r="BC382" s="189"/>
      <c r="BD382" s="189"/>
      <c r="BE382" s="190"/>
      <c r="BF382" s="187">
        <v>0</v>
      </c>
    </row>
    <row r="383" spans="1:58">
      <c r="B383" s="94" t="s">
        <v>789</v>
      </c>
      <c r="C383" s="94"/>
      <c r="D383" s="94"/>
      <c r="E383" s="94"/>
      <c r="F383" s="45"/>
      <c r="G383" s="45"/>
      <c r="H383" s="45"/>
      <c r="I383" s="95"/>
      <c r="J383" s="45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AH383" s="176" t="s">
        <v>789</v>
      </c>
      <c r="AI383" s="177"/>
      <c r="AJ383" s="178"/>
      <c r="AK383" s="178"/>
      <c r="AL383" s="176"/>
      <c r="AX383" s="180" t="s">
        <v>789</v>
      </c>
      <c r="AY383" s="177"/>
      <c r="AZ383" s="178"/>
      <c r="BA383" s="178"/>
      <c r="BB383" s="176"/>
    </row>
    <row r="385" spans="10:10">
      <c r="J385" s="97"/>
    </row>
  </sheetData>
  <autoFilter ref="A3:AB383">
    <filterColumn colId="2" showButton="0"/>
    <filterColumn colId="3" showButton="0"/>
  </autoFilter>
  <mergeCells count="18">
    <mergeCell ref="B2:E2"/>
    <mergeCell ref="N2:O2"/>
    <mergeCell ref="S2:X2"/>
    <mergeCell ref="C3:E3"/>
    <mergeCell ref="D122:E122"/>
    <mergeCell ref="AJ347:AO347"/>
    <mergeCell ref="AH1:AK1"/>
    <mergeCell ref="AY3:BE3"/>
    <mergeCell ref="AX4:BE4"/>
    <mergeCell ref="AZ12:BE12"/>
    <mergeCell ref="AZ122:BA122"/>
    <mergeCell ref="AZ165:BE165"/>
    <mergeCell ref="AZ347:BE347"/>
    <mergeCell ref="AI3:AO3"/>
    <mergeCell ref="AH4:AO4"/>
    <mergeCell ref="AJ12:AO12"/>
    <mergeCell ref="AJ122:AK122"/>
    <mergeCell ref="AJ165:AO165"/>
  </mergeCells>
  <pageMargins left="0.70866141732283472" right="0.70866141732283472" top="0.74803149606299213" bottom="0.74803149606299213" header="0.31496062992125984" footer="0.31496062992125984"/>
  <pageSetup scale="75" fitToHeight="9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33">
    <tabColor rgb="FF00B050"/>
    <pageSetUpPr fitToPage="1"/>
  </sheetPr>
  <dimension ref="A1:BW236"/>
  <sheetViews>
    <sheetView topLeftCell="A22" zoomScale="85" zoomScaleNormal="85" workbookViewId="0">
      <selection activeCell="AZ178" sqref="AZ178"/>
    </sheetView>
  </sheetViews>
  <sheetFormatPr baseColWidth="10" defaultRowHeight="15"/>
  <cols>
    <col min="2" max="2" width="21.5703125" customWidth="1"/>
    <col min="3" max="3" width="36.42578125" customWidth="1"/>
    <col min="4" max="4" width="28.5703125" style="96" customWidth="1"/>
    <col min="5" max="5" width="28.5703125" customWidth="1"/>
    <col min="6" max="6" width="35.85546875" style="42" bestFit="1" customWidth="1"/>
    <col min="7" max="7" width="9.85546875" style="42" customWidth="1"/>
    <col min="8" max="8" width="8.5703125" style="42" customWidth="1"/>
    <col min="9" max="9" width="12.5703125" style="89" bestFit="1" customWidth="1"/>
    <col min="10" max="10" width="13.85546875" style="42" customWidth="1"/>
    <col min="11" max="11" width="17.85546875" style="1" customWidth="1"/>
    <col min="12" max="12" width="25.28515625" style="1" customWidth="1"/>
    <col min="13" max="13" width="18.5703125" style="1" customWidth="1"/>
    <col min="14" max="15" width="17.85546875" style="1" customWidth="1"/>
    <col min="16" max="16" width="12.5703125" style="1" customWidth="1"/>
    <col min="17" max="17" width="16.7109375" style="1" bestFit="1" customWidth="1"/>
    <col min="18" max="18" width="17.85546875" style="1" customWidth="1"/>
    <col min="19" max="19" width="13" style="1" customWidth="1"/>
    <col min="20" max="20" width="11.42578125" style="1" customWidth="1"/>
    <col min="21" max="21" width="17.85546875" style="1" customWidth="1"/>
    <col min="22" max="22" width="12.5703125" style="1" customWidth="1"/>
    <col min="23" max="23" width="13.140625" style="1" customWidth="1"/>
    <col min="24" max="24" width="17.85546875" style="1" customWidth="1"/>
    <col min="25" max="25" width="16.85546875" bestFit="1" customWidth="1"/>
    <col min="26" max="26" width="18.140625" bestFit="1" customWidth="1"/>
    <col min="27" max="27" width="14.42578125" bestFit="1" customWidth="1"/>
    <col min="34" max="34" width="18.7109375" style="136" customWidth="1"/>
    <col min="35" max="35" width="11.7109375" style="179" customWidth="1"/>
    <col min="36" max="37" width="11.7109375" style="135" customWidth="1"/>
    <col min="38" max="39" width="13.7109375" style="135" customWidth="1"/>
    <col min="40" max="40" width="12.7109375" style="135" customWidth="1"/>
    <col min="41" max="41" width="14.7109375" style="135" customWidth="1"/>
    <col min="42" max="47" width="11.42578125" style="135"/>
    <col min="48" max="49" width="11.42578125" style="195"/>
    <col min="50" max="50" width="18.7109375" style="193" customWidth="1"/>
    <col min="51" max="51" width="11.7109375" style="194" customWidth="1"/>
    <col min="52" max="53" width="11.7109375" style="182" customWidth="1"/>
    <col min="54" max="55" width="13.7109375" style="182" customWidth="1"/>
    <col min="56" max="56" width="12.7109375" style="182" customWidth="1"/>
    <col min="57" max="57" width="14.7109375" style="182" customWidth="1"/>
    <col min="58" max="58" width="11.42578125" style="182"/>
    <col min="59" max="60" width="11.42578125" style="195"/>
  </cols>
  <sheetData>
    <row r="1" spans="2:58" ht="15" customHeight="1">
      <c r="AH1" s="394" t="s">
        <v>645</v>
      </c>
      <c r="AI1" s="394"/>
      <c r="AJ1" s="394"/>
      <c r="AK1" s="394"/>
      <c r="AX1" s="242" t="s">
        <v>1522</v>
      </c>
      <c r="AY1" s="241"/>
      <c r="AZ1" s="241"/>
      <c r="BA1" s="241"/>
    </row>
    <row r="2" spans="2:58">
      <c r="B2" s="405" t="s">
        <v>645</v>
      </c>
      <c r="C2" s="405"/>
      <c r="D2" s="405"/>
      <c r="E2" s="405"/>
      <c r="F2" s="273"/>
      <c r="G2" s="273"/>
      <c r="H2" s="273"/>
      <c r="I2" s="48"/>
      <c r="J2" s="273"/>
      <c r="K2" s="273"/>
      <c r="L2" s="273"/>
      <c r="M2" s="273"/>
      <c r="N2" s="405" t="s">
        <v>795</v>
      </c>
      <c r="O2" s="405"/>
      <c r="P2" s="49"/>
      <c r="Q2" s="49"/>
      <c r="R2" s="49"/>
      <c r="S2" s="405" t="s">
        <v>9</v>
      </c>
      <c r="T2" s="405"/>
      <c r="U2" s="405"/>
      <c r="V2" s="405"/>
      <c r="W2" s="405"/>
      <c r="X2" s="405"/>
      <c r="AH2" s="181"/>
      <c r="AI2" s="144"/>
      <c r="AJ2" s="144"/>
      <c r="AK2" s="144"/>
      <c r="AS2" s="136" t="s">
        <v>1523</v>
      </c>
      <c r="AT2" s="136" t="s">
        <v>1524</v>
      </c>
      <c r="AX2" s="183"/>
      <c r="AY2" s="184"/>
      <c r="AZ2" s="184"/>
      <c r="BA2" s="184"/>
    </row>
    <row r="3" spans="2:58">
      <c r="B3" s="274" t="s">
        <v>646</v>
      </c>
      <c r="C3" s="406" t="s">
        <v>647</v>
      </c>
      <c r="D3" s="406"/>
      <c r="E3" s="406"/>
      <c r="F3" s="274" t="s">
        <v>0</v>
      </c>
      <c r="G3" s="274" t="s">
        <v>2</v>
      </c>
      <c r="H3" s="274" t="s">
        <v>648</v>
      </c>
      <c r="I3" s="50" t="s">
        <v>649</v>
      </c>
      <c r="J3" s="274" t="s">
        <v>796</v>
      </c>
      <c r="K3" s="51" t="s">
        <v>792</v>
      </c>
      <c r="L3" s="51" t="s">
        <v>793</v>
      </c>
      <c r="M3" s="51" t="s">
        <v>794</v>
      </c>
      <c r="N3" s="52" t="s">
        <v>6</v>
      </c>
      <c r="O3" s="53" t="s">
        <v>7</v>
      </c>
      <c r="P3" s="53" t="s">
        <v>637</v>
      </c>
      <c r="Q3" s="53" t="s">
        <v>638</v>
      </c>
      <c r="R3" s="54" t="s">
        <v>639</v>
      </c>
      <c r="S3" s="55" t="s">
        <v>5</v>
      </c>
      <c r="T3" s="56" t="s">
        <v>6</v>
      </c>
      <c r="U3" s="56" t="s">
        <v>7</v>
      </c>
      <c r="V3" s="56" t="s">
        <v>637</v>
      </c>
      <c r="W3" s="56" t="s">
        <v>638</v>
      </c>
      <c r="X3" s="56" t="s">
        <v>639</v>
      </c>
      <c r="AE3" t="s">
        <v>0</v>
      </c>
      <c r="AF3" t="s">
        <v>2</v>
      </c>
      <c r="AH3" s="137" t="s">
        <v>646</v>
      </c>
      <c r="AI3" s="401" t="s">
        <v>647</v>
      </c>
      <c r="AJ3" s="401"/>
      <c r="AK3" s="401"/>
      <c r="AL3" s="401"/>
      <c r="AM3" s="401"/>
      <c r="AN3" s="401"/>
      <c r="AO3" s="401"/>
      <c r="AP3" s="272" t="s">
        <v>7</v>
      </c>
      <c r="AQ3" s="272" t="s">
        <v>637</v>
      </c>
      <c r="AR3" s="272" t="s">
        <v>638</v>
      </c>
      <c r="AS3" s="243"/>
      <c r="AT3" s="243"/>
      <c r="AU3" s="272" t="s">
        <v>639</v>
      </c>
      <c r="AX3" s="185" t="s">
        <v>646</v>
      </c>
      <c r="AY3" s="395" t="s">
        <v>647</v>
      </c>
      <c r="AZ3" s="395"/>
      <c r="BA3" s="395"/>
      <c r="BB3" s="395"/>
      <c r="BC3" s="395"/>
      <c r="BD3" s="395"/>
      <c r="BE3" s="395"/>
      <c r="BF3" s="186" t="s">
        <v>639</v>
      </c>
    </row>
    <row r="4" spans="2:58">
      <c r="B4" s="23"/>
      <c r="C4" s="24" t="s">
        <v>650</v>
      </c>
      <c r="D4" s="25"/>
      <c r="E4" s="25"/>
      <c r="F4" s="57"/>
      <c r="G4" s="57"/>
      <c r="H4" s="57"/>
      <c r="I4" s="58"/>
      <c r="J4" s="57"/>
      <c r="K4" s="59" t="e">
        <f t="shared" ref="K4:Q4" si="0">+K5+K22+K59+K62+K75+K97+K103+K126+K139+K148+K186+K200+K208+K214</f>
        <v>#REF!</v>
      </c>
      <c r="L4" s="59" t="e">
        <f t="shared" si="0"/>
        <v>#REF!</v>
      </c>
      <c r="M4" s="59" t="e">
        <f t="shared" si="0"/>
        <v>#REF!</v>
      </c>
      <c r="N4" s="59" t="e">
        <f t="shared" si="0"/>
        <v>#REF!</v>
      </c>
      <c r="O4" s="59" t="e">
        <f t="shared" si="0"/>
        <v>#REF!</v>
      </c>
      <c r="P4" s="59" t="e">
        <f t="shared" si="0"/>
        <v>#REF!</v>
      </c>
      <c r="Q4" s="59" t="e">
        <f t="shared" si="0"/>
        <v>#REF!</v>
      </c>
      <c r="R4" s="59" t="e">
        <f t="shared" ref="R4:R87" si="1">O4+Q4-P4</f>
        <v>#REF!</v>
      </c>
      <c r="S4" s="59"/>
      <c r="T4" s="59"/>
      <c r="U4" s="59" t="e">
        <f>+U5+U22+U59+U62+U75+U97+U103+U126+U139+U148+U186+U200+U208+U214</f>
        <v>#REF!</v>
      </c>
      <c r="V4" s="59" t="e">
        <f>+V5+V22+V59+V62+V75+V97+V103+V126+V139+V148+V186+V200+V208+V214</f>
        <v>#REF!</v>
      </c>
      <c r="W4" s="59" t="e">
        <f>+W5+W22+W59+W62+W75+W97+W103+W126+W139+W148+W186+W200+W208+W214</f>
        <v>#REF!</v>
      </c>
      <c r="X4" s="59" t="e">
        <f>+X5+X22+X59+X62+X75+X97+X103+X126+X139+X148+X186+X200+X208+X214</f>
        <v>#REF!</v>
      </c>
      <c r="Z4" s="60" t="e">
        <f>+X4/1000000</f>
        <v>#REF!</v>
      </c>
      <c r="AH4" s="402" t="s">
        <v>650</v>
      </c>
      <c r="AI4" s="402"/>
      <c r="AJ4" s="402"/>
      <c r="AK4" s="402"/>
      <c r="AL4" s="402"/>
      <c r="AM4" s="402"/>
      <c r="AN4" s="402"/>
      <c r="AO4" s="402"/>
      <c r="AP4" s="139" t="e">
        <f>AP5+AP22+AP59+AP62+AP75+AP97+AP103+AP126+AP139+AP148+AP186+AP200+AP208+AP214</f>
        <v>#REF!</v>
      </c>
      <c r="AQ4" s="139" t="e">
        <f>AQ5+AQ22+AQ59+AQ62+AQ75+AQ97+AQ103+AQ126+AQ139+AQ148+AQ186+AQ200+AQ208+AQ214</f>
        <v>#REF!</v>
      </c>
      <c r="AR4" s="139" t="e">
        <f>AR5+AR22+AR59+AR62+AR75+AR97+AR103+AR126+AR139+AR148+AR186+AR200+AR208+AR214</f>
        <v>#REF!</v>
      </c>
      <c r="AS4" s="244"/>
      <c r="AT4" s="244"/>
      <c r="AU4" s="139" t="e">
        <f>AU5+AU22+AU59+AU62+AU75+AU97+AU103+AU126+AU139+AU148+AU186+AU200+AU208+AU214</f>
        <v>#REF!</v>
      </c>
      <c r="AX4" s="396" t="s">
        <v>650</v>
      </c>
      <c r="AY4" s="396"/>
      <c r="AZ4" s="396"/>
      <c r="BA4" s="396"/>
      <c r="BB4" s="396"/>
      <c r="BC4" s="396"/>
      <c r="BD4" s="396"/>
      <c r="BE4" s="396"/>
      <c r="BF4" s="187" t="e">
        <f>BF5+BF22+BF59+BF62+BF75+BF97+BF103+BF126+BF139+BF148+BF186+BF200+BF208+BF214</f>
        <v>#REF!</v>
      </c>
    </row>
    <row r="5" spans="2:58">
      <c r="B5" s="26"/>
      <c r="C5" s="27" t="s">
        <v>651</v>
      </c>
      <c r="D5" s="27"/>
      <c r="E5" s="27"/>
      <c r="F5" s="61"/>
      <c r="G5" s="61"/>
      <c r="H5" s="61"/>
      <c r="I5" s="62"/>
      <c r="J5" s="61"/>
      <c r="K5" s="63" t="e">
        <f t="shared" ref="K5:Q5" si="2">+K6</f>
        <v>#REF!</v>
      </c>
      <c r="L5" s="63" t="e">
        <f t="shared" si="2"/>
        <v>#REF!</v>
      </c>
      <c r="M5" s="63" t="e">
        <f t="shared" si="2"/>
        <v>#REF!</v>
      </c>
      <c r="N5" s="63" t="e">
        <f t="shared" si="2"/>
        <v>#REF!</v>
      </c>
      <c r="O5" s="63" t="e">
        <f t="shared" si="2"/>
        <v>#REF!</v>
      </c>
      <c r="P5" s="63" t="e">
        <f t="shared" si="2"/>
        <v>#REF!</v>
      </c>
      <c r="Q5" s="63" t="e">
        <f t="shared" si="2"/>
        <v>#REF!</v>
      </c>
      <c r="R5" s="63" t="e">
        <f t="shared" si="1"/>
        <v>#REF!</v>
      </c>
      <c r="S5" s="63"/>
      <c r="T5" s="63"/>
      <c r="U5" s="63" t="e">
        <f>+U6</f>
        <v>#REF!</v>
      </c>
      <c r="V5" s="63" t="e">
        <f>+V6</f>
        <v>#REF!</v>
      </c>
      <c r="W5" s="63" t="e">
        <f>+W6</f>
        <v>#REF!</v>
      </c>
      <c r="X5" s="63" t="e">
        <f>+X6</f>
        <v>#REF!</v>
      </c>
      <c r="Z5" s="5" t="e">
        <f>+Z4+Y34-Y75+Y133</f>
        <v>#REF!</v>
      </c>
      <c r="AH5" s="140"/>
      <c r="AI5" s="141" t="s">
        <v>651</v>
      </c>
      <c r="AJ5" s="142"/>
      <c r="AK5" s="142"/>
      <c r="AL5" s="143"/>
      <c r="AM5" s="144"/>
      <c r="AN5" s="144"/>
      <c r="AO5" s="145"/>
      <c r="AP5" s="146">
        <f>AP6</f>
        <v>0</v>
      </c>
      <c r="AQ5" s="146">
        <f>AQ6</f>
        <v>0</v>
      </c>
      <c r="AR5" s="146">
        <f>AR6</f>
        <v>0</v>
      </c>
      <c r="AS5" s="245"/>
      <c r="AT5" s="245"/>
      <c r="AU5" s="146">
        <f>AU6</f>
        <v>0</v>
      </c>
      <c r="AX5" s="140"/>
      <c r="AY5" s="141" t="s">
        <v>651</v>
      </c>
      <c r="AZ5" s="142"/>
      <c r="BA5" s="142"/>
      <c r="BB5" s="143"/>
      <c r="BC5" s="184"/>
      <c r="BD5" s="184"/>
      <c r="BE5" s="188"/>
      <c r="BF5" s="187">
        <f>BF6</f>
        <v>0</v>
      </c>
    </row>
    <row r="6" spans="2:58">
      <c r="B6" s="28" t="s">
        <v>652</v>
      </c>
      <c r="C6" s="29" t="s">
        <v>653</v>
      </c>
      <c r="D6" s="28"/>
      <c r="E6" s="28"/>
      <c r="F6" s="28"/>
      <c r="G6" s="28"/>
      <c r="H6" s="28"/>
      <c r="I6" s="65"/>
      <c r="J6" s="28"/>
      <c r="K6" s="66" t="e">
        <f t="shared" ref="K6:Q6" si="3">SUM(K7:K21)</f>
        <v>#REF!</v>
      </c>
      <c r="L6" s="66" t="e">
        <f t="shared" si="3"/>
        <v>#REF!</v>
      </c>
      <c r="M6" s="66" t="e">
        <f t="shared" si="3"/>
        <v>#REF!</v>
      </c>
      <c r="N6" s="66" t="e">
        <f t="shared" si="3"/>
        <v>#REF!</v>
      </c>
      <c r="O6" s="66" t="e">
        <f t="shared" si="3"/>
        <v>#REF!</v>
      </c>
      <c r="P6" s="66" t="e">
        <f t="shared" si="3"/>
        <v>#REF!</v>
      </c>
      <c r="Q6" s="66" t="e">
        <f t="shared" si="3"/>
        <v>#REF!</v>
      </c>
      <c r="R6" s="66" t="e">
        <f t="shared" si="1"/>
        <v>#REF!</v>
      </c>
      <c r="S6" s="66"/>
      <c r="T6" s="66"/>
      <c r="U6" s="66" t="e">
        <f>SUM(U7:U21)</f>
        <v>#REF!</v>
      </c>
      <c r="V6" s="66" t="e">
        <f>SUM(V7:V21)</f>
        <v>#REF!</v>
      </c>
      <c r="W6" s="66" t="e">
        <f>SUM(W7:W21)</f>
        <v>#REF!</v>
      </c>
      <c r="X6" s="66" t="e">
        <f>SUM(X7:X21)</f>
        <v>#REF!</v>
      </c>
      <c r="Z6" s="123">
        <v>259852</v>
      </c>
      <c r="AA6" s="123" t="e">
        <f>+X4/1000000</f>
        <v>#REF!</v>
      </c>
      <c r="AB6" s="5" t="e">
        <f>Z6-AA6</f>
        <v>#REF!</v>
      </c>
      <c r="AH6" s="147" t="s">
        <v>652</v>
      </c>
      <c r="AI6" s="148" t="s">
        <v>653</v>
      </c>
      <c r="AJ6" s="149"/>
      <c r="AK6" s="149"/>
      <c r="AL6" s="149"/>
      <c r="AM6" s="277"/>
      <c r="AN6" s="277"/>
      <c r="AO6" s="278"/>
      <c r="AP6" s="146">
        <f>AP7+AP11+AP17+AP18+AP21</f>
        <v>0</v>
      </c>
      <c r="AQ6" s="146">
        <f>AQ7+AQ11+AQ17+AQ18+AQ21</f>
        <v>0</v>
      </c>
      <c r="AR6" s="146">
        <f>AR7+AR11+AR17+AR18+AR21</f>
        <v>0</v>
      </c>
      <c r="AS6" s="245"/>
      <c r="AT6" s="245"/>
      <c r="AU6" s="146">
        <f>AU7+AU11+AU17+AU18+AU21</f>
        <v>0</v>
      </c>
      <c r="AX6" s="147" t="s">
        <v>652</v>
      </c>
      <c r="AY6" s="148" t="s">
        <v>653</v>
      </c>
      <c r="AZ6" s="149"/>
      <c r="BA6" s="149"/>
      <c r="BB6" s="149"/>
      <c r="BC6" s="275"/>
      <c r="BD6" s="275"/>
      <c r="BE6" s="276"/>
      <c r="BF6" s="187">
        <f>BF7+BF11+BF17+BF18+BF21</f>
        <v>0</v>
      </c>
    </row>
    <row r="7" spans="2:58">
      <c r="B7" s="30"/>
      <c r="C7" s="31" t="s">
        <v>654</v>
      </c>
      <c r="D7" s="31"/>
      <c r="E7" s="31"/>
      <c r="F7" s="33"/>
      <c r="G7" s="33" t="s">
        <v>81</v>
      </c>
      <c r="H7" s="33"/>
      <c r="I7" s="67">
        <v>1</v>
      </c>
      <c r="J7" s="33"/>
      <c r="K7" s="68" t="e">
        <f>+GETPIVOTDATA("PPEF 2010 ",#REF!,"No. Ramo",6,"IPP","S","PP",1,"UR","GSA")+GETPIVOTDATA("PPEF 2010 ",#REF!,"No. Ramo",6,"IPP","S","PP",172,"UR","GSA")+GETPIVOTDATA("PPEF 2010 ",#REF!,"No. Ramo",6,"IPP","S","PP",199,"UR","GSA")</f>
        <v>#REF!</v>
      </c>
      <c r="L7" s="68" t="e">
        <f>+GETPIVOTDATA("Ampliación Neta DIP ",#REF!,"No. Ramo",6,"IPP","S","PP",1,"UR","GSA")+GETPIVOTDATA("Ampliación Neta DIP ",#REF!,"No. Ramo",6,"IPP","S","PP",172,"UR","GSA")+GETPIVOTDATA("Ampliación Neta DIP ",#REF!,"No. Ramo",6,"IPP","S","PP",199,"UR","GSA")</f>
        <v>#REF!</v>
      </c>
      <c r="M7" s="68" t="e">
        <f>+GETPIVOTDATA("Recorte SHCP ",#REF!,"No. Ramo",6,"IPP","S","PP",1,"UR","GSA")+GETPIVOTDATA("Recorte SHCP ",#REF!,"No. Ramo",6,"IPP","S","PP",172,"UR","GSA")+GETPIVOTDATA("Recorte SHCP ",#REF!,"No. Ramo",6,"IPP","S","PP",199,"UR","GSA")</f>
        <v>#REF!</v>
      </c>
      <c r="N7" s="68" t="e">
        <f>+GETPIVOTDATA("PEF 2010 ",#REF!,"No. Ramo",6,"IPP","S","PP",1,"UR","GSA")+GETPIVOTDATA("PEF 2010 ",#REF!,"No. Ramo",6,"IPP","S","PP",172,"UR","GSA")+GETPIVOTDATA("PEF 2010 ",#REF!,"No. Ramo",6,"IPP","S","PP",199,"UR","GSA")</f>
        <v>#REF!</v>
      </c>
      <c r="O7" s="68" t="e">
        <f>+GETPIVOTDATA("PPEF 2011 ",#REF!,"No. Ramo",6,"IPP","S","PP",1,"UR","GSA")+GETPIVOTDATA("PPEF 2011 ",#REF!,"No. Ramo",6,"IPP","S","PP",172,"UR","GSA")+GETPIVOTDATA("PPEF 2011 ",#REF!,"No. Ramo",6,"IPP","S","PP",199,"UR","GSA")</f>
        <v>#REF!</v>
      </c>
      <c r="P7" s="68" t="e">
        <f>+GETPIVOTDATA("Reducción ",#REF!,"No. Ramo",6,"IPP","S","PP",1,"UR","GSA")+GETPIVOTDATA("Reducción ",#REF!,"No. Ramo",6,"IPP","S","PP",172,"UR","GSA")+GETPIVOTDATA("Reducción ",#REF!,"No. Ramo",6,"IPP","S","PP",199,"UR","GSA")</f>
        <v>#REF!</v>
      </c>
      <c r="Q7" s="68" t="e">
        <f>+GETPIVOTDATA("Ampliación ",#REF!,"No. Ramo",6,"IPP","S","PP",1,"UR","GSA")+GETPIVOTDATA("Ampliación ",#REF!,"No. Ramo",6,"IPP","S","PP",172,"UR","GSA")+GETPIVOTDATA("Ampliación ",#REF!,"No. Ramo",6,"IPP","S","PP",199,"UR","GSA")</f>
        <v>#REF!</v>
      </c>
      <c r="R7" s="69" t="e">
        <f>+O7-P7+Q7</f>
        <v>#REF!</v>
      </c>
      <c r="S7" s="69"/>
      <c r="T7" s="69"/>
      <c r="U7" s="69" t="e">
        <f>+$I7*O7</f>
        <v>#REF!</v>
      </c>
      <c r="V7" s="69" t="e">
        <f>+$I7*P7</f>
        <v>#REF!</v>
      </c>
      <c r="W7" s="69" t="e">
        <f>+$I7*Q7</f>
        <v>#REF!</v>
      </c>
      <c r="X7" s="69" t="e">
        <f>+$I7*R7</f>
        <v>#REF!</v>
      </c>
      <c r="Z7" s="1" t="e">
        <f>+Z4-Z6</f>
        <v>#REF!</v>
      </c>
      <c r="AH7" s="152"/>
      <c r="AI7" s="153" t="s">
        <v>654</v>
      </c>
      <c r="AJ7" s="154"/>
      <c r="AK7" s="154"/>
      <c r="AL7" s="155"/>
      <c r="AM7" s="277"/>
      <c r="AN7" s="277"/>
      <c r="AO7" s="278"/>
      <c r="AP7" s="146">
        <f>AP8+AP9+AP10</f>
        <v>0</v>
      </c>
      <c r="AQ7" s="146">
        <f>AQ8+AQ9+AQ10</f>
        <v>0</v>
      </c>
      <c r="AR7" s="146">
        <f>AR8+AR9+AR10</f>
        <v>0</v>
      </c>
      <c r="AS7" s="245"/>
      <c r="AT7" s="245"/>
      <c r="AU7" s="146">
        <f>AU8+AU9+AU10</f>
        <v>0</v>
      </c>
      <c r="AX7" s="152"/>
      <c r="AY7" s="153" t="s">
        <v>654</v>
      </c>
      <c r="AZ7" s="154"/>
      <c r="BA7" s="154"/>
      <c r="BB7" s="155"/>
      <c r="BC7" s="275"/>
      <c r="BD7" s="275"/>
      <c r="BE7" s="276"/>
      <c r="BF7" s="187">
        <f>BF8+BF9+BF10</f>
        <v>0</v>
      </c>
    </row>
    <row r="8" spans="2:58">
      <c r="B8" s="30"/>
      <c r="C8" s="100" t="s">
        <v>83</v>
      </c>
      <c r="D8" s="31"/>
      <c r="E8" s="31"/>
      <c r="F8" s="33"/>
      <c r="G8" s="33"/>
      <c r="H8" s="33"/>
      <c r="I8" s="67"/>
      <c r="J8" s="33"/>
      <c r="K8" s="68"/>
      <c r="L8" s="68"/>
      <c r="M8" s="68"/>
      <c r="N8" s="68"/>
      <c r="O8" s="68"/>
      <c r="P8" s="68"/>
      <c r="Q8" s="68"/>
      <c r="R8" s="69"/>
      <c r="S8" s="69"/>
      <c r="T8" s="69"/>
      <c r="U8" s="69"/>
      <c r="V8" s="69"/>
      <c r="W8" s="69"/>
      <c r="X8" s="69"/>
      <c r="Z8" s="1"/>
      <c r="AH8" s="152"/>
      <c r="AI8" s="156"/>
      <c r="AJ8" s="154" t="s">
        <v>83</v>
      </c>
      <c r="AK8" s="154"/>
      <c r="AL8" s="155"/>
      <c r="AM8" s="277"/>
      <c r="AN8" s="277"/>
      <c r="AO8" s="278"/>
      <c r="AP8" s="146"/>
      <c r="AQ8" s="146"/>
      <c r="AR8" s="146"/>
      <c r="AS8" s="245"/>
      <c r="AT8" s="245"/>
      <c r="AU8" s="146"/>
      <c r="AX8" s="152"/>
      <c r="AY8" s="191"/>
      <c r="AZ8" s="154" t="s">
        <v>83</v>
      </c>
      <c r="BA8" s="154"/>
      <c r="BB8" s="155"/>
      <c r="BC8" s="275"/>
      <c r="BD8" s="275"/>
      <c r="BE8" s="276"/>
      <c r="BF8" s="187">
        <f>+AU8</f>
        <v>0</v>
      </c>
    </row>
    <row r="9" spans="2:58">
      <c r="B9" s="30"/>
      <c r="C9" s="100" t="s">
        <v>93</v>
      </c>
      <c r="D9" s="31"/>
      <c r="E9" s="31"/>
      <c r="F9" s="33"/>
      <c r="G9" s="33"/>
      <c r="H9" s="33"/>
      <c r="I9" s="67"/>
      <c r="J9" s="33"/>
      <c r="K9" s="68"/>
      <c r="L9" s="68"/>
      <c r="M9" s="68"/>
      <c r="N9" s="68"/>
      <c r="O9" s="68"/>
      <c r="P9" s="68"/>
      <c r="Q9" s="68"/>
      <c r="R9" s="69"/>
      <c r="S9" s="69"/>
      <c r="T9" s="69"/>
      <c r="U9" s="69"/>
      <c r="V9" s="69"/>
      <c r="W9" s="69"/>
      <c r="X9" s="69"/>
      <c r="Z9" s="1"/>
      <c r="AH9" s="152"/>
      <c r="AI9" s="156"/>
      <c r="AJ9" s="154" t="s">
        <v>93</v>
      </c>
      <c r="AK9" s="154"/>
      <c r="AL9" s="155"/>
      <c r="AM9" s="277"/>
      <c r="AN9" s="277"/>
      <c r="AO9" s="278"/>
      <c r="AP9" s="146"/>
      <c r="AQ9" s="146"/>
      <c r="AR9" s="146"/>
      <c r="AS9" s="245"/>
      <c r="AT9" s="245"/>
      <c r="AU9" s="146"/>
      <c r="AX9" s="152"/>
      <c r="AY9" s="191"/>
      <c r="AZ9" s="154" t="s">
        <v>93</v>
      </c>
      <c r="BA9" s="154"/>
      <c r="BB9" s="155"/>
      <c r="BC9" s="275"/>
      <c r="BD9" s="275"/>
      <c r="BE9" s="276"/>
      <c r="BF9" s="187">
        <f>+AU9</f>
        <v>0</v>
      </c>
    </row>
    <row r="10" spans="2:58">
      <c r="B10" s="30"/>
      <c r="C10" s="100" t="s">
        <v>80</v>
      </c>
      <c r="D10" s="31"/>
      <c r="E10" s="31"/>
      <c r="F10" s="33"/>
      <c r="G10" s="33"/>
      <c r="H10" s="33"/>
      <c r="I10" s="67"/>
      <c r="J10" s="33"/>
      <c r="K10" s="68"/>
      <c r="L10" s="68"/>
      <c r="M10" s="68"/>
      <c r="N10" s="68"/>
      <c r="O10" s="68"/>
      <c r="P10" s="68"/>
      <c r="Q10" s="68"/>
      <c r="R10" s="69"/>
      <c r="S10" s="69"/>
      <c r="T10" s="69"/>
      <c r="U10" s="69"/>
      <c r="V10" s="69"/>
      <c r="W10" s="69"/>
      <c r="X10" s="69"/>
      <c r="Z10" s="1"/>
      <c r="AH10" s="152"/>
      <c r="AI10" s="156"/>
      <c r="AJ10" s="154" t="s">
        <v>80</v>
      </c>
      <c r="AK10" s="154"/>
      <c r="AL10" s="155"/>
      <c r="AM10" s="277"/>
      <c r="AN10" s="277"/>
      <c r="AO10" s="278"/>
      <c r="AP10" s="146"/>
      <c r="AQ10" s="146"/>
      <c r="AR10" s="146"/>
      <c r="AS10" s="245"/>
      <c r="AT10" s="245"/>
      <c r="AU10" s="146"/>
      <c r="AX10" s="152"/>
      <c r="AY10" s="191"/>
      <c r="AZ10" s="154" t="s">
        <v>80</v>
      </c>
      <c r="BA10" s="154"/>
      <c r="BB10" s="155"/>
      <c r="BC10" s="275"/>
      <c r="BD10" s="275"/>
      <c r="BE10" s="276"/>
      <c r="BF10" s="187">
        <f>+AU10</f>
        <v>0</v>
      </c>
    </row>
    <row r="11" spans="2:58">
      <c r="B11" s="30"/>
      <c r="C11" s="30" t="s">
        <v>655</v>
      </c>
      <c r="D11" s="30"/>
      <c r="E11" s="30"/>
      <c r="F11" s="33"/>
      <c r="G11" s="33" t="s">
        <v>53</v>
      </c>
      <c r="H11" s="33"/>
      <c r="I11" s="67">
        <v>1</v>
      </c>
      <c r="J11" s="33"/>
      <c r="K11" s="68" t="e">
        <f>+GETPIVOTDATA("PPEF 2010 ",#REF!,"No. Ramo",6,"IPP","F","PP",1,"UR","HAN")+GETPIVOTDATA("PPEF 2010 ",#REF!,"No. Ramo",6,"IPP","F","PP",2,"UR","HAN")+GETPIVOTDATA("PPEF 2010 ",#REF!,"No. Ramo",6,"IPP","F","PP",29,"UR","HAN")+GETPIVOTDATA("PPEF 2010 ",#REF!,"No. Ramo",6,"IPP","F","PP",30,"UR","HAN")</f>
        <v>#REF!</v>
      </c>
      <c r="L11" s="68" t="e">
        <f>+GETPIVOTDATA("Ampliación Neta DIP ",#REF!,"No. Ramo",6,"IPP","F","PP",1,"UR","HAN")+GETPIVOTDATA("Ampliación Neta DIP ",#REF!,"No. Ramo",6,"IPP","F","PP",2,"UR","HAN")+GETPIVOTDATA("Ampliación Neta DIP ",#REF!,"No. Ramo",6,"IPP","F","PP",29,"UR","HAN")+GETPIVOTDATA("Ampliación Neta DIP ",#REF!,"No. Ramo",6,"IPP","F","PP",30,"UR","HAN")</f>
        <v>#REF!</v>
      </c>
      <c r="M11" s="68" t="e">
        <f>+GETPIVOTDATA("Recorte SHCP ",#REF!,"No. Ramo",6,"IPP","F","PP",1,"UR","HAN")+GETPIVOTDATA("Recorte SHCP ",#REF!,"No. Ramo",6,"IPP","F","PP",2,"UR","HAN")+GETPIVOTDATA("Recorte SHCP ",#REF!,"No. Ramo",6,"IPP","F","PP",29,"UR","HAN")+GETPIVOTDATA("Recorte SHCP ",#REF!,"No. Ramo",6,"IPP","F","PP",30,"UR","HAN")</f>
        <v>#REF!</v>
      </c>
      <c r="N11" s="68" t="e">
        <f>+GETPIVOTDATA("PEF 2010 ",#REF!,"No. Ramo",6,"IPP","F","PP",1,"UR","HAN")+GETPIVOTDATA("PEF 2010 ",#REF!,"No. Ramo",6,"IPP","F","PP",2,"UR","HAN")+GETPIVOTDATA("PEF 2010 ",#REF!,"No. Ramo",6,"IPP","F","PP",29,"UR","HAN")+GETPIVOTDATA("PEF 2010 ",#REF!,"No. Ramo",6,"IPP","F","PP",30,"UR","HAN")</f>
        <v>#REF!</v>
      </c>
      <c r="O11" s="68" t="e">
        <f>+GETPIVOTDATA("PPEF 2011 ",#REF!,"No. Ramo",6,"IPP","F","PP",1,"UR","HAN")+GETPIVOTDATA("PPEF 2011 ",#REF!,"No. Ramo",6,"IPP","F","PP",2,"UR","HAN")+GETPIVOTDATA("PPEF 2011 ",#REF!,"No. Ramo",6,"IPP","F","PP",29,"UR","HAN")+GETPIVOTDATA("PPEF 2011 ",#REF!,"No. Ramo",6,"IPP","F","PP",30,"UR","HAN")</f>
        <v>#REF!</v>
      </c>
      <c r="P11" s="68" t="e">
        <f>+GETPIVOTDATA("Reducción ",#REF!,"No. Ramo",6,"IPP","F","PP",1,"UR","HAN")+GETPIVOTDATA("Reducción ",#REF!,"No. Ramo",6,"IPP","F","PP",2,"UR","HAN")+GETPIVOTDATA("Reducción ",#REF!,"No. Ramo",6,"IPP","F","PP",29,"UR","HAN")+GETPIVOTDATA("Reducción ",#REF!,"No. Ramo",6,"IPP","F","PP",30,"UR","HAN")</f>
        <v>#REF!</v>
      </c>
      <c r="Q11" s="68" t="e">
        <f>+GETPIVOTDATA("Ampliación ",#REF!,"No. Ramo",6,"IPP","F","PP",1,"UR","HAN")+GETPIVOTDATA("Ampliación ",#REF!,"No. Ramo",6,"IPP","F","PP",2,"UR","HAN")+GETPIVOTDATA("Ampliación ",#REF!,"No. Ramo",6,"IPP","F","PP",29,"UR","HAN")+GETPIVOTDATA("Ampliación ",#REF!,"No. Ramo",6,"IPP","F","PP",30,"UR","HAN")</f>
        <v>#REF!</v>
      </c>
      <c r="R11" s="69" t="e">
        <f t="shared" si="1"/>
        <v>#REF!</v>
      </c>
      <c r="S11" s="69"/>
      <c r="T11" s="69"/>
      <c r="U11" s="69" t="e">
        <f>+$I11*O11</f>
        <v>#REF!</v>
      </c>
      <c r="V11" s="69" t="e">
        <f>+$I11*P11</f>
        <v>#REF!</v>
      </c>
      <c r="W11" s="69" t="e">
        <f>+$I11*Q11</f>
        <v>#REF!</v>
      </c>
      <c r="X11" s="69" t="e">
        <f>+$I11*R11</f>
        <v>#REF!</v>
      </c>
      <c r="AH11" s="152"/>
      <c r="AI11" s="157" t="s">
        <v>655</v>
      </c>
      <c r="AJ11" s="158"/>
      <c r="AK11" s="158"/>
      <c r="AL11" s="155"/>
      <c r="AM11" s="277"/>
      <c r="AN11" s="277"/>
      <c r="AO11" s="278"/>
      <c r="AP11" s="146">
        <f>AP12+AP13+AP14+AP15+AP16</f>
        <v>0</v>
      </c>
      <c r="AQ11" s="146">
        <f>AQ12+AQ13+AQ14+AQ15+AQ16</f>
        <v>0</v>
      </c>
      <c r="AR11" s="146">
        <f>AR12+AR13+AR14+AR15+AR16</f>
        <v>0</v>
      </c>
      <c r="AS11" s="245"/>
      <c r="AT11" s="245"/>
      <c r="AU11" s="146">
        <f>AU12+AU13+AU14+AU15+AU16</f>
        <v>0</v>
      </c>
      <c r="AX11" s="152"/>
      <c r="AY11" s="157" t="s">
        <v>655</v>
      </c>
      <c r="AZ11" s="158"/>
      <c r="BA11" s="158"/>
      <c r="BB11" s="155"/>
      <c r="BC11" s="275"/>
      <c r="BD11" s="275"/>
      <c r="BE11" s="276"/>
      <c r="BF11" s="187">
        <f>BF12+BF13+BF14+BF15+BF16</f>
        <v>0</v>
      </c>
    </row>
    <row r="12" spans="2:58">
      <c r="B12" s="30"/>
      <c r="C12" s="100" t="s">
        <v>867</v>
      </c>
      <c r="D12" s="30"/>
      <c r="E12" s="30"/>
      <c r="F12" s="33"/>
      <c r="G12" s="33"/>
      <c r="H12" s="33"/>
      <c r="I12" s="67"/>
      <c r="J12" s="33"/>
      <c r="K12" s="68"/>
      <c r="L12" s="68"/>
      <c r="M12" s="68"/>
      <c r="N12" s="68"/>
      <c r="O12" s="68"/>
      <c r="P12" s="68"/>
      <c r="Q12" s="68"/>
      <c r="R12" s="69"/>
      <c r="S12" s="69"/>
      <c r="T12" s="69"/>
      <c r="U12" s="69"/>
      <c r="V12" s="69"/>
      <c r="W12" s="69"/>
      <c r="X12" s="69"/>
      <c r="AH12" s="152"/>
      <c r="AI12" s="159"/>
      <c r="AJ12" s="397" t="s">
        <v>867</v>
      </c>
      <c r="AK12" s="397"/>
      <c r="AL12" s="397"/>
      <c r="AM12" s="397"/>
      <c r="AN12" s="397"/>
      <c r="AO12" s="398"/>
      <c r="AP12" s="146"/>
      <c r="AQ12" s="146"/>
      <c r="AR12" s="146"/>
      <c r="AS12" s="245"/>
      <c r="AT12" s="245"/>
      <c r="AU12" s="146"/>
      <c r="AX12" s="152"/>
      <c r="AY12" s="159"/>
      <c r="AZ12" s="397" t="s">
        <v>867</v>
      </c>
      <c r="BA12" s="397"/>
      <c r="BB12" s="397"/>
      <c r="BC12" s="397"/>
      <c r="BD12" s="397"/>
      <c r="BE12" s="398"/>
      <c r="BF12" s="187">
        <f t="shared" ref="BF12:BF17" si="4">+AU12</f>
        <v>0</v>
      </c>
    </row>
    <row r="13" spans="2:58">
      <c r="B13" s="30"/>
      <c r="C13" s="100" t="s">
        <v>868</v>
      </c>
      <c r="D13" s="30"/>
      <c r="E13" s="30"/>
      <c r="F13" s="33"/>
      <c r="G13" s="33"/>
      <c r="H13" s="33"/>
      <c r="I13" s="67"/>
      <c r="J13" s="33"/>
      <c r="K13" s="68"/>
      <c r="L13" s="68"/>
      <c r="M13" s="68"/>
      <c r="N13" s="68"/>
      <c r="O13" s="68"/>
      <c r="P13" s="68"/>
      <c r="Q13" s="68"/>
      <c r="R13" s="69"/>
      <c r="S13" s="69"/>
      <c r="T13" s="69"/>
      <c r="U13" s="69"/>
      <c r="V13" s="69"/>
      <c r="W13" s="69"/>
      <c r="X13" s="69"/>
      <c r="Z13" s="1" t="e">
        <f>+X23+X60+X63+X76+X98+X104+X127+X215</f>
        <v>#REF!</v>
      </c>
      <c r="AH13" s="152"/>
      <c r="AI13" s="159"/>
      <c r="AJ13" s="154" t="s">
        <v>868</v>
      </c>
      <c r="AK13" s="158"/>
      <c r="AL13" s="155"/>
      <c r="AM13" s="277"/>
      <c r="AN13" s="277"/>
      <c r="AO13" s="278"/>
      <c r="AP13" s="146"/>
      <c r="AQ13" s="146"/>
      <c r="AR13" s="146"/>
      <c r="AS13" s="245"/>
      <c r="AT13" s="245"/>
      <c r="AU13" s="146"/>
      <c r="AX13" s="152"/>
      <c r="AY13" s="159"/>
      <c r="AZ13" s="154" t="s">
        <v>868</v>
      </c>
      <c r="BA13" s="158"/>
      <c r="BB13" s="155"/>
      <c r="BC13" s="275"/>
      <c r="BD13" s="275"/>
      <c r="BE13" s="276"/>
      <c r="BF13" s="187">
        <f t="shared" si="4"/>
        <v>0</v>
      </c>
    </row>
    <row r="14" spans="2:58">
      <c r="B14" s="30"/>
      <c r="C14" s="100" t="s">
        <v>869</v>
      </c>
      <c r="D14" s="30"/>
      <c r="E14" s="30"/>
      <c r="F14" s="33"/>
      <c r="G14" s="33"/>
      <c r="H14" s="33"/>
      <c r="I14" s="67"/>
      <c r="J14" s="33"/>
      <c r="K14" s="68"/>
      <c r="L14" s="68"/>
      <c r="M14" s="68"/>
      <c r="N14" s="68"/>
      <c r="O14" s="68"/>
      <c r="P14" s="68"/>
      <c r="Q14" s="68"/>
      <c r="R14" s="69"/>
      <c r="S14" s="69"/>
      <c r="T14" s="69"/>
      <c r="U14" s="69"/>
      <c r="V14" s="69"/>
      <c r="W14" s="69"/>
      <c r="X14" s="69"/>
      <c r="Z14" s="1">
        <v>59529079215</v>
      </c>
      <c r="AH14" s="152"/>
      <c r="AI14" s="159"/>
      <c r="AJ14" s="154" t="s">
        <v>869</v>
      </c>
      <c r="AK14" s="158"/>
      <c r="AL14" s="155"/>
      <c r="AM14" s="277"/>
      <c r="AN14" s="277"/>
      <c r="AO14" s="278"/>
      <c r="AP14" s="146"/>
      <c r="AQ14" s="146"/>
      <c r="AR14" s="146"/>
      <c r="AS14" s="245"/>
      <c r="AT14" s="245"/>
      <c r="AU14" s="146"/>
      <c r="AX14" s="152"/>
      <c r="AY14" s="159"/>
      <c r="AZ14" s="154" t="s">
        <v>869</v>
      </c>
      <c r="BA14" s="158"/>
      <c r="BB14" s="155"/>
      <c r="BC14" s="275"/>
      <c r="BD14" s="275"/>
      <c r="BE14" s="276"/>
      <c r="BF14" s="187">
        <f t="shared" si="4"/>
        <v>0</v>
      </c>
    </row>
    <row r="15" spans="2:58">
      <c r="B15" s="30"/>
      <c r="C15" s="100" t="s">
        <v>870</v>
      </c>
      <c r="D15" s="30"/>
      <c r="E15" s="30"/>
      <c r="F15" s="33"/>
      <c r="G15" s="33"/>
      <c r="H15" s="33"/>
      <c r="I15" s="67"/>
      <c r="J15" s="33"/>
      <c r="K15" s="68"/>
      <c r="L15" s="68"/>
      <c r="M15" s="68"/>
      <c r="N15" s="68"/>
      <c r="O15" s="68"/>
      <c r="P15" s="68"/>
      <c r="Q15" s="68"/>
      <c r="R15" s="69"/>
      <c r="S15" s="69"/>
      <c r="T15" s="69"/>
      <c r="U15" s="69"/>
      <c r="V15" s="69"/>
      <c r="W15" s="69"/>
      <c r="X15" s="69"/>
      <c r="Z15" s="1" t="e">
        <f>+Z14-Z13</f>
        <v>#REF!</v>
      </c>
      <c r="AH15" s="152"/>
      <c r="AI15" s="159"/>
      <c r="AJ15" s="154" t="s">
        <v>870</v>
      </c>
      <c r="AK15" s="158"/>
      <c r="AL15" s="155"/>
      <c r="AM15" s="277"/>
      <c r="AN15" s="277"/>
      <c r="AO15" s="278"/>
      <c r="AP15" s="146"/>
      <c r="AQ15" s="146"/>
      <c r="AR15" s="146"/>
      <c r="AS15" s="245"/>
      <c r="AT15" s="245"/>
      <c r="AU15" s="146"/>
      <c r="AX15" s="152"/>
      <c r="AY15" s="159"/>
      <c r="AZ15" s="154" t="s">
        <v>870</v>
      </c>
      <c r="BA15" s="158"/>
      <c r="BB15" s="155"/>
      <c r="BC15" s="275"/>
      <c r="BD15" s="275"/>
      <c r="BE15" s="276"/>
      <c r="BF15" s="187">
        <f t="shared" si="4"/>
        <v>0</v>
      </c>
    </row>
    <row r="16" spans="2:58">
      <c r="B16" s="30"/>
      <c r="C16" s="100" t="s">
        <v>871</v>
      </c>
      <c r="D16" s="30"/>
      <c r="E16" s="30"/>
      <c r="F16" s="33"/>
      <c r="G16" s="33"/>
      <c r="H16" s="33"/>
      <c r="I16" s="67"/>
      <c r="J16" s="33"/>
      <c r="K16" s="68"/>
      <c r="L16" s="68"/>
      <c r="M16" s="68"/>
      <c r="N16" s="68"/>
      <c r="O16" s="68"/>
      <c r="P16" s="68"/>
      <c r="Q16" s="68"/>
      <c r="R16" s="69"/>
      <c r="S16" s="69"/>
      <c r="T16" s="69"/>
      <c r="U16" s="69"/>
      <c r="V16" s="69"/>
      <c r="W16" s="69"/>
      <c r="X16" s="69"/>
      <c r="AH16" s="152"/>
      <c r="AI16" s="159"/>
      <c r="AJ16" s="154" t="s">
        <v>871</v>
      </c>
      <c r="AK16" s="158"/>
      <c r="AL16" s="155"/>
      <c r="AM16" s="277"/>
      <c r="AN16" s="277"/>
      <c r="AO16" s="278"/>
      <c r="AP16" s="146"/>
      <c r="AQ16" s="146"/>
      <c r="AR16" s="146"/>
      <c r="AS16" s="245"/>
      <c r="AT16" s="245"/>
      <c r="AU16" s="146"/>
      <c r="AX16" s="152"/>
      <c r="AY16" s="159"/>
      <c r="AZ16" s="154" t="s">
        <v>871</v>
      </c>
      <c r="BA16" s="158"/>
      <c r="BB16" s="155"/>
      <c r="BC16" s="275"/>
      <c r="BD16" s="275"/>
      <c r="BE16" s="276"/>
      <c r="BF16" s="187">
        <f t="shared" si="4"/>
        <v>0</v>
      </c>
    </row>
    <row r="17" spans="1:75">
      <c r="B17" s="30"/>
      <c r="C17" s="30" t="s">
        <v>656</v>
      </c>
      <c r="D17" s="30"/>
      <c r="E17" s="30"/>
      <c r="F17" s="33"/>
      <c r="G17" s="33" t="s">
        <v>55</v>
      </c>
      <c r="H17" s="33"/>
      <c r="I17" s="67">
        <v>1</v>
      </c>
      <c r="J17" s="33"/>
      <c r="K17" s="68" t="e">
        <f>+GETPIVOTDATA("PPEF 2010 ",#REF!,"No. Ramo",6,"IPP","F","PP",33,"UR","HJO")+GETPIVOTDATA("PPEF 2010 ",#REF!,"No. Ramo",6,"IPP","S","PP",210,"UR","HJO")</f>
        <v>#REF!</v>
      </c>
      <c r="L17" s="68" t="e">
        <f>+GETPIVOTDATA("Ampliación Neta DIP ",#REF!,"No. Ramo",6,"IPP","F","PP",33,"UR","HJO")+GETPIVOTDATA("Ampliación Neta DIP ",#REF!,"No. Ramo",6,"IPP","S","PP",210,"UR","HJO")</f>
        <v>#REF!</v>
      </c>
      <c r="M17" s="68" t="e">
        <f>+GETPIVOTDATA("Recorte SHCP ",#REF!,"No. Ramo",6,"IPP","F","PP",33,"UR","HJO")+GETPIVOTDATA("Recorte SHCP ",#REF!,"No. Ramo",6,"IPP","S","PP",210,"UR","HJO")</f>
        <v>#REF!</v>
      </c>
      <c r="N17" s="68" t="e">
        <f>+GETPIVOTDATA("PEF 2010 ",#REF!,"No. Ramo",6,"IPP","F","PP",33,"UR","HJO")+GETPIVOTDATA("PEF 2010 ",#REF!,"No. Ramo",6,"IPP","S","PP",210,"UR","HJO")</f>
        <v>#REF!</v>
      </c>
      <c r="O17" s="68" t="e">
        <f>+GETPIVOTDATA("PPEF 2011 ",#REF!,"No. Ramo",6,"IPP","F","PP",33,"UR","HJO")+GETPIVOTDATA("PPEF 2011 ",#REF!,"No. Ramo",6,"IPP","S","PP",210,"UR","HJO")</f>
        <v>#REF!</v>
      </c>
      <c r="P17" s="68" t="e">
        <f>+GETPIVOTDATA("Reducción ",#REF!,"No. Ramo",6,"IPP","F","PP",33,"UR","HJO")+GETPIVOTDATA("Reducción ",#REF!,"No. Ramo",6,"IPP","S","PP",210,"UR","HJO")</f>
        <v>#REF!</v>
      </c>
      <c r="Q17" s="68" t="e">
        <f>+GETPIVOTDATA("Ampliación ",#REF!,"No. Ramo",6,"IPP","F","PP",33,"UR","HJO")+GETPIVOTDATA("Ampliación ",#REF!,"No. Ramo",6,"IPP","S","PP",210,"UR","HJO")</f>
        <v>#REF!</v>
      </c>
      <c r="R17" s="69" t="e">
        <f t="shared" si="1"/>
        <v>#REF!</v>
      </c>
      <c r="S17" s="69"/>
      <c r="T17" s="69"/>
      <c r="U17" s="69" t="e">
        <f t="shared" ref="U17:X18" si="5">+$I17*O17</f>
        <v>#REF!</v>
      </c>
      <c r="V17" s="69" t="e">
        <f t="shared" si="5"/>
        <v>#REF!</v>
      </c>
      <c r="W17" s="69" t="e">
        <f t="shared" si="5"/>
        <v>#REF!</v>
      </c>
      <c r="X17" s="69" t="e">
        <f t="shared" si="5"/>
        <v>#REF!</v>
      </c>
      <c r="AH17" s="152"/>
      <c r="AI17" s="157" t="s">
        <v>656</v>
      </c>
      <c r="AJ17" s="158"/>
      <c r="AK17" s="158"/>
      <c r="AL17" s="155"/>
      <c r="AM17" s="277"/>
      <c r="AN17" s="277"/>
      <c r="AO17" s="278"/>
      <c r="AP17" s="146"/>
      <c r="AQ17" s="146"/>
      <c r="AR17" s="146"/>
      <c r="AS17" s="245"/>
      <c r="AT17" s="245"/>
      <c r="AU17" s="146"/>
      <c r="AX17" s="152"/>
      <c r="AY17" s="157" t="s">
        <v>656</v>
      </c>
      <c r="AZ17" s="158"/>
      <c r="BA17" s="158"/>
      <c r="BB17" s="155"/>
      <c r="BC17" s="275"/>
      <c r="BD17" s="275"/>
      <c r="BE17" s="276"/>
      <c r="BF17" s="187">
        <f t="shared" si="4"/>
        <v>0</v>
      </c>
    </row>
    <row r="18" spans="1:75">
      <c r="B18" s="30"/>
      <c r="C18" s="30" t="s">
        <v>657</v>
      </c>
      <c r="D18" s="30"/>
      <c r="E18" s="30"/>
      <c r="F18" s="33" t="s">
        <v>797</v>
      </c>
      <c r="G18" s="33" t="s">
        <v>57</v>
      </c>
      <c r="H18" s="33"/>
      <c r="I18" s="67">
        <v>1</v>
      </c>
      <c r="J18" s="33"/>
      <c r="K18" s="68" t="e">
        <f>+GETPIVOTDATA("PPEF 2010 ",#REF!,"No. Ramo",6,"IPP","F","PP",10,"UR","HAT")</f>
        <v>#REF!</v>
      </c>
      <c r="L18" s="68" t="e">
        <f>+GETPIVOTDATA("Ampliación Neta DIP ",#REF!,"No. Ramo",6,"IPP","F","PP",10,"UR","HAT")</f>
        <v>#REF!</v>
      </c>
      <c r="M18" s="68" t="e">
        <f>+GETPIVOTDATA("Recorte SHCP ",#REF!,"No. Ramo",6,"IPP","F","PP",10,"UR","HAT")</f>
        <v>#REF!</v>
      </c>
      <c r="N18" s="68" t="e">
        <f>+GETPIVOTDATA("PEF 2010 ",#REF!,"No. Ramo",6,"IPP","F","PP",10,"UR","HAT")</f>
        <v>#REF!</v>
      </c>
      <c r="O18" s="68" t="e">
        <f>+GETPIVOTDATA("PPEF 2011 ",#REF!,"No. Ramo",6,"IPP","F","PP",10,"UR","HAT")</f>
        <v>#REF!</v>
      </c>
      <c r="P18" s="68" t="e">
        <f>+GETPIVOTDATA("Reducción ",#REF!,"No. Ramo",6,"IPP","F","PP",10,"UR","HAT")</f>
        <v>#REF!</v>
      </c>
      <c r="Q18" s="68" t="e">
        <f>+GETPIVOTDATA("Ampliación ",#REF!,"No. Ramo",6,"IPP","F","PP",10,"UR","HAT")</f>
        <v>#REF!</v>
      </c>
      <c r="R18" s="69" t="e">
        <f t="shared" si="1"/>
        <v>#REF!</v>
      </c>
      <c r="S18" s="69"/>
      <c r="T18" s="69"/>
      <c r="U18" s="69" t="e">
        <f t="shared" si="5"/>
        <v>#REF!</v>
      </c>
      <c r="V18" s="69" t="e">
        <f t="shared" si="5"/>
        <v>#REF!</v>
      </c>
      <c r="W18" s="69" t="e">
        <f t="shared" si="5"/>
        <v>#REF!</v>
      </c>
      <c r="X18" s="69" t="e">
        <f t="shared" si="5"/>
        <v>#REF!</v>
      </c>
      <c r="AH18" s="152"/>
      <c r="AI18" s="157" t="s">
        <v>657</v>
      </c>
      <c r="AJ18" s="158"/>
      <c r="AK18" s="158"/>
      <c r="AL18" s="277"/>
      <c r="AM18" s="277"/>
      <c r="AN18" s="277"/>
      <c r="AO18" s="278"/>
      <c r="AP18" s="146">
        <f>AP19+AP20</f>
        <v>0</v>
      </c>
      <c r="AQ18" s="146">
        <f>AQ19+AQ20</f>
        <v>0</v>
      </c>
      <c r="AR18" s="146">
        <f>AR19+AR20</f>
        <v>0</v>
      </c>
      <c r="AS18" s="245"/>
      <c r="AT18" s="245"/>
      <c r="AU18" s="146">
        <f>AU19+AU20</f>
        <v>0</v>
      </c>
      <c r="AX18" s="152"/>
      <c r="AY18" s="157" t="s">
        <v>657</v>
      </c>
      <c r="AZ18" s="158"/>
      <c r="BA18" s="158"/>
      <c r="BB18" s="275"/>
      <c r="BC18" s="275"/>
      <c r="BD18" s="275"/>
      <c r="BE18" s="276"/>
      <c r="BF18" s="187">
        <f>BF19+BF20</f>
        <v>0</v>
      </c>
    </row>
    <row r="19" spans="1:75">
      <c r="B19" s="30"/>
      <c r="C19" s="100" t="s">
        <v>872</v>
      </c>
      <c r="D19" s="30"/>
      <c r="E19" s="30"/>
      <c r="F19" s="33"/>
      <c r="G19" s="33"/>
      <c r="H19" s="33"/>
      <c r="I19" s="67"/>
      <c r="J19" s="33"/>
      <c r="K19" s="68"/>
      <c r="L19" s="68"/>
      <c r="M19" s="68"/>
      <c r="N19" s="68"/>
      <c r="O19" s="68"/>
      <c r="P19" s="68"/>
      <c r="Q19" s="68"/>
      <c r="R19" s="69"/>
      <c r="S19" s="69"/>
      <c r="T19" s="69"/>
      <c r="U19" s="69"/>
      <c r="V19" s="69"/>
      <c r="W19" s="69"/>
      <c r="X19" s="69"/>
      <c r="AH19" s="152"/>
      <c r="AI19" s="159"/>
      <c r="AJ19" s="154" t="s">
        <v>872</v>
      </c>
      <c r="AK19" s="158"/>
      <c r="AL19" s="155"/>
      <c r="AM19" s="277"/>
      <c r="AN19" s="277"/>
      <c r="AO19" s="278"/>
      <c r="AP19" s="146"/>
      <c r="AQ19" s="146"/>
      <c r="AR19" s="146"/>
      <c r="AS19" s="245"/>
      <c r="AT19" s="245"/>
      <c r="AU19" s="146"/>
      <c r="AX19" s="152"/>
      <c r="AY19" s="159"/>
      <c r="AZ19" s="154" t="s">
        <v>872</v>
      </c>
      <c r="BA19" s="158"/>
      <c r="BB19" s="155"/>
      <c r="BC19" s="275"/>
      <c r="BD19" s="275"/>
      <c r="BE19" s="276"/>
      <c r="BF19" s="187">
        <f>+AU19</f>
        <v>0</v>
      </c>
    </row>
    <row r="20" spans="1:75">
      <c r="B20" s="30"/>
      <c r="C20" s="100" t="s">
        <v>873</v>
      </c>
      <c r="D20" s="30"/>
      <c r="E20" s="30"/>
      <c r="F20" s="33"/>
      <c r="G20" s="33"/>
      <c r="H20" s="33"/>
      <c r="I20" s="67"/>
      <c r="J20" s="33"/>
      <c r="K20" s="68"/>
      <c r="L20" s="68"/>
      <c r="M20" s="68"/>
      <c r="N20" s="68"/>
      <c r="O20" s="68"/>
      <c r="P20" s="68"/>
      <c r="Q20" s="68"/>
      <c r="R20" s="69"/>
      <c r="S20" s="69"/>
      <c r="T20" s="69"/>
      <c r="U20" s="69"/>
      <c r="V20" s="69"/>
      <c r="W20" s="69"/>
      <c r="X20" s="69"/>
      <c r="AH20" s="152"/>
      <c r="AI20" s="159"/>
      <c r="AJ20" s="154" t="s">
        <v>873</v>
      </c>
      <c r="AK20" s="158"/>
      <c r="AL20" s="155"/>
      <c r="AM20" s="277"/>
      <c r="AN20" s="277"/>
      <c r="AO20" s="278"/>
      <c r="AP20" s="146"/>
      <c r="AQ20" s="146"/>
      <c r="AR20" s="146"/>
      <c r="AS20" s="245"/>
      <c r="AT20" s="245"/>
      <c r="AU20" s="146"/>
      <c r="AX20" s="152"/>
      <c r="AY20" s="159"/>
      <c r="AZ20" s="154" t="s">
        <v>873</v>
      </c>
      <c r="BA20" s="158"/>
      <c r="BB20" s="155"/>
      <c r="BC20" s="275"/>
      <c r="BD20" s="275"/>
      <c r="BE20" s="276"/>
      <c r="BF20" s="187">
        <f>+AU20</f>
        <v>0</v>
      </c>
    </row>
    <row r="21" spans="1:75">
      <c r="B21" s="30"/>
      <c r="C21" s="30" t="s">
        <v>658</v>
      </c>
      <c r="D21" s="30"/>
      <c r="E21" s="30"/>
      <c r="F21" s="33" t="s">
        <v>798</v>
      </c>
      <c r="G21" s="33" t="s">
        <v>59</v>
      </c>
      <c r="H21" s="33"/>
      <c r="I21" s="67">
        <v>1</v>
      </c>
      <c r="J21" s="33"/>
      <c r="K21" s="68" t="e">
        <f>+GETPIVOTDATA("PPEF 2010 ",#REF!,"No. Ramo",6,"IPP","F","PP",17,"UR","HAS")</f>
        <v>#REF!</v>
      </c>
      <c r="L21" s="68" t="e">
        <f>+GETPIVOTDATA("Ampliación Neta DIP ",#REF!,"No. Ramo",6,"IPP","F","PP",17,"UR","HAS")</f>
        <v>#REF!</v>
      </c>
      <c r="M21" s="68" t="e">
        <f>+GETPIVOTDATA("Recorte SHCP ",#REF!,"No. Ramo",6,"IPP","F","PP",17,"UR","HAS")</f>
        <v>#REF!</v>
      </c>
      <c r="N21" s="68" t="e">
        <f>+GETPIVOTDATA("PEF 2010 ",#REF!,"No. Ramo",6,"IPP","F","PP",17,"UR","HAS")</f>
        <v>#REF!</v>
      </c>
      <c r="O21" s="68" t="e">
        <f>+GETPIVOTDATA("PPEF 2011 ",#REF!,"No. Ramo",6,"IPP","F","PP",17,"UR","HAS")</f>
        <v>#REF!</v>
      </c>
      <c r="P21" s="68" t="e">
        <f>+GETPIVOTDATA("Reducción ",#REF!,"No. Ramo",6,"IPP","F","PP",17,"UR","HAS")</f>
        <v>#REF!</v>
      </c>
      <c r="Q21" s="68" t="e">
        <f>+GETPIVOTDATA("Ampliación ",#REF!,"No. Ramo",6,"IPP","F","PP",17,"UR","HAS")</f>
        <v>#REF!</v>
      </c>
      <c r="R21" s="69" t="e">
        <f t="shared" si="1"/>
        <v>#REF!</v>
      </c>
      <c r="S21" s="69"/>
      <c r="T21" s="69"/>
      <c r="U21" s="69" t="e">
        <f>+$I21*O21</f>
        <v>#REF!</v>
      </c>
      <c r="V21" s="69" t="e">
        <f>+$I21*P21</f>
        <v>#REF!</v>
      </c>
      <c r="W21" s="69" t="e">
        <f>+$I21*Q21</f>
        <v>#REF!</v>
      </c>
      <c r="X21" s="69" t="e">
        <f>+$I21*R21</f>
        <v>#REF!</v>
      </c>
      <c r="AH21" s="152"/>
      <c r="AI21" s="157" t="s">
        <v>658</v>
      </c>
      <c r="AJ21" s="158"/>
      <c r="AK21" s="158"/>
      <c r="AL21" s="277"/>
      <c r="AM21" s="277"/>
      <c r="AN21" s="277"/>
      <c r="AO21" s="278"/>
      <c r="AP21" s="146"/>
      <c r="AQ21" s="146"/>
      <c r="AR21" s="146"/>
      <c r="AS21" s="245"/>
      <c r="AT21" s="245"/>
      <c r="AU21" s="146"/>
      <c r="AX21" s="152"/>
      <c r="AY21" s="157" t="s">
        <v>658</v>
      </c>
      <c r="AZ21" s="158"/>
      <c r="BA21" s="158"/>
      <c r="BB21" s="275"/>
      <c r="BC21" s="275"/>
      <c r="BD21" s="275"/>
      <c r="BE21" s="276"/>
      <c r="BF21" s="187">
        <f>+AU21</f>
        <v>0</v>
      </c>
    </row>
    <row r="22" spans="1:75">
      <c r="B22" s="26"/>
      <c r="C22" s="27" t="s">
        <v>659</v>
      </c>
      <c r="D22" s="27"/>
      <c r="E22" s="27"/>
      <c r="F22" s="61"/>
      <c r="G22" s="61"/>
      <c r="H22" s="61"/>
      <c r="I22" s="62"/>
      <c r="J22" s="61"/>
      <c r="K22" s="71" t="e">
        <f t="shared" ref="K22:Q22" si="6">+K23+K48+K54+K57</f>
        <v>#REF!</v>
      </c>
      <c r="L22" s="71" t="e">
        <f t="shared" si="6"/>
        <v>#REF!</v>
      </c>
      <c r="M22" s="71" t="e">
        <f t="shared" si="6"/>
        <v>#REF!</v>
      </c>
      <c r="N22" s="71" t="e">
        <f t="shared" si="6"/>
        <v>#REF!</v>
      </c>
      <c r="O22" s="63" t="e">
        <f t="shared" si="6"/>
        <v>#REF!</v>
      </c>
      <c r="P22" s="71" t="e">
        <f t="shared" si="6"/>
        <v>#REF!</v>
      </c>
      <c r="Q22" s="71" t="e">
        <f t="shared" si="6"/>
        <v>#REF!</v>
      </c>
      <c r="R22" s="63" t="e">
        <f t="shared" si="1"/>
        <v>#REF!</v>
      </c>
      <c r="S22" s="63"/>
      <c r="T22" s="63"/>
      <c r="U22" s="63" t="e">
        <f>+U23+U48+U54+U57</f>
        <v>#REF!</v>
      </c>
      <c r="V22" s="63" t="e">
        <f>+V23+V48+V54+V57</f>
        <v>#REF!</v>
      </c>
      <c r="W22" s="63" t="e">
        <f>+W23+W48+W54+W57</f>
        <v>#REF!</v>
      </c>
      <c r="X22" s="63" t="e">
        <f>+X23+X48+X54+X57</f>
        <v>#REF!</v>
      </c>
      <c r="Y22" s="72"/>
      <c r="AH22" s="147"/>
      <c r="AI22" s="148" t="s">
        <v>659</v>
      </c>
      <c r="AJ22" s="160"/>
      <c r="AK22" s="160"/>
      <c r="AL22" s="149"/>
      <c r="AM22" s="277"/>
      <c r="AN22" s="277"/>
      <c r="AO22" s="278"/>
      <c r="AP22" s="146" t="e">
        <f>AP23+AP48+AP54+AP57</f>
        <v>#REF!</v>
      </c>
      <c r="AQ22" s="146" t="e">
        <f>AQ23+AQ48+AQ54+AQ57</f>
        <v>#REF!</v>
      </c>
      <c r="AR22" s="146" t="e">
        <f>AR23+AR48+AR54+AR57</f>
        <v>#REF!</v>
      </c>
      <c r="AS22" s="245"/>
      <c r="AT22" s="245"/>
      <c r="AU22" s="146" t="e">
        <f>AU23+AU48+AU54+AU57</f>
        <v>#REF!</v>
      </c>
      <c r="AX22" s="147"/>
      <c r="AY22" s="148" t="s">
        <v>659</v>
      </c>
      <c r="AZ22" s="160"/>
      <c r="BA22" s="160"/>
      <c r="BB22" s="149"/>
      <c r="BC22" s="275"/>
      <c r="BD22" s="275"/>
      <c r="BE22" s="276"/>
      <c r="BF22" s="187" t="e">
        <f>BF23+BF48+BF54+BF57</f>
        <v>#REF!</v>
      </c>
    </row>
    <row r="23" spans="1:75" s="122" customFormat="1">
      <c r="A23"/>
      <c r="B23" s="28" t="s">
        <v>168</v>
      </c>
      <c r="C23" s="29" t="s">
        <v>660</v>
      </c>
      <c r="D23" s="29"/>
      <c r="E23" s="29"/>
      <c r="F23" s="28"/>
      <c r="G23" s="28"/>
      <c r="H23" s="28"/>
      <c r="I23" s="65"/>
      <c r="J23" s="28"/>
      <c r="K23" s="66" t="e">
        <f t="shared" ref="K23:Q23" si="7">+K24+K33</f>
        <v>#REF!</v>
      </c>
      <c r="L23" s="66" t="e">
        <f t="shared" si="7"/>
        <v>#REF!</v>
      </c>
      <c r="M23" s="66" t="e">
        <f t="shared" si="7"/>
        <v>#REF!</v>
      </c>
      <c r="N23" s="66" t="e">
        <f t="shared" si="7"/>
        <v>#REF!</v>
      </c>
      <c r="O23" s="66" t="e">
        <f t="shared" si="7"/>
        <v>#REF!</v>
      </c>
      <c r="P23" s="66" t="e">
        <f t="shared" si="7"/>
        <v>#REF!</v>
      </c>
      <c r="Q23" s="66" t="e">
        <f t="shared" si="7"/>
        <v>#REF!</v>
      </c>
      <c r="R23" s="66" t="e">
        <f t="shared" si="1"/>
        <v>#REF!</v>
      </c>
      <c r="S23" s="66"/>
      <c r="T23" s="66"/>
      <c r="U23" s="66" t="e">
        <f>+U24+U33</f>
        <v>#REF!</v>
      </c>
      <c r="V23" s="66" t="e">
        <f>+V24+V33</f>
        <v>#REF!</v>
      </c>
      <c r="W23" s="66" t="e">
        <f>+W24+W33</f>
        <v>#REF!</v>
      </c>
      <c r="X23" s="66" t="e">
        <f>+X24+X33</f>
        <v>#REF!</v>
      </c>
      <c r="Y23" s="73"/>
      <c r="Z23"/>
      <c r="AA23"/>
      <c r="AB23"/>
      <c r="AC23"/>
      <c r="AD23"/>
      <c r="AE23"/>
      <c r="AF23"/>
      <c r="AG23"/>
      <c r="AH23" s="147" t="s">
        <v>168</v>
      </c>
      <c r="AI23" s="148" t="s">
        <v>660</v>
      </c>
      <c r="AJ23" s="160"/>
      <c r="AK23" s="160"/>
      <c r="AL23" s="149"/>
      <c r="AM23" s="277"/>
      <c r="AN23" s="277"/>
      <c r="AO23" s="278"/>
      <c r="AP23" s="146" t="e">
        <f>AP24+AP33</f>
        <v>#REF!</v>
      </c>
      <c r="AQ23" s="146" t="e">
        <f>AQ24+AQ33</f>
        <v>#REF!</v>
      </c>
      <c r="AR23" s="146" t="e">
        <f>AR24+AR33</f>
        <v>#REF!</v>
      </c>
      <c r="AS23" s="245"/>
      <c r="AT23" s="245"/>
      <c r="AU23" s="146" t="e">
        <f>AU24+AU33</f>
        <v>#REF!</v>
      </c>
      <c r="AV23" s="196"/>
      <c r="AW23" s="196"/>
      <c r="AX23" s="147" t="s">
        <v>168</v>
      </c>
      <c r="AY23" s="148" t="s">
        <v>660</v>
      </c>
      <c r="AZ23" s="160"/>
      <c r="BA23" s="160"/>
      <c r="BB23" s="149"/>
      <c r="BC23" s="275"/>
      <c r="BD23" s="275"/>
      <c r="BE23" s="276"/>
      <c r="BF23" s="187" t="e">
        <f>BF24+BF33</f>
        <v>#REF!</v>
      </c>
      <c r="BG23" s="196"/>
      <c r="BH23" s="196"/>
    </row>
    <row r="24" spans="1:75" s="122" customFormat="1">
      <c r="A24" s="122">
        <v>1</v>
      </c>
      <c r="B24" s="29"/>
      <c r="C24" s="29" t="s">
        <v>661</v>
      </c>
      <c r="D24" s="29"/>
      <c r="E24" s="29"/>
      <c r="F24" s="28"/>
      <c r="G24" s="28"/>
      <c r="H24" s="28"/>
      <c r="I24" s="65"/>
      <c r="J24" s="28"/>
      <c r="K24" s="66" t="e">
        <f t="shared" ref="K24:Q24" si="8">+K25+K28+K30+K32</f>
        <v>#REF!</v>
      </c>
      <c r="L24" s="66" t="e">
        <f t="shared" si="8"/>
        <v>#REF!</v>
      </c>
      <c r="M24" s="66" t="e">
        <f t="shared" si="8"/>
        <v>#REF!</v>
      </c>
      <c r="N24" s="66" t="e">
        <f t="shared" si="8"/>
        <v>#REF!</v>
      </c>
      <c r="O24" s="66" t="e">
        <f t="shared" si="8"/>
        <v>#REF!</v>
      </c>
      <c r="P24" s="66" t="e">
        <f t="shared" si="8"/>
        <v>#REF!</v>
      </c>
      <c r="Q24" s="66" t="e">
        <f t="shared" si="8"/>
        <v>#REF!</v>
      </c>
      <c r="R24" s="66" t="e">
        <f t="shared" si="1"/>
        <v>#REF!</v>
      </c>
      <c r="S24" s="66"/>
      <c r="T24" s="66"/>
      <c r="U24" s="66" t="e">
        <f>+U25+U28+U30+U32</f>
        <v>#REF!</v>
      </c>
      <c r="V24" s="66" t="e">
        <f>+V25+V28+V30+V32</f>
        <v>#REF!</v>
      </c>
      <c r="W24" s="66" t="e">
        <f>+W25+W28+W30+W32</f>
        <v>#REF!</v>
      </c>
      <c r="X24" s="66" t="e">
        <f>+X25+X28+X30+X32</f>
        <v>#REF!</v>
      </c>
      <c r="Y24" s="121"/>
      <c r="AH24" s="152"/>
      <c r="AI24" s="157" t="s">
        <v>661</v>
      </c>
      <c r="AJ24" s="158"/>
      <c r="AK24" s="158"/>
      <c r="AL24" s="155"/>
      <c r="AM24" s="277"/>
      <c r="AN24" s="277"/>
      <c r="AO24" s="278"/>
      <c r="AP24" s="146" t="e">
        <f>AP25+AP28+AP30+AP32</f>
        <v>#REF!</v>
      </c>
      <c r="AQ24" s="146" t="e">
        <f>AQ25+AQ28+AQ30+AQ32</f>
        <v>#REF!</v>
      </c>
      <c r="AR24" s="146" t="e">
        <f>AR25+AR28+AR30+AR32</f>
        <v>#REF!</v>
      </c>
      <c r="AS24" s="245"/>
      <c r="AT24" s="245"/>
      <c r="AU24" s="146" t="e">
        <f>AU25+AU28+AU30+AU32</f>
        <v>#REF!</v>
      </c>
      <c r="AV24" s="196"/>
      <c r="AW24" s="196"/>
      <c r="AX24" s="152"/>
      <c r="AY24" s="157" t="s">
        <v>661</v>
      </c>
      <c r="AZ24" s="158"/>
      <c r="BA24" s="158"/>
      <c r="BB24" s="155"/>
      <c r="BC24" s="275"/>
      <c r="BD24" s="275"/>
      <c r="BE24" s="276"/>
      <c r="BF24" s="187" t="e">
        <f>BF25+BF28+BF30+BF32</f>
        <v>#REF!</v>
      </c>
      <c r="BG24" s="196"/>
      <c r="BH24" s="196"/>
    </row>
    <row r="25" spans="1:75">
      <c r="A25" s="122">
        <v>1</v>
      </c>
      <c r="B25" s="29"/>
      <c r="C25" s="29"/>
      <c r="D25" s="29" t="s">
        <v>662</v>
      </c>
      <c r="E25" s="29"/>
      <c r="F25" s="28"/>
      <c r="G25" s="28"/>
      <c r="H25" s="28"/>
      <c r="I25" s="65"/>
      <c r="J25" s="28"/>
      <c r="K25" s="66" t="e">
        <f t="shared" ref="K25:Q25" si="9">+K26+K27</f>
        <v>#REF!</v>
      </c>
      <c r="L25" s="66" t="e">
        <f t="shared" si="9"/>
        <v>#REF!</v>
      </c>
      <c r="M25" s="66" t="e">
        <f t="shared" si="9"/>
        <v>#REF!</v>
      </c>
      <c r="N25" s="66" t="e">
        <f t="shared" si="9"/>
        <v>#REF!</v>
      </c>
      <c r="O25" s="66" t="e">
        <f t="shared" si="9"/>
        <v>#REF!</v>
      </c>
      <c r="P25" s="66" t="e">
        <f t="shared" si="9"/>
        <v>#REF!</v>
      </c>
      <c r="Q25" s="66" t="e">
        <f t="shared" si="9"/>
        <v>#REF!</v>
      </c>
      <c r="R25" s="66" t="e">
        <f t="shared" si="1"/>
        <v>#REF!</v>
      </c>
      <c r="S25" s="66"/>
      <c r="T25" s="66"/>
      <c r="U25" s="66" t="e">
        <f>+U26+U27</f>
        <v>#REF!</v>
      </c>
      <c r="V25" s="66" t="e">
        <f>+V26+V27</f>
        <v>#REF!</v>
      </c>
      <c r="W25" s="66" t="e">
        <f>+W26+W27</f>
        <v>#REF!</v>
      </c>
      <c r="X25" s="66" t="e">
        <f>+X26+X27</f>
        <v>#REF!</v>
      </c>
      <c r="Y25" s="121"/>
      <c r="Z25" s="122"/>
      <c r="AA25" s="122"/>
      <c r="AB25" s="122"/>
      <c r="AC25" s="122"/>
      <c r="AD25" s="122"/>
      <c r="AE25" s="122"/>
      <c r="AF25" s="122"/>
      <c r="AG25" s="122"/>
      <c r="AH25" s="152"/>
      <c r="AI25" s="157"/>
      <c r="AJ25" s="158" t="s">
        <v>662</v>
      </c>
      <c r="AK25" s="158"/>
      <c r="AL25" s="155"/>
      <c r="AM25" s="277"/>
      <c r="AN25" s="277"/>
      <c r="AO25" s="278"/>
      <c r="AP25" s="146" t="e">
        <f>AP26+AP27</f>
        <v>#REF!</v>
      </c>
      <c r="AQ25" s="146" t="e">
        <f>AQ26+AQ27</f>
        <v>#REF!</v>
      </c>
      <c r="AR25" s="146" t="e">
        <f>AR26+AR27</f>
        <v>#REF!</v>
      </c>
      <c r="AS25" s="245"/>
      <c r="AT25" s="245"/>
      <c r="AU25" s="146" t="e">
        <f>AU26+AU27</f>
        <v>#REF!</v>
      </c>
      <c r="AX25" s="152"/>
      <c r="AY25" s="157"/>
      <c r="AZ25" s="158" t="s">
        <v>662</v>
      </c>
      <c r="BA25" s="158"/>
      <c r="BB25" s="155"/>
      <c r="BC25" s="275"/>
      <c r="BD25" s="275"/>
      <c r="BE25" s="276"/>
      <c r="BF25" s="187" t="e">
        <f>BF26+BF27</f>
        <v>#REF!</v>
      </c>
    </row>
    <row r="26" spans="1:75">
      <c r="A26" s="122">
        <v>1</v>
      </c>
      <c r="B26" s="30"/>
      <c r="C26" s="30"/>
      <c r="D26" s="100" t="s">
        <v>874</v>
      </c>
      <c r="E26" s="30"/>
      <c r="F26" s="33" t="s">
        <v>799</v>
      </c>
      <c r="G26" s="33">
        <v>311</v>
      </c>
      <c r="H26" s="33"/>
      <c r="I26" s="67">
        <v>1</v>
      </c>
      <c r="J26" s="74">
        <v>0.54469106178764248</v>
      </c>
      <c r="K26" s="75" t="e">
        <f>+$J26*GETPIVOTDATA("PPEF 2010 ",#REF!,"No. Ramo",8,"IPP","S","PP",230,"UR",311)</f>
        <v>#REF!</v>
      </c>
      <c r="L26" s="75" t="e">
        <f>+$J26*GETPIVOTDATA("Ampliación Neta DIP ",#REF!,"No. Ramo",8,"IPP","S","PP",230,"UR",311)</f>
        <v>#REF!</v>
      </c>
      <c r="M26" s="75" t="e">
        <f>+$J26*GETPIVOTDATA("Recorte SHCP ",#REF!,"No. Ramo",8,"IPP","S","PP",230,"UR",311)</f>
        <v>#REF!</v>
      </c>
      <c r="N26" s="75" t="e">
        <f>+$J26*GETPIVOTDATA("PEF 2010 ",#REF!,"No. Ramo",8,"IPP","S","PP",230,"UR",311)</f>
        <v>#REF!</v>
      </c>
      <c r="O26" s="75" t="e">
        <f>+$J26*GETPIVOTDATA("PPEF 2011 ",#REF!,"No. Ramo",8,"IPP","S","PP",230,"UR",311)</f>
        <v>#REF!</v>
      </c>
      <c r="P26" s="75" t="e">
        <f>+$J26*GETPIVOTDATA("Reducción ",#REF!,"No. Ramo",8,"IPP","S","PP",230,"UR",311)</f>
        <v>#REF!</v>
      </c>
      <c r="Q26" s="75" t="e">
        <f>+$J26*GETPIVOTDATA("Ampliación ",#REF!,"No. Ramo",8,"IPP","S","PP",230,"UR",311)</f>
        <v>#REF!</v>
      </c>
      <c r="R26" s="69" t="e">
        <f t="shared" si="1"/>
        <v>#REF!</v>
      </c>
      <c r="S26" s="69"/>
      <c r="T26" s="69"/>
      <c r="U26" s="69" t="e">
        <f t="shared" ref="U26:X27" si="10">+$I26*O26</f>
        <v>#REF!</v>
      </c>
      <c r="V26" s="69" t="e">
        <f t="shared" si="10"/>
        <v>#REF!</v>
      </c>
      <c r="W26" s="69" t="e">
        <f t="shared" si="10"/>
        <v>#REF!</v>
      </c>
      <c r="X26" s="69" t="e">
        <f t="shared" si="10"/>
        <v>#REF!</v>
      </c>
      <c r="Y26" s="73"/>
      <c r="AH26" s="152"/>
      <c r="AI26" s="157"/>
      <c r="AJ26" s="277"/>
      <c r="AK26" s="154" t="s">
        <v>874</v>
      </c>
      <c r="AL26" s="158"/>
      <c r="AM26" s="277"/>
      <c r="AN26" s="277"/>
      <c r="AO26" s="278"/>
      <c r="AP26" s="146" t="e">
        <f>#REF!+#REF!+#REF!</f>
        <v>#REF!</v>
      </c>
      <c r="AQ26" s="146" t="e">
        <f>#REF!+#REF!+#REF!</f>
        <v>#REF!</v>
      </c>
      <c r="AR26" s="146" t="e">
        <f>#REF!+#REF!+#REF!</f>
        <v>#REF!</v>
      </c>
      <c r="AS26" s="245"/>
      <c r="AT26" s="245"/>
      <c r="AU26" s="146" t="e">
        <f>#REF!+#REF!+#REF!</f>
        <v>#REF!</v>
      </c>
      <c r="AX26" s="152"/>
      <c r="AY26" s="157"/>
      <c r="AZ26" s="275"/>
      <c r="BA26" s="154" t="s">
        <v>874</v>
      </c>
      <c r="BB26" s="158"/>
      <c r="BC26" s="275"/>
      <c r="BD26" s="275"/>
      <c r="BE26" s="276"/>
      <c r="BF26" s="187" t="e">
        <f>#REF!+#REF!+#REF!</f>
        <v>#REF!</v>
      </c>
    </row>
    <row r="27" spans="1:75" s="195" customFormat="1">
      <c r="A27" s="122">
        <v>1</v>
      </c>
      <c r="B27" s="31"/>
      <c r="C27" s="30"/>
      <c r="D27" s="100" t="s">
        <v>663</v>
      </c>
      <c r="E27" s="32"/>
      <c r="F27" s="33" t="s">
        <v>799</v>
      </c>
      <c r="G27" s="33">
        <v>311</v>
      </c>
      <c r="H27" s="76"/>
      <c r="I27" s="67">
        <v>1</v>
      </c>
      <c r="J27" s="77">
        <v>1.7396520695860829E-2</v>
      </c>
      <c r="K27" s="75" t="e">
        <f>+$J27*GETPIVOTDATA("PPEF 2010 ",#REF!,"No. Ramo",8,"IPP","S","PP",230,"UR",311)</f>
        <v>#REF!</v>
      </c>
      <c r="L27" s="75" t="e">
        <f>+$J27*GETPIVOTDATA("Ampliación Neta DIP ",#REF!,"No. Ramo",8,"IPP","S","PP",230,"UR",311)</f>
        <v>#REF!</v>
      </c>
      <c r="M27" s="75" t="e">
        <f>+$J27*GETPIVOTDATA("Recorte SHCP ",#REF!,"No. Ramo",8,"IPP","S","PP",230,"UR",311)</f>
        <v>#REF!</v>
      </c>
      <c r="N27" s="75" t="e">
        <f>+$J27*GETPIVOTDATA("PEF 2010 ",#REF!,"No. Ramo",8,"IPP","S","PP",230,"UR",311)</f>
        <v>#REF!</v>
      </c>
      <c r="O27" s="75" t="e">
        <f>+$J27*GETPIVOTDATA("PPEF 2011 ",#REF!,"No. Ramo",8,"IPP","S","PP",230,"UR",311)</f>
        <v>#REF!</v>
      </c>
      <c r="P27" s="75" t="e">
        <f>+$J27*GETPIVOTDATA("Reducción ",#REF!,"No. Ramo",8,"IPP","S","PP",230,"UR",311)</f>
        <v>#REF!</v>
      </c>
      <c r="Q27" s="75" t="e">
        <f>+$J27*GETPIVOTDATA("Ampliación ",#REF!,"No. Ramo",8,"IPP","S","PP",230,"UR",311)</f>
        <v>#REF!</v>
      </c>
      <c r="R27" s="69" t="e">
        <f t="shared" si="1"/>
        <v>#REF!</v>
      </c>
      <c r="S27" s="69"/>
      <c r="T27" s="69"/>
      <c r="U27" s="69" t="e">
        <f t="shared" si="10"/>
        <v>#REF!</v>
      </c>
      <c r="V27" s="69" t="e">
        <f t="shared" si="10"/>
        <v>#REF!</v>
      </c>
      <c r="W27" s="69" t="e">
        <f t="shared" si="10"/>
        <v>#REF!</v>
      </c>
      <c r="X27" s="69" t="e">
        <f t="shared" si="10"/>
        <v>#REF!</v>
      </c>
      <c r="Y27" s="73"/>
      <c r="Z27"/>
      <c r="AA27"/>
      <c r="AB27"/>
      <c r="AC27"/>
      <c r="AD27"/>
      <c r="AE27"/>
      <c r="AF27"/>
      <c r="AG27"/>
      <c r="AH27" s="152"/>
      <c r="AI27" s="157"/>
      <c r="AJ27" s="277"/>
      <c r="AK27" s="154" t="s">
        <v>663</v>
      </c>
      <c r="AL27" s="163"/>
      <c r="AM27" s="277"/>
      <c r="AN27" s="277"/>
      <c r="AO27" s="278"/>
      <c r="AP27" s="146"/>
      <c r="AQ27" s="146"/>
      <c r="AR27" s="146"/>
      <c r="AS27" s="245"/>
      <c r="AT27" s="245"/>
      <c r="AU27" s="146"/>
      <c r="AX27" s="152"/>
      <c r="AY27" s="157"/>
      <c r="AZ27" s="275"/>
      <c r="BA27" s="154" t="s">
        <v>663</v>
      </c>
      <c r="BB27" s="163"/>
      <c r="BC27" s="275"/>
      <c r="BD27" s="275"/>
      <c r="BE27" s="276"/>
      <c r="BF27" s="18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5" customFormat="1">
      <c r="A28" s="122">
        <v>1</v>
      </c>
      <c r="B28" s="31"/>
      <c r="C28" s="30"/>
      <c r="D28" s="30" t="s">
        <v>664</v>
      </c>
      <c r="E28" s="30"/>
      <c r="F28" s="33"/>
      <c r="G28" s="33"/>
      <c r="H28" s="33"/>
      <c r="I28" s="67"/>
      <c r="J28" s="33"/>
      <c r="K28" s="70" t="e">
        <f t="shared" ref="K28:Q28" si="11">+K29</f>
        <v>#REF!</v>
      </c>
      <c r="L28" s="70" t="e">
        <f t="shared" si="11"/>
        <v>#REF!</v>
      </c>
      <c r="M28" s="70" t="e">
        <f t="shared" si="11"/>
        <v>#REF!</v>
      </c>
      <c r="N28" s="70" t="e">
        <f t="shared" si="11"/>
        <v>#REF!</v>
      </c>
      <c r="O28" s="70" t="e">
        <f t="shared" si="11"/>
        <v>#REF!</v>
      </c>
      <c r="P28" s="70" t="e">
        <f t="shared" si="11"/>
        <v>#REF!</v>
      </c>
      <c r="Q28" s="70" t="e">
        <f t="shared" si="11"/>
        <v>#REF!</v>
      </c>
      <c r="R28" s="69" t="e">
        <f t="shared" si="1"/>
        <v>#REF!</v>
      </c>
      <c r="S28" s="69"/>
      <c r="T28" s="69"/>
      <c r="U28" s="70" t="e">
        <f>+U29</f>
        <v>#REF!</v>
      </c>
      <c r="V28" s="70" t="e">
        <f>+V29</f>
        <v>#REF!</v>
      </c>
      <c r="W28" s="70" t="e">
        <f>+W29</f>
        <v>#REF!</v>
      </c>
      <c r="X28" s="70" t="e">
        <f>+X29</f>
        <v>#REF!</v>
      </c>
      <c r="Y28" s="73"/>
      <c r="Z28"/>
      <c r="AA28"/>
      <c r="AB28"/>
      <c r="AC28"/>
      <c r="AD28"/>
      <c r="AE28"/>
      <c r="AF28"/>
      <c r="AG28"/>
      <c r="AH28" s="152"/>
      <c r="AI28" s="157"/>
      <c r="AJ28" s="158" t="s">
        <v>664</v>
      </c>
      <c r="AK28" s="155"/>
      <c r="AL28" s="277"/>
      <c r="AM28" s="277"/>
      <c r="AN28" s="277"/>
      <c r="AO28" s="278"/>
      <c r="AP28" s="146" t="e">
        <f t="shared" ref="AP28:AU28" si="12">AP29</f>
        <v>#REF!</v>
      </c>
      <c r="AQ28" s="146" t="e">
        <f t="shared" si="12"/>
        <v>#REF!</v>
      </c>
      <c r="AR28" s="146" t="e">
        <f t="shared" si="12"/>
        <v>#REF!</v>
      </c>
      <c r="AS28" s="245"/>
      <c r="AT28" s="245"/>
      <c r="AU28" s="146" t="e">
        <f t="shared" si="12"/>
        <v>#REF!</v>
      </c>
      <c r="AX28" s="152"/>
      <c r="AY28" s="157"/>
      <c r="AZ28" s="158" t="s">
        <v>664</v>
      </c>
      <c r="BA28" s="155"/>
      <c r="BB28" s="275"/>
      <c r="BC28" s="275"/>
      <c r="BD28" s="275"/>
      <c r="BE28" s="276"/>
      <c r="BF28" s="187" t="e">
        <f>BF29</f>
        <v>#REF!</v>
      </c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95" customFormat="1">
      <c r="A29" s="122">
        <v>1</v>
      </c>
      <c r="B29" s="31"/>
      <c r="C29" s="30"/>
      <c r="D29" s="100" t="s">
        <v>918</v>
      </c>
      <c r="E29" s="30"/>
      <c r="F29" s="33" t="s">
        <v>799</v>
      </c>
      <c r="G29" s="33">
        <v>116</v>
      </c>
      <c r="H29" s="33"/>
      <c r="I29" s="67">
        <v>1</v>
      </c>
      <c r="J29" s="33"/>
      <c r="K29" s="75" t="e">
        <f>+GETPIVOTDATA("PPEF 2010 ",#REF!,"No. Ramo",8,"IPP","S","PP",230,"UR",116)</f>
        <v>#REF!</v>
      </c>
      <c r="L29" s="75" t="e">
        <f>+GETPIVOTDATA("Ampliación Neta DIP ",#REF!,"No. Ramo",8,"IPP","S","PP",230,"UR",116)</f>
        <v>#REF!</v>
      </c>
      <c r="M29" s="75" t="e">
        <f>+GETPIVOTDATA("Recorte SHCP ",#REF!,"No. Ramo",8,"IPP","S","PP",230,"UR",116)</f>
        <v>#REF!</v>
      </c>
      <c r="N29" s="75" t="e">
        <f>+GETPIVOTDATA("PEF 2010 ",#REF!,"No. Ramo",8,"IPP","S","PP",230,"UR",116)</f>
        <v>#REF!</v>
      </c>
      <c r="O29" s="75" t="e">
        <f>+GETPIVOTDATA("PPEF 2011 ",#REF!,"No. Ramo",8,"IPP","S","PP",230,"UR",116)</f>
        <v>#REF!</v>
      </c>
      <c r="P29" s="75" t="e">
        <f>+GETPIVOTDATA("Reducción ",#REF!,"No. Ramo",8,"IPP","S","PP",230,"UR",116)</f>
        <v>#REF!</v>
      </c>
      <c r="Q29" s="75" t="e">
        <f>+GETPIVOTDATA("Ampliación ",#REF!,"No. Ramo",8,"IPP","S","PP",230,"UR",116)</f>
        <v>#REF!</v>
      </c>
      <c r="R29" s="69" t="e">
        <f t="shared" si="1"/>
        <v>#REF!</v>
      </c>
      <c r="S29" s="69"/>
      <c r="T29" s="69"/>
      <c r="U29" s="69" t="e">
        <f>+$I29*O29</f>
        <v>#REF!</v>
      </c>
      <c r="V29" s="69" t="e">
        <f>+$I29*P29</f>
        <v>#REF!</v>
      </c>
      <c r="W29" s="69" t="e">
        <f>+$I29*Q29</f>
        <v>#REF!</v>
      </c>
      <c r="X29" s="69" t="e">
        <f>+$I29*R29</f>
        <v>#REF!</v>
      </c>
      <c r="Y29" s="73"/>
      <c r="Z29"/>
      <c r="AA29"/>
      <c r="AB29"/>
      <c r="AC29"/>
      <c r="AD29"/>
      <c r="AE29"/>
      <c r="AF29"/>
      <c r="AG29"/>
      <c r="AH29" s="152"/>
      <c r="AI29" s="157"/>
      <c r="AJ29" s="158"/>
      <c r="AK29" s="154" t="s">
        <v>918</v>
      </c>
      <c r="AL29" s="277"/>
      <c r="AM29" s="277"/>
      <c r="AN29" s="277"/>
      <c r="AO29" s="278"/>
      <c r="AP29" s="146" t="e">
        <f>#REF!+#REF!</f>
        <v>#REF!</v>
      </c>
      <c r="AQ29" s="146" t="e">
        <f>#REF!+#REF!</f>
        <v>#REF!</v>
      </c>
      <c r="AR29" s="146" t="e">
        <f>#REF!+#REF!</f>
        <v>#REF!</v>
      </c>
      <c r="AS29" s="245"/>
      <c r="AT29" s="245"/>
      <c r="AU29" s="146" t="e">
        <f>#REF!+#REF!</f>
        <v>#REF!</v>
      </c>
      <c r="AX29" s="152"/>
      <c r="AY29" s="157"/>
      <c r="AZ29" s="158"/>
      <c r="BA29" s="154" t="s">
        <v>918</v>
      </c>
      <c r="BB29" s="275"/>
      <c r="BC29" s="275"/>
      <c r="BD29" s="275"/>
      <c r="BE29" s="276"/>
      <c r="BF29" s="187" t="e">
        <f>#REF!+#REF!</f>
        <v>#REF!</v>
      </c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5" customFormat="1">
      <c r="A30" s="122">
        <v>1</v>
      </c>
      <c r="B30" s="31"/>
      <c r="C30" s="30"/>
      <c r="D30" s="30" t="s">
        <v>665</v>
      </c>
      <c r="E30" s="30"/>
      <c r="F30" s="33"/>
      <c r="G30" s="33"/>
      <c r="H30" s="33"/>
      <c r="I30" s="67"/>
      <c r="J30" s="33"/>
      <c r="K30" s="70" t="e">
        <f t="shared" ref="K30:Q30" si="13">+K31</f>
        <v>#REF!</v>
      </c>
      <c r="L30" s="70" t="e">
        <f t="shared" si="13"/>
        <v>#REF!</v>
      </c>
      <c r="M30" s="70" t="e">
        <f t="shared" si="13"/>
        <v>#REF!</v>
      </c>
      <c r="N30" s="70" t="e">
        <f t="shared" si="13"/>
        <v>#REF!</v>
      </c>
      <c r="O30" s="70" t="e">
        <f t="shared" si="13"/>
        <v>#REF!</v>
      </c>
      <c r="P30" s="70" t="e">
        <f t="shared" si="13"/>
        <v>#REF!</v>
      </c>
      <c r="Q30" s="70" t="e">
        <f t="shared" si="13"/>
        <v>#REF!</v>
      </c>
      <c r="R30" s="69" t="e">
        <f t="shared" si="1"/>
        <v>#REF!</v>
      </c>
      <c r="S30" s="69"/>
      <c r="T30" s="69"/>
      <c r="U30" s="70" t="e">
        <f>+U31</f>
        <v>#REF!</v>
      </c>
      <c r="V30" s="70" t="e">
        <f>+V31</f>
        <v>#REF!</v>
      </c>
      <c r="W30" s="70" t="e">
        <f>+W31</f>
        <v>#REF!</v>
      </c>
      <c r="X30" s="70" t="e">
        <f>+X31</f>
        <v>#REF!</v>
      </c>
      <c r="Y30" s="73"/>
      <c r="Z30"/>
      <c r="AA30"/>
      <c r="AB30"/>
      <c r="AC30"/>
      <c r="AD30"/>
      <c r="AE30"/>
      <c r="AF30"/>
      <c r="AG30"/>
      <c r="AH30" s="152"/>
      <c r="AI30" s="157"/>
      <c r="AJ30" s="158" t="s">
        <v>665</v>
      </c>
      <c r="AK30" s="158"/>
      <c r="AL30" s="155"/>
      <c r="AM30" s="164"/>
      <c r="AN30" s="277"/>
      <c r="AO30" s="278"/>
      <c r="AP30" s="146" t="e">
        <f>AP31</f>
        <v>#REF!</v>
      </c>
      <c r="AQ30" s="146" t="e">
        <f>AQ31</f>
        <v>#REF!</v>
      </c>
      <c r="AR30" s="146" t="e">
        <f>AR31</f>
        <v>#REF!</v>
      </c>
      <c r="AS30" s="245"/>
      <c r="AT30" s="245"/>
      <c r="AU30" s="146" t="e">
        <f>AU31</f>
        <v>#REF!</v>
      </c>
      <c r="AX30" s="152"/>
      <c r="AY30" s="157"/>
      <c r="AZ30" s="158" t="s">
        <v>665</v>
      </c>
      <c r="BA30" s="158"/>
      <c r="BB30" s="155"/>
      <c r="BC30" s="192"/>
      <c r="BD30" s="275"/>
      <c r="BE30" s="276"/>
      <c r="BF30" s="187" t="e">
        <f>BF31</f>
        <v>#REF!</v>
      </c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5" customFormat="1">
      <c r="A31" s="122">
        <v>1</v>
      </c>
      <c r="B31" s="31"/>
      <c r="C31" s="30"/>
      <c r="D31" s="99" t="s">
        <v>928</v>
      </c>
      <c r="E31" s="30"/>
      <c r="F31" s="33" t="s">
        <v>799</v>
      </c>
      <c r="G31" s="33" t="s">
        <v>12</v>
      </c>
      <c r="H31" s="33"/>
      <c r="I31" s="67">
        <v>1</v>
      </c>
      <c r="J31" s="67">
        <v>0.48234566947384688</v>
      </c>
      <c r="K31" s="75" t="e">
        <f>+GETPIVOTDATA("PPEF 2010 ",#REF!,"No. Ramo",8,"IPP","S","PP",230,"UR","I00")*$J31</f>
        <v>#REF!</v>
      </c>
      <c r="L31" s="75" t="e">
        <f>+GETPIVOTDATA("Ampliación Neta DIP ",#REF!,"No. Ramo",8,"IPP","S","PP",230,"UR","I00")*$J31</f>
        <v>#REF!</v>
      </c>
      <c r="M31" s="75" t="e">
        <f>+GETPIVOTDATA("Recorte SHCP ",#REF!,"No. Ramo",8,"IPP","S","PP",230,"UR","I00")*$J31</f>
        <v>#REF!</v>
      </c>
      <c r="N31" s="75" t="e">
        <f>+GETPIVOTDATA("PEF 2010 ",#REF!,"No. Ramo",8,"IPP","S","PP",230,"UR","I00")*$J31</f>
        <v>#REF!</v>
      </c>
      <c r="O31" s="75" t="e">
        <f>+GETPIVOTDATA("PPEF 2011 ",#REF!,"No. Ramo",8,"IPP","S","PP",230,"UR","I00")*$J31</f>
        <v>#REF!</v>
      </c>
      <c r="P31" s="75" t="e">
        <f>+GETPIVOTDATA("Reducción ",#REF!,"No. Ramo",8,"IPP","S","PP",230,"UR","I00")*$J31</f>
        <v>#REF!</v>
      </c>
      <c r="Q31" s="75" t="e">
        <f>+GETPIVOTDATA("Ampliación ",#REF!,"No. Ramo",8,"IPP","S","PP",230,"UR","I00")*$J31</f>
        <v>#REF!</v>
      </c>
      <c r="R31" s="69" t="e">
        <f t="shared" si="1"/>
        <v>#REF!</v>
      </c>
      <c r="S31" s="69"/>
      <c r="T31" s="69"/>
      <c r="U31" s="69" t="e">
        <f t="shared" ref="U31:X32" si="14">+$I31*O31</f>
        <v>#REF!</v>
      </c>
      <c r="V31" s="69" t="e">
        <f t="shared" si="14"/>
        <v>#REF!</v>
      </c>
      <c r="W31" s="69" t="e">
        <f t="shared" si="14"/>
        <v>#REF!</v>
      </c>
      <c r="X31" s="69" t="e">
        <f t="shared" si="14"/>
        <v>#REF!</v>
      </c>
      <c r="Y31" s="73"/>
      <c r="Z31"/>
      <c r="AA31"/>
      <c r="AB31"/>
      <c r="AC31"/>
      <c r="AD31"/>
      <c r="AE31"/>
      <c r="AF31"/>
      <c r="AG31"/>
      <c r="AH31" s="152"/>
      <c r="AI31" s="157"/>
      <c r="AJ31" s="277"/>
      <c r="AK31" s="154" t="s">
        <v>928</v>
      </c>
      <c r="AL31" s="158"/>
      <c r="AM31" s="277"/>
      <c r="AN31" s="277"/>
      <c r="AO31" s="278"/>
      <c r="AP31" s="146" t="e">
        <f>#REF!+#REF!</f>
        <v>#REF!</v>
      </c>
      <c r="AQ31" s="146" t="e">
        <f>#REF!+#REF!</f>
        <v>#REF!</v>
      </c>
      <c r="AR31" s="146" t="e">
        <f>#REF!+#REF!</f>
        <v>#REF!</v>
      </c>
      <c r="AS31" s="245"/>
      <c r="AT31" s="245"/>
      <c r="AU31" s="146" t="e">
        <f>#REF!+#REF!</f>
        <v>#REF!</v>
      </c>
      <c r="AX31" s="152"/>
      <c r="AY31" s="157"/>
      <c r="AZ31" s="275"/>
      <c r="BA31" s="154" t="s">
        <v>928</v>
      </c>
      <c r="BB31" s="158"/>
      <c r="BC31" s="275"/>
      <c r="BD31" s="275"/>
      <c r="BE31" s="276"/>
      <c r="BF31" s="187" t="e">
        <f>#REF!+#REF!</f>
        <v>#REF!</v>
      </c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95" customFormat="1">
      <c r="A32" s="122">
        <v>1</v>
      </c>
      <c r="B32" s="31"/>
      <c r="C32" s="30"/>
      <c r="D32" s="30" t="s">
        <v>932</v>
      </c>
      <c r="E32" s="30"/>
      <c r="F32" s="33" t="s">
        <v>799</v>
      </c>
      <c r="G32" s="33">
        <v>411</v>
      </c>
      <c r="H32" s="33"/>
      <c r="I32" s="67">
        <v>1</v>
      </c>
      <c r="J32" s="67">
        <v>0.66666666666666663</v>
      </c>
      <c r="K32" s="75" t="e">
        <f>+GETPIVOTDATA("PPEF 2010 ",#REF!,"No. Ramo",8,"IPP","S","PP",230,"UR",411)*$J32</f>
        <v>#REF!</v>
      </c>
      <c r="L32" s="75" t="e">
        <f>+GETPIVOTDATA("Ampliación Neta DIP ",#REF!,"No. Ramo",8,"IPP","S","PP",230,"UR",411)*$J32</f>
        <v>#REF!</v>
      </c>
      <c r="M32" s="75" t="e">
        <f>+GETPIVOTDATA("Recorte SHCP ",#REF!,"No. Ramo",8,"IPP","S","PP",230,"UR",411)*$J32</f>
        <v>#REF!</v>
      </c>
      <c r="N32" s="75" t="e">
        <f>+GETPIVOTDATA("PEF 2010 ",#REF!,"No. Ramo",8,"IPP","S","PP",230,"UR",411)*$J32</f>
        <v>#REF!</v>
      </c>
      <c r="O32" s="75" t="e">
        <f>+GETPIVOTDATA("PPEF 2011 ",#REF!,"No. Ramo",8,"IPP","S","PP",230,"UR",411)*$J32</f>
        <v>#REF!</v>
      </c>
      <c r="P32" s="75" t="e">
        <f>+GETPIVOTDATA("Reducción ",#REF!,"No. Ramo",8,"IPP","S","PP",230,"UR",411)*K32</f>
        <v>#REF!</v>
      </c>
      <c r="Q32" s="75" t="e">
        <f>+GETPIVOTDATA("Ampliación ",#REF!,"No. Ramo",8,"IPP","S","PP",230,"UR",411)*L32</f>
        <v>#REF!</v>
      </c>
      <c r="R32" s="69" t="e">
        <f t="shared" si="1"/>
        <v>#REF!</v>
      </c>
      <c r="S32" s="69"/>
      <c r="T32" s="69"/>
      <c r="U32" s="69" t="e">
        <f t="shared" si="14"/>
        <v>#REF!</v>
      </c>
      <c r="V32" s="69" t="e">
        <f t="shared" si="14"/>
        <v>#REF!</v>
      </c>
      <c r="W32" s="69" t="e">
        <f t="shared" si="14"/>
        <v>#REF!</v>
      </c>
      <c r="X32" s="69" t="e">
        <f t="shared" si="14"/>
        <v>#REF!</v>
      </c>
      <c r="Y32" s="73"/>
      <c r="Z32"/>
      <c r="AA32"/>
      <c r="AB32"/>
      <c r="AC32"/>
      <c r="AD32"/>
      <c r="AE32"/>
      <c r="AF32"/>
      <c r="AG32"/>
      <c r="AH32" s="152"/>
      <c r="AI32" s="157"/>
      <c r="AJ32" s="158" t="s">
        <v>932</v>
      </c>
      <c r="AK32" s="158"/>
      <c r="AL32" s="277"/>
      <c r="AM32" s="277"/>
      <c r="AN32" s="277"/>
      <c r="AO32" s="278"/>
      <c r="AP32" s="146" t="e">
        <f>#REF!+#REF!</f>
        <v>#REF!</v>
      </c>
      <c r="AQ32" s="146" t="e">
        <f>#REF!+#REF!</f>
        <v>#REF!</v>
      </c>
      <c r="AR32" s="146" t="e">
        <f>#REF!+#REF!</f>
        <v>#REF!</v>
      </c>
      <c r="AS32" s="245"/>
      <c r="AT32" s="245"/>
      <c r="AU32" s="146" t="e">
        <f>#REF!+#REF!</f>
        <v>#REF!</v>
      </c>
      <c r="AX32" s="152"/>
      <c r="AY32" s="157"/>
      <c r="AZ32" s="158" t="s">
        <v>932</v>
      </c>
      <c r="BA32" s="158"/>
      <c r="BB32" s="275"/>
      <c r="BC32" s="275"/>
      <c r="BD32" s="275"/>
      <c r="BE32" s="276"/>
      <c r="BF32" s="187" t="e">
        <f>#REF!+#REF!</f>
        <v>#REF!</v>
      </c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22" customFormat="1">
      <c r="A33" s="122">
        <v>1</v>
      </c>
      <c r="B33" s="120"/>
      <c r="C33" s="29" t="s">
        <v>667</v>
      </c>
      <c r="D33" s="29"/>
      <c r="E33" s="29"/>
      <c r="F33" s="28"/>
      <c r="G33" s="28"/>
      <c r="H33" s="28"/>
      <c r="I33" s="65"/>
      <c r="J33" s="28"/>
      <c r="K33" s="64" t="e">
        <f t="shared" ref="K33:Q33" si="15">+SUM(K34:K38)+SUM(K42:K47)</f>
        <v>#REF!</v>
      </c>
      <c r="L33" s="64" t="e">
        <f t="shared" si="15"/>
        <v>#REF!</v>
      </c>
      <c r="M33" s="64" t="e">
        <f t="shared" si="15"/>
        <v>#REF!</v>
      </c>
      <c r="N33" s="64" t="e">
        <f t="shared" si="15"/>
        <v>#REF!</v>
      </c>
      <c r="O33" s="64" t="e">
        <f t="shared" si="15"/>
        <v>#REF!</v>
      </c>
      <c r="P33" s="64" t="e">
        <f t="shared" si="15"/>
        <v>#REF!</v>
      </c>
      <c r="Q33" s="64" t="e">
        <f t="shared" si="15"/>
        <v>#REF!</v>
      </c>
      <c r="R33" s="66" t="e">
        <f t="shared" si="1"/>
        <v>#REF!</v>
      </c>
      <c r="S33" s="66"/>
      <c r="T33" s="66"/>
      <c r="U33" s="64" t="e">
        <f>+SUM(U34:U38)+SUM(U42:U47)</f>
        <v>#REF!</v>
      </c>
      <c r="V33" s="64" t="e">
        <f>+SUM(V34:V38)+SUM(V42:V47)</f>
        <v>#REF!</v>
      </c>
      <c r="W33" s="64" t="e">
        <f>+SUM(W34:W38)+SUM(W42:W47)</f>
        <v>#REF!</v>
      </c>
      <c r="X33" s="64" t="e">
        <f>+SUM(X34:X38)+SUM(X42:X47)</f>
        <v>#REF!</v>
      </c>
      <c r="Y33" s="121"/>
      <c r="AH33" s="152"/>
      <c r="AI33" s="157" t="s">
        <v>667</v>
      </c>
      <c r="AJ33" s="158"/>
      <c r="AK33" s="158"/>
      <c r="AL33" s="155"/>
      <c r="AM33" s="277"/>
      <c r="AN33" s="277"/>
      <c r="AO33" s="278"/>
      <c r="AP33" s="146" t="e">
        <f>AP34+#REF!+AP35+AP36+AP37+AP38+AP42+AP43+AP44+AP45+AP46+AP47</f>
        <v>#REF!</v>
      </c>
      <c r="AQ33" s="146" t="e">
        <f>AQ34+#REF!+AQ35+AQ36+AQ37+AQ38+AQ42+AQ43+AQ44+AQ45+AQ46+AQ47</f>
        <v>#REF!</v>
      </c>
      <c r="AR33" s="146" t="e">
        <f>AR34+#REF!+AR35+AR36+AR37+AR38+AR42+AR43+AR44+AR45+AR46+AR47</f>
        <v>#REF!</v>
      </c>
      <c r="AS33" s="245"/>
      <c r="AT33" s="245"/>
      <c r="AU33" s="146" t="e">
        <f>AU34+#REF!+AU35+AU36+AU37+AU38+AU42+AU43+AU44+AU45+AU46+AU47</f>
        <v>#REF!</v>
      </c>
      <c r="AV33" s="196"/>
      <c r="AW33" s="196"/>
      <c r="AX33" s="152"/>
      <c r="AY33" s="157" t="s">
        <v>667</v>
      </c>
      <c r="AZ33" s="158"/>
      <c r="BA33" s="158"/>
      <c r="BB33" s="155"/>
      <c r="BC33" s="275"/>
      <c r="BD33" s="275"/>
      <c r="BE33" s="276"/>
      <c r="BF33" s="187" t="e">
        <f>BF34+#REF!+BF35+BF36+BF37+BF38+BF42+BF43+BF44+BF45+BF46+BF47</f>
        <v>#REF!</v>
      </c>
      <c r="BG33" s="196"/>
      <c r="BH33" s="196"/>
    </row>
    <row r="34" spans="1:75">
      <c r="A34" s="122">
        <v>1</v>
      </c>
      <c r="B34" s="31"/>
      <c r="C34" s="30"/>
      <c r="D34" s="30" t="s">
        <v>151</v>
      </c>
      <c r="E34" s="30"/>
      <c r="F34" s="33" t="s">
        <v>1036</v>
      </c>
      <c r="G34" s="33">
        <v>311</v>
      </c>
      <c r="H34" s="33"/>
      <c r="I34" s="67">
        <v>1</v>
      </c>
      <c r="J34" s="67">
        <v>1</v>
      </c>
      <c r="K34" s="78" t="e">
        <f>+GETPIVOTDATA("PPEF 2010 ",#REF!,"No. Ramo",8,"IPP","U","PP",16,"UR",311)*$J34</f>
        <v>#REF!</v>
      </c>
      <c r="L34" s="78" t="e">
        <f>+GETPIVOTDATA("Ampliación Neta DIP ",#REF!,"No. Ramo",8,"IPP","U","PP",16,"UR",311)*$J34</f>
        <v>#REF!</v>
      </c>
      <c r="M34" s="78" t="e">
        <f>+GETPIVOTDATA("Recorte SHCP ",#REF!,"No. Ramo",8,"IPP","U","PP",16,"UR",311)*$J34</f>
        <v>#REF!</v>
      </c>
      <c r="N34" s="78" t="e">
        <f>+GETPIVOTDATA("PEF 2010 ",#REF!,"No. Ramo",8,"IPP","U","PP",16,"UR",311)*$J34</f>
        <v>#REF!</v>
      </c>
      <c r="O34" s="78" t="e">
        <f>+GETPIVOTDATA("PPEF 2011 ",#REF!,"No. Ramo",8,"IPP","U","PP",16,"UR",311)*$J34</f>
        <v>#REF!</v>
      </c>
      <c r="P34" s="78" t="e">
        <f>+GETPIVOTDATA("Reducción ",#REF!,"No. Ramo",8,"IPP","U","PP",16,"UR",311)*$J34</f>
        <v>#REF!</v>
      </c>
      <c r="Q34" s="78" t="e">
        <f>+GETPIVOTDATA("Ampliación ",#REF!,"No. Ramo",8,"IPP","U","PP",16,"UR",311)*$J34</f>
        <v>#REF!</v>
      </c>
      <c r="R34" s="69" t="e">
        <f t="shared" si="1"/>
        <v>#REF!</v>
      </c>
      <c r="S34" s="69"/>
      <c r="T34" s="69"/>
      <c r="U34" s="69" t="e">
        <f>+$I34*O34</f>
        <v>#REF!</v>
      </c>
      <c r="V34" s="69" t="e">
        <f>+$I34*P34</f>
        <v>#REF!</v>
      </c>
      <c r="W34" s="69" t="e">
        <f>+$I34*Q34</f>
        <v>#REF!</v>
      </c>
      <c r="X34" s="79" t="e">
        <f>+$I34*R34</f>
        <v>#REF!</v>
      </c>
      <c r="Y34" s="73" t="e">
        <f>1110.5-X34/1000000</f>
        <v>#REF!</v>
      </c>
      <c r="AH34" s="152"/>
      <c r="AI34" s="157"/>
      <c r="AJ34" s="158" t="s">
        <v>1355</v>
      </c>
      <c r="AK34" s="158"/>
      <c r="AL34" s="155"/>
      <c r="AM34" s="277"/>
      <c r="AN34" s="277"/>
      <c r="AO34" s="278"/>
      <c r="AP34" s="146"/>
      <c r="AQ34" s="146"/>
      <c r="AR34" s="146"/>
      <c r="AS34" s="245"/>
      <c r="AT34" s="245"/>
      <c r="AU34" s="146"/>
      <c r="AX34" s="152"/>
      <c r="AY34" s="157"/>
      <c r="AZ34" s="158" t="s">
        <v>1355</v>
      </c>
      <c r="BA34" s="158"/>
      <c r="BB34" s="155"/>
      <c r="BC34" s="275"/>
      <c r="BD34" s="275"/>
      <c r="BE34" s="276"/>
      <c r="BF34" s="187"/>
    </row>
    <row r="35" spans="1:75" s="113" customFormat="1">
      <c r="A35" s="122">
        <v>1</v>
      </c>
      <c r="B35" s="111"/>
      <c r="C35" s="110"/>
      <c r="D35" s="111" t="s">
        <v>972</v>
      </c>
      <c r="E35" s="110"/>
      <c r="F35" s="80" t="s">
        <v>799</v>
      </c>
      <c r="G35" s="80">
        <v>311</v>
      </c>
      <c r="H35" s="80"/>
      <c r="I35" s="112"/>
      <c r="J35" s="112"/>
      <c r="K35" s="78"/>
      <c r="L35" s="78"/>
      <c r="M35" s="78"/>
      <c r="N35" s="78"/>
      <c r="O35" s="78"/>
      <c r="P35" s="78"/>
      <c r="Q35" s="78"/>
      <c r="R35" s="79"/>
      <c r="S35" s="79"/>
      <c r="T35" s="79"/>
      <c r="U35" s="79"/>
      <c r="V35" s="79"/>
      <c r="W35" s="79"/>
      <c r="X35" s="79"/>
      <c r="Y35" s="114"/>
      <c r="AG35"/>
      <c r="AH35" s="152"/>
      <c r="AI35" s="157"/>
      <c r="AJ35" s="154" t="s">
        <v>972</v>
      </c>
      <c r="AK35" s="158"/>
      <c r="AL35" s="277"/>
      <c r="AM35" s="277"/>
      <c r="AN35" s="277"/>
      <c r="AO35" s="278"/>
      <c r="AP35" s="146"/>
      <c r="AQ35" s="146"/>
      <c r="AR35" s="146"/>
      <c r="AS35" s="245"/>
      <c r="AT35" s="245"/>
      <c r="AU35" s="146"/>
      <c r="AV35" s="195"/>
      <c r="AW35" s="195"/>
      <c r="AX35" s="152"/>
      <c r="AY35" s="157"/>
      <c r="AZ35" s="154" t="s">
        <v>972</v>
      </c>
      <c r="BA35" s="158"/>
      <c r="BB35" s="275"/>
      <c r="BC35" s="275"/>
      <c r="BD35" s="275"/>
      <c r="BE35" s="276"/>
      <c r="BF35" s="187">
        <f>+AU35</f>
        <v>0</v>
      </c>
      <c r="BG35" s="195"/>
      <c r="BH35" s="195"/>
      <c r="BI35"/>
      <c r="BJ35"/>
      <c r="BK35"/>
      <c r="BL35"/>
    </row>
    <row r="36" spans="1:75">
      <c r="A36" s="122">
        <v>1</v>
      </c>
      <c r="B36" s="31"/>
      <c r="C36" s="30"/>
      <c r="D36" s="30" t="s">
        <v>668</v>
      </c>
      <c r="E36" s="30"/>
      <c r="F36" s="33" t="s">
        <v>799</v>
      </c>
      <c r="G36" s="80">
        <v>411</v>
      </c>
      <c r="H36" s="33"/>
      <c r="I36" s="67">
        <v>1</v>
      </c>
      <c r="J36" s="67">
        <v>0.33333333333333337</v>
      </c>
      <c r="K36" s="78" t="e">
        <f>+GETPIVOTDATA("PPEF 2010 ",#REF!,"No. Ramo",8,"IPP","S","PP",230,"UR",411)*$J36</f>
        <v>#REF!</v>
      </c>
      <c r="L36" s="78" t="e">
        <f>+GETPIVOTDATA("Ampliación Neta DIP ",#REF!,"No. Ramo",8,"IPP","S","PP",230,"UR",411)*$J36</f>
        <v>#REF!</v>
      </c>
      <c r="M36" s="78" t="e">
        <f>+GETPIVOTDATA("Recorte SHCP ",#REF!,"No. Ramo",8,"IPP","S","PP",230,"UR",411)*$J36</f>
        <v>#REF!</v>
      </c>
      <c r="N36" s="78" t="e">
        <f>+GETPIVOTDATA("PEF 2010 ",#REF!,"No. Ramo",8,"IPP","S","PP",230,"UR",411)*$J36</f>
        <v>#REF!</v>
      </c>
      <c r="O36" s="75" t="e">
        <f>+GETPIVOTDATA("PPEF 2011 ",#REF!,"No. Ramo",8,"IPP","S","PP",230,"UR",411)*$J36</f>
        <v>#REF!</v>
      </c>
      <c r="P36" s="78" t="e">
        <f>+GETPIVOTDATA("Reducción ",#REF!,"No. Ramo",8,"IPP","S","PP",230,"UR",411)*$J36</f>
        <v>#REF!</v>
      </c>
      <c r="Q36" s="78" t="e">
        <f>+GETPIVOTDATA("Ampliación ",#REF!,"No. Ramo",8,"IPP","S","PP",230,"UR",411)*$J36</f>
        <v>#REF!</v>
      </c>
      <c r="R36" s="69" t="e">
        <f t="shared" si="1"/>
        <v>#REF!</v>
      </c>
      <c r="S36" s="69"/>
      <c r="T36" s="69"/>
      <c r="U36" s="69" t="e">
        <f t="shared" ref="U36:X37" si="16">+$I36*O36</f>
        <v>#REF!</v>
      </c>
      <c r="V36" s="69" t="e">
        <f t="shared" si="16"/>
        <v>#REF!</v>
      </c>
      <c r="W36" s="69" t="e">
        <f t="shared" si="16"/>
        <v>#REF!</v>
      </c>
      <c r="X36" s="69" t="e">
        <f t="shared" si="16"/>
        <v>#REF!</v>
      </c>
      <c r="AH36" s="152"/>
      <c r="AI36" s="157"/>
      <c r="AJ36" s="158" t="s">
        <v>668</v>
      </c>
      <c r="AK36" s="158"/>
      <c r="AL36" s="277"/>
      <c r="AM36" s="277"/>
      <c r="AN36" s="277"/>
      <c r="AO36" s="278"/>
      <c r="AP36" s="146"/>
      <c r="AQ36" s="146"/>
      <c r="AR36" s="146"/>
      <c r="AS36" s="245"/>
      <c r="AT36" s="245"/>
      <c r="AU36" s="146"/>
      <c r="AX36" s="152"/>
      <c r="AY36" s="157"/>
      <c r="AZ36" s="158" t="s">
        <v>668</v>
      </c>
      <c r="BA36" s="158"/>
      <c r="BB36" s="275"/>
      <c r="BC36" s="275"/>
      <c r="BD36" s="275"/>
      <c r="BE36" s="276"/>
      <c r="BF36" s="187">
        <f>+AU36</f>
        <v>0</v>
      </c>
    </row>
    <row r="37" spans="1:75">
      <c r="A37" s="122">
        <v>1</v>
      </c>
      <c r="B37" s="31"/>
      <c r="C37" s="30"/>
      <c r="D37" s="30" t="s">
        <v>669</v>
      </c>
      <c r="E37" s="30"/>
      <c r="F37" s="33" t="s">
        <v>799</v>
      </c>
      <c r="G37" s="33">
        <v>311</v>
      </c>
      <c r="H37" s="33"/>
      <c r="I37" s="67">
        <v>1</v>
      </c>
      <c r="J37" s="67">
        <v>0.10797840431913618</v>
      </c>
      <c r="K37" s="75" t="e">
        <f>+GETPIVOTDATA("PPEF 2010 ",#REF!,"No. Ramo",8,"IPP","S","PP",230,"UR",311)*$J37</f>
        <v>#REF!</v>
      </c>
      <c r="L37" s="75" t="e">
        <f>+GETPIVOTDATA("Ampliación Neta DIP ",#REF!,"No. Ramo",8,"IPP","S","PP",230,"UR",311)*$J37</f>
        <v>#REF!</v>
      </c>
      <c r="M37" s="75" t="e">
        <f>+GETPIVOTDATA("Recorte SHCP ",#REF!,"No. Ramo",8,"IPP","S","PP",230,"UR",311)*$J37</f>
        <v>#REF!</v>
      </c>
      <c r="N37" s="75" t="e">
        <f>+GETPIVOTDATA("PEF 2010 ",#REF!,"No. Ramo",8,"IPP","S","PP",230,"UR",311)*$J37</f>
        <v>#REF!</v>
      </c>
      <c r="O37" s="75" t="e">
        <f>+GETPIVOTDATA("PPEF 2011 ",#REF!,"No. Ramo",8,"IPP","S","PP",230,"UR",311)*$J37</f>
        <v>#REF!</v>
      </c>
      <c r="P37" s="75" t="e">
        <f>+GETPIVOTDATA("Reducción ",#REF!,"No. Ramo",8,"IPP","S","PP",230,"UR",311)*$J37</f>
        <v>#REF!</v>
      </c>
      <c r="Q37" s="75" t="e">
        <f>+GETPIVOTDATA("Ampliación ",#REF!,"No. Ramo",8,"IPP","S","PP",230,"UR",311)*$J37</f>
        <v>#REF!</v>
      </c>
      <c r="R37" s="69" t="e">
        <f t="shared" si="1"/>
        <v>#REF!</v>
      </c>
      <c r="S37" s="69"/>
      <c r="T37" s="69"/>
      <c r="U37" s="69" t="e">
        <f t="shared" si="16"/>
        <v>#REF!</v>
      </c>
      <c r="V37" s="69" t="e">
        <f t="shared" si="16"/>
        <v>#REF!</v>
      </c>
      <c r="W37" s="69" t="e">
        <f t="shared" si="16"/>
        <v>#REF!</v>
      </c>
      <c r="X37" s="69" t="e">
        <f t="shared" si="16"/>
        <v>#REF!</v>
      </c>
      <c r="AH37" s="152"/>
      <c r="AI37" s="157"/>
      <c r="AJ37" s="158" t="s">
        <v>669</v>
      </c>
      <c r="AK37" s="158"/>
      <c r="AL37" s="277"/>
      <c r="AM37" s="277"/>
      <c r="AN37" s="277"/>
      <c r="AO37" s="278"/>
      <c r="AP37" s="146"/>
      <c r="AQ37" s="146"/>
      <c r="AR37" s="146"/>
      <c r="AS37" s="245"/>
      <c r="AT37" s="245"/>
      <c r="AU37" s="146"/>
      <c r="AX37" s="152"/>
      <c r="AY37" s="157"/>
      <c r="AZ37" s="158" t="s">
        <v>669</v>
      </c>
      <c r="BA37" s="158"/>
      <c r="BB37" s="275"/>
      <c r="BC37" s="275"/>
      <c r="BD37" s="275"/>
      <c r="BE37" s="276"/>
      <c r="BF37" s="187">
        <f>+AU37</f>
        <v>0</v>
      </c>
    </row>
    <row r="38" spans="1:75">
      <c r="A38" s="122">
        <v>1</v>
      </c>
      <c r="B38" s="31"/>
      <c r="C38" s="30"/>
      <c r="D38" s="30" t="s">
        <v>670</v>
      </c>
      <c r="E38" s="30"/>
      <c r="F38" s="33"/>
      <c r="G38" s="33"/>
      <c r="H38" s="33"/>
      <c r="I38" s="67"/>
      <c r="J38" s="33"/>
      <c r="K38" s="75" t="e">
        <f t="shared" ref="K38:Q38" si="17">+SUM(K39:K41)</f>
        <v>#REF!</v>
      </c>
      <c r="L38" s="75" t="e">
        <f t="shared" si="17"/>
        <v>#REF!</v>
      </c>
      <c r="M38" s="75" t="e">
        <f t="shared" si="17"/>
        <v>#REF!</v>
      </c>
      <c r="N38" s="75" t="e">
        <f t="shared" si="17"/>
        <v>#REF!</v>
      </c>
      <c r="O38" s="75" t="e">
        <f t="shared" si="17"/>
        <v>#REF!</v>
      </c>
      <c r="P38" s="75" t="e">
        <f t="shared" si="17"/>
        <v>#REF!</v>
      </c>
      <c r="Q38" s="75" t="e">
        <f t="shared" si="17"/>
        <v>#REF!</v>
      </c>
      <c r="R38" s="69" t="e">
        <f t="shared" si="1"/>
        <v>#REF!</v>
      </c>
      <c r="S38" s="69"/>
      <c r="T38" s="69"/>
      <c r="U38" s="75" t="e">
        <f>+SUM(U39:U41)</f>
        <v>#REF!</v>
      </c>
      <c r="V38" s="75" t="e">
        <f>+SUM(V39:V41)</f>
        <v>#REF!</v>
      </c>
      <c r="W38" s="75" t="e">
        <f>+SUM(W39:W41)</f>
        <v>#REF!</v>
      </c>
      <c r="X38" s="75" t="e">
        <f>+SUM(X39:X41)</f>
        <v>#REF!</v>
      </c>
      <c r="AH38" s="152"/>
      <c r="AI38" s="157"/>
      <c r="AJ38" s="158" t="s">
        <v>670</v>
      </c>
      <c r="AK38" s="158"/>
      <c r="AL38" s="277"/>
      <c r="AM38" s="277"/>
      <c r="AN38" s="277"/>
      <c r="AO38" s="278"/>
      <c r="AP38" s="146" t="e">
        <f>AP39+AP40+AP41</f>
        <v>#REF!</v>
      </c>
      <c r="AQ38" s="146" t="e">
        <f>AQ39+AQ40+AQ41</f>
        <v>#REF!</v>
      </c>
      <c r="AR38" s="146" t="e">
        <f>AR39+AR40+AR41</f>
        <v>#REF!</v>
      </c>
      <c r="AS38" s="245"/>
      <c r="AT38" s="245"/>
      <c r="AU38" s="146" t="e">
        <f>AU39+AU40+AU41</f>
        <v>#REF!</v>
      </c>
      <c r="AX38" s="152"/>
      <c r="AY38" s="157"/>
      <c r="AZ38" s="158" t="s">
        <v>670</v>
      </c>
      <c r="BA38" s="158"/>
      <c r="BB38" s="275"/>
      <c r="BC38" s="275"/>
      <c r="BD38" s="275"/>
      <c r="BE38" s="276"/>
      <c r="BF38" s="187" t="e">
        <f>BF39+BF40+BF41</f>
        <v>#REF!</v>
      </c>
    </row>
    <row r="39" spans="1:75">
      <c r="A39" s="122">
        <v>1</v>
      </c>
      <c r="B39" s="31"/>
      <c r="C39" s="30"/>
      <c r="D39" s="33"/>
      <c r="E39" s="31" t="s">
        <v>671</v>
      </c>
      <c r="F39" s="33" t="s">
        <v>799</v>
      </c>
      <c r="G39" s="33">
        <v>311</v>
      </c>
      <c r="H39" s="33"/>
      <c r="I39" s="67">
        <v>1</v>
      </c>
      <c r="J39" s="67">
        <v>5.098980203959208E-2</v>
      </c>
      <c r="K39" s="75" t="e">
        <f>+GETPIVOTDATA("PPEF 2010 ",#REF!,"No. Ramo",8,"IPP","S","PP",230,"UR",311)*$J39</f>
        <v>#REF!</v>
      </c>
      <c r="L39" s="75" t="e">
        <f>+GETPIVOTDATA("Ampliación Neta DIP ",#REF!,"No. Ramo",8,"IPP","S","PP",230,"UR",311)*$J39</f>
        <v>#REF!</v>
      </c>
      <c r="M39" s="75" t="e">
        <f>+GETPIVOTDATA("Recorte SHCP ",#REF!,"No. Ramo",8,"IPP","S","PP",230,"UR",311)*$J39</f>
        <v>#REF!</v>
      </c>
      <c r="N39" s="75" t="e">
        <f>+GETPIVOTDATA("PEF 2010 ",#REF!,"No. Ramo",8,"IPP","S","PP",230,"UR",311)*$J39</f>
        <v>#REF!</v>
      </c>
      <c r="O39" s="75" t="e">
        <f>+GETPIVOTDATA("PPEF 2011 ",#REF!,"No. Ramo",8,"IPP","S","PP",230,"UR",311)*$J39</f>
        <v>#REF!</v>
      </c>
      <c r="P39" s="75" t="e">
        <f>+GETPIVOTDATA("Reducción ",#REF!,"No. Ramo",8,"IPP","S","PP",230,"UR",311)*$J39</f>
        <v>#REF!</v>
      </c>
      <c r="Q39" s="75" t="e">
        <f>+GETPIVOTDATA("Ampliación ",#REF!,"No. Ramo",8,"IPP","S","PP",230,"UR",311)*$J39</f>
        <v>#REF!</v>
      </c>
      <c r="R39" s="69" t="e">
        <f t="shared" si="1"/>
        <v>#REF!</v>
      </c>
      <c r="S39" s="69"/>
      <c r="T39" s="69"/>
      <c r="U39" s="69" t="e">
        <f t="shared" ref="U39:U47" si="18">+$I39*O39</f>
        <v>#REF!</v>
      </c>
      <c r="V39" s="69" t="e">
        <f t="shared" ref="V39:V47" si="19">+$I39*P39</f>
        <v>#REF!</v>
      </c>
      <c r="W39" s="69" t="e">
        <f t="shared" ref="W39:W47" si="20">+$I39*Q39</f>
        <v>#REF!</v>
      </c>
      <c r="X39" s="69" t="e">
        <f t="shared" ref="X39:X47" si="21">+$I39*R39</f>
        <v>#REF!</v>
      </c>
      <c r="AH39" s="152"/>
      <c r="AI39" s="157"/>
      <c r="AJ39" s="155"/>
      <c r="AK39" s="154" t="s">
        <v>671</v>
      </c>
      <c r="AL39" s="277"/>
      <c r="AM39" s="277"/>
      <c r="AN39" s="277"/>
      <c r="AO39" s="278"/>
      <c r="AP39" s="146"/>
      <c r="AQ39" s="146"/>
      <c r="AR39" s="146"/>
      <c r="AS39" s="245"/>
      <c r="AT39" s="245"/>
      <c r="AU39" s="146"/>
      <c r="AX39" s="152"/>
      <c r="AY39" s="157"/>
      <c r="AZ39" s="155"/>
      <c r="BA39" s="154" t="s">
        <v>671</v>
      </c>
      <c r="BB39" s="275"/>
      <c r="BC39" s="275"/>
      <c r="BD39" s="275"/>
      <c r="BE39" s="276"/>
      <c r="BF39" s="187">
        <f>+AU39</f>
        <v>0</v>
      </c>
    </row>
    <row r="40" spans="1:75">
      <c r="A40" s="122">
        <v>1</v>
      </c>
      <c r="B40" s="31"/>
      <c r="C40" s="30"/>
      <c r="D40" s="33"/>
      <c r="E40" s="31" t="s">
        <v>672</v>
      </c>
      <c r="F40" s="33" t="s">
        <v>799</v>
      </c>
      <c r="G40" s="33">
        <v>311</v>
      </c>
      <c r="H40" s="33"/>
      <c r="I40" s="67">
        <v>1</v>
      </c>
      <c r="J40" s="67">
        <v>5.99880023995201E-3</v>
      </c>
      <c r="K40" s="75" t="e">
        <f>+GETPIVOTDATA("PPEF 2010 ",#REF!,"No. Ramo",8,"IPP","S","PP",230,"UR",311)*$J40</f>
        <v>#REF!</v>
      </c>
      <c r="L40" s="75" t="e">
        <f>+GETPIVOTDATA("Ampliación Neta DIP ",#REF!,"No. Ramo",8,"IPP","S","PP",230,"UR",311)*$J40</f>
        <v>#REF!</v>
      </c>
      <c r="M40" s="75" t="e">
        <f>+GETPIVOTDATA("Recorte SHCP ",#REF!,"No. Ramo",8,"IPP","S","PP",230,"UR",311)*$J40</f>
        <v>#REF!</v>
      </c>
      <c r="N40" s="75" t="e">
        <f>+GETPIVOTDATA("PEF 2010 ",#REF!,"No. Ramo",8,"IPP","S","PP",230,"UR",311)*$J40</f>
        <v>#REF!</v>
      </c>
      <c r="O40" s="75" t="e">
        <f>+GETPIVOTDATA("PPEF 2011 ",#REF!,"No. Ramo",8,"IPP","S","PP",230,"UR",311)*$J40</f>
        <v>#REF!</v>
      </c>
      <c r="P40" s="75" t="e">
        <f>+GETPIVOTDATA("Reducción ",#REF!,"No. Ramo",8,"IPP","S","PP",230,"UR",311)*$J40</f>
        <v>#REF!</v>
      </c>
      <c r="Q40" s="75" t="e">
        <f>+GETPIVOTDATA("Ampliación ",#REF!,"No. Ramo",8,"IPP","S","PP",230,"UR",311)*$J40</f>
        <v>#REF!</v>
      </c>
      <c r="R40" s="69" t="e">
        <f t="shared" si="1"/>
        <v>#REF!</v>
      </c>
      <c r="S40" s="69"/>
      <c r="T40" s="69"/>
      <c r="U40" s="69" t="e">
        <f t="shared" si="18"/>
        <v>#REF!</v>
      </c>
      <c r="V40" s="69" t="e">
        <f t="shared" si="19"/>
        <v>#REF!</v>
      </c>
      <c r="W40" s="69" t="e">
        <f t="shared" si="20"/>
        <v>#REF!</v>
      </c>
      <c r="X40" s="69" t="e">
        <f t="shared" si="21"/>
        <v>#REF!</v>
      </c>
      <c r="AH40" s="152"/>
      <c r="AI40" s="157"/>
      <c r="AJ40" s="155"/>
      <c r="AK40" s="154" t="s">
        <v>672</v>
      </c>
      <c r="AL40" s="277"/>
      <c r="AM40" s="277"/>
      <c r="AN40" s="277"/>
      <c r="AO40" s="278"/>
      <c r="AP40" s="146" t="e">
        <f>#REF!+#REF!</f>
        <v>#REF!</v>
      </c>
      <c r="AQ40" s="146" t="e">
        <f>#REF!+#REF!</f>
        <v>#REF!</v>
      </c>
      <c r="AR40" s="146" t="e">
        <f>#REF!+#REF!</f>
        <v>#REF!</v>
      </c>
      <c r="AS40" s="245"/>
      <c r="AT40" s="245"/>
      <c r="AU40" s="146" t="e">
        <f>#REF!+#REF!</f>
        <v>#REF!</v>
      </c>
      <c r="AX40" s="152"/>
      <c r="AY40" s="157"/>
      <c r="AZ40" s="155"/>
      <c r="BA40" s="154" t="s">
        <v>672</v>
      </c>
      <c r="BB40" s="275"/>
      <c r="BC40" s="275"/>
      <c r="BD40" s="275"/>
      <c r="BE40" s="276"/>
      <c r="BF40" s="187" t="e">
        <f>#REF!+#REF!</f>
        <v>#REF!</v>
      </c>
    </row>
    <row r="41" spans="1:75">
      <c r="A41" s="122">
        <v>1</v>
      </c>
      <c r="B41" s="31"/>
      <c r="C41" s="30"/>
      <c r="D41" s="33"/>
      <c r="E41" s="31" t="s">
        <v>673</v>
      </c>
      <c r="F41" s="33" t="s">
        <v>799</v>
      </c>
      <c r="G41" s="33">
        <v>311</v>
      </c>
      <c r="H41" s="33"/>
      <c r="I41" s="67">
        <v>1</v>
      </c>
      <c r="J41" s="67">
        <v>9.9980003999200154E-3</v>
      </c>
      <c r="K41" s="75" t="e">
        <f>+GETPIVOTDATA("PPEF 2010 ",#REF!,"No. Ramo",8,"IPP","S","PP",230,"UR",311)*$J41</f>
        <v>#REF!</v>
      </c>
      <c r="L41" s="75" t="e">
        <f>+GETPIVOTDATA("Ampliación Neta DIP ",#REF!,"No. Ramo",8,"IPP","S","PP",230,"UR",311)*$J41</f>
        <v>#REF!</v>
      </c>
      <c r="M41" s="75" t="e">
        <f>+GETPIVOTDATA("Recorte SHCP ",#REF!,"No. Ramo",8,"IPP","S","PP",230,"UR",311)*$J41</f>
        <v>#REF!</v>
      </c>
      <c r="N41" s="75" t="e">
        <f>+GETPIVOTDATA("PEF 2010 ",#REF!,"No. Ramo",8,"IPP","S","PP",230,"UR",311)*$J41</f>
        <v>#REF!</v>
      </c>
      <c r="O41" s="75" t="e">
        <f>+GETPIVOTDATA("PPEF 2011 ",#REF!,"No. Ramo",8,"IPP","S","PP",230,"UR",311)*$J41</f>
        <v>#REF!</v>
      </c>
      <c r="P41" s="75" t="e">
        <f>+GETPIVOTDATA("Reducción ",#REF!,"No. Ramo",8,"IPP","S","PP",230,"UR",311)*$J41</f>
        <v>#REF!</v>
      </c>
      <c r="Q41" s="75" t="e">
        <f>+GETPIVOTDATA("Ampliación ",#REF!,"No. Ramo",8,"IPP","S","PP",230,"UR",311)*$J41</f>
        <v>#REF!</v>
      </c>
      <c r="R41" s="69" t="e">
        <f t="shared" si="1"/>
        <v>#REF!</v>
      </c>
      <c r="S41" s="69"/>
      <c r="T41" s="69"/>
      <c r="U41" s="69" t="e">
        <f t="shared" si="18"/>
        <v>#REF!</v>
      </c>
      <c r="V41" s="69" t="e">
        <f t="shared" si="19"/>
        <v>#REF!</v>
      </c>
      <c r="W41" s="69" t="e">
        <f t="shared" si="20"/>
        <v>#REF!</v>
      </c>
      <c r="X41" s="69" t="e">
        <f t="shared" si="21"/>
        <v>#REF!</v>
      </c>
      <c r="AH41" s="152"/>
      <c r="AI41" s="157"/>
      <c r="AJ41" s="155"/>
      <c r="AK41" s="154" t="s">
        <v>673</v>
      </c>
      <c r="AL41" s="277"/>
      <c r="AM41" s="277"/>
      <c r="AN41" s="277"/>
      <c r="AO41" s="278"/>
      <c r="AP41" s="146"/>
      <c r="AQ41" s="146"/>
      <c r="AR41" s="146"/>
      <c r="AS41" s="245"/>
      <c r="AT41" s="245"/>
      <c r="AU41" s="146"/>
      <c r="AX41" s="152"/>
      <c r="AY41" s="157"/>
      <c r="AZ41" s="155"/>
      <c r="BA41" s="154" t="s">
        <v>673</v>
      </c>
      <c r="BB41" s="275"/>
      <c r="BC41" s="275"/>
      <c r="BD41" s="275"/>
      <c r="BE41" s="276"/>
      <c r="BF41" s="187">
        <f>+AU41</f>
        <v>0</v>
      </c>
    </row>
    <row r="42" spans="1:75" s="195" customFormat="1">
      <c r="A42" s="122">
        <v>1</v>
      </c>
      <c r="B42" s="31"/>
      <c r="C42" s="30"/>
      <c r="D42" s="30" t="s">
        <v>674</v>
      </c>
      <c r="E42" s="30"/>
      <c r="F42" s="33" t="s">
        <v>799</v>
      </c>
      <c r="G42" s="33">
        <v>310</v>
      </c>
      <c r="H42" s="33"/>
      <c r="I42" s="67">
        <v>1</v>
      </c>
      <c r="J42" s="67">
        <v>0.6</v>
      </c>
      <c r="K42" s="75" t="e">
        <f>+GETPIVOTDATA("PPEF 2010 ",#REF!,"No. Ramo",8,"IPP","S","PP",230,"UR",310)</f>
        <v>#REF!</v>
      </c>
      <c r="L42" s="75" t="e">
        <f>+GETPIVOTDATA("Ampliación Neta DIP ",#REF!,"No. Ramo",8,"IPP","S","PP",230,"UR",310)</f>
        <v>#REF!</v>
      </c>
      <c r="M42" s="75" t="e">
        <f>+GETPIVOTDATA("Recorte SHCP ",#REF!,"No. Ramo",8,"IPP","S","PP",230,"UR",310)</f>
        <v>#REF!</v>
      </c>
      <c r="N42" s="75" t="e">
        <f>+GETPIVOTDATA("PEF 2010 ",#REF!,"No. Ramo",8,"IPP","S","PP",230,"UR",310)</f>
        <v>#REF!</v>
      </c>
      <c r="O42" s="75" t="e">
        <f>+GETPIVOTDATA("PPEF 2011 ",#REF!,"No. Ramo",8,"IPP","S","PP",230,"UR",310)*$J42</f>
        <v>#REF!</v>
      </c>
      <c r="P42" s="75" t="e">
        <f>+GETPIVOTDATA("Reducción ",#REF!,"No. Ramo",8,"IPP","S","PP",230,"UR",310)</f>
        <v>#REF!</v>
      </c>
      <c r="Q42" s="75" t="e">
        <f>+GETPIVOTDATA("Ampliación ",#REF!,"No. Ramo",8,"IPP","S","PP",230,"UR",310)</f>
        <v>#REF!</v>
      </c>
      <c r="R42" s="69" t="e">
        <f t="shared" si="1"/>
        <v>#REF!</v>
      </c>
      <c r="S42" s="69"/>
      <c r="T42" s="69"/>
      <c r="U42" s="69" t="e">
        <f t="shared" si="18"/>
        <v>#REF!</v>
      </c>
      <c r="V42" s="69" t="e">
        <f t="shared" si="19"/>
        <v>#REF!</v>
      </c>
      <c r="W42" s="69" t="e">
        <f t="shared" si="20"/>
        <v>#REF!</v>
      </c>
      <c r="X42" s="69" t="e">
        <f t="shared" si="21"/>
        <v>#REF!</v>
      </c>
      <c r="Y42"/>
      <c r="Z42"/>
      <c r="AA42"/>
      <c r="AB42"/>
      <c r="AC42"/>
      <c r="AD42"/>
      <c r="AE42"/>
      <c r="AF42"/>
      <c r="AG42"/>
      <c r="AH42" s="152"/>
      <c r="AI42" s="157"/>
      <c r="AJ42" s="158" t="s">
        <v>674</v>
      </c>
      <c r="AK42" s="158"/>
      <c r="AL42" s="277"/>
      <c r="AM42" s="277"/>
      <c r="AN42" s="277"/>
      <c r="AO42" s="278"/>
      <c r="AP42" s="146" t="e">
        <f>#REF!+#REF!</f>
        <v>#REF!</v>
      </c>
      <c r="AQ42" s="146" t="e">
        <f>#REF!+#REF!</f>
        <v>#REF!</v>
      </c>
      <c r="AR42" s="146" t="e">
        <f>#REF!+#REF!</f>
        <v>#REF!</v>
      </c>
      <c r="AS42" s="245"/>
      <c r="AT42" s="245"/>
      <c r="AU42" s="146" t="e">
        <f>#REF!+#REF!</f>
        <v>#REF!</v>
      </c>
      <c r="AX42" s="152"/>
      <c r="AY42" s="157"/>
      <c r="AZ42" s="158" t="s">
        <v>674</v>
      </c>
      <c r="BA42" s="158"/>
      <c r="BB42" s="275"/>
      <c r="BC42" s="275"/>
      <c r="BD42" s="275"/>
      <c r="BE42" s="276"/>
      <c r="BF42" s="187" t="e">
        <f>#REF!+#REF!</f>
        <v>#REF!</v>
      </c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95" customFormat="1">
      <c r="A43" s="122">
        <v>1</v>
      </c>
      <c r="B43" s="31"/>
      <c r="C43" s="30"/>
      <c r="D43" s="30" t="s">
        <v>675</v>
      </c>
      <c r="E43" s="30"/>
      <c r="F43" s="33" t="s">
        <v>799</v>
      </c>
      <c r="G43" s="80" t="s">
        <v>130</v>
      </c>
      <c r="H43" s="33"/>
      <c r="I43" s="67">
        <v>1</v>
      </c>
      <c r="J43" s="67">
        <v>0.26294741051789644</v>
      </c>
      <c r="K43" s="78" t="e">
        <f>+GETPIVOTDATA("PPEF 2010 ",#REF!,"No. Ramo",8,"IPP","S","PP",230,"UR","I6L")</f>
        <v>#REF!</v>
      </c>
      <c r="L43" s="78" t="e">
        <f>+GETPIVOTDATA("Ampliación Neta DIP ",#REF!,"No. Ramo",8,"IPP","S","PP",230,"UR","I6L")</f>
        <v>#REF!</v>
      </c>
      <c r="M43" s="78" t="e">
        <f>+GETPIVOTDATA("Recorte SHCP ",#REF!,"No. Ramo",8,"IPP","S","PP",230,"UR","I6L")</f>
        <v>#REF!</v>
      </c>
      <c r="N43" s="78" t="e">
        <f>+GETPIVOTDATA("PEF 2010 ",#REF!,"No. Ramo",8,"IPP","S","PP",230,"UR","I6L")</f>
        <v>#REF!</v>
      </c>
      <c r="O43" s="75" t="e">
        <f>+GETPIVOTDATA("PPEF 2011 ",#REF!,"No. Ramo",8,"IPP","S","PP",230,"UR","I6L")</f>
        <v>#REF!</v>
      </c>
      <c r="P43" s="78" t="e">
        <f>+GETPIVOTDATA("Reducción ",#REF!,"No. Ramo",8,"IPP","S","PP",230,"UR","I6L")</f>
        <v>#REF!</v>
      </c>
      <c r="Q43" s="78" t="e">
        <f>+GETPIVOTDATA("Ampliación ",#REF!,"No. Ramo",8,"IPP","S","PP",230,"UR","I6L")</f>
        <v>#REF!</v>
      </c>
      <c r="R43" s="69" t="e">
        <f t="shared" si="1"/>
        <v>#REF!</v>
      </c>
      <c r="S43" s="69"/>
      <c r="T43" s="69"/>
      <c r="U43" s="69" t="e">
        <f t="shared" si="18"/>
        <v>#REF!</v>
      </c>
      <c r="V43" s="69" t="e">
        <f t="shared" si="19"/>
        <v>#REF!</v>
      </c>
      <c r="W43" s="69" t="e">
        <f t="shared" si="20"/>
        <v>#REF!</v>
      </c>
      <c r="X43" s="69" t="e">
        <f t="shared" si="21"/>
        <v>#REF!</v>
      </c>
      <c r="Y43"/>
      <c r="Z43"/>
      <c r="AA43"/>
      <c r="AB43"/>
      <c r="AC43"/>
      <c r="AD43"/>
      <c r="AE43"/>
      <c r="AF43"/>
      <c r="AG43"/>
      <c r="AH43" s="152"/>
      <c r="AI43" s="157"/>
      <c r="AJ43" s="158" t="s">
        <v>1356</v>
      </c>
      <c r="AK43" s="158"/>
      <c r="AL43" s="277"/>
      <c r="AM43" s="277"/>
      <c r="AN43" s="277"/>
      <c r="AO43" s="278"/>
      <c r="AP43" s="146" t="e">
        <f>#REF!</f>
        <v>#REF!</v>
      </c>
      <c r="AQ43" s="146" t="e">
        <f>#REF!</f>
        <v>#REF!</v>
      </c>
      <c r="AR43" s="146" t="e">
        <f>#REF!</f>
        <v>#REF!</v>
      </c>
      <c r="AS43" s="245"/>
      <c r="AT43" s="245"/>
      <c r="AU43" s="146" t="e">
        <f>#REF!</f>
        <v>#REF!</v>
      </c>
      <c r="AX43" s="152"/>
      <c r="AY43" s="157"/>
      <c r="AZ43" s="158" t="s">
        <v>1356</v>
      </c>
      <c r="BA43" s="158"/>
      <c r="BB43" s="275"/>
      <c r="BC43" s="275"/>
      <c r="BD43" s="275"/>
      <c r="BE43" s="276"/>
      <c r="BF43" s="187" t="e">
        <f>#REF!</f>
        <v>#REF!</v>
      </c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5" customFormat="1">
      <c r="A44" s="122">
        <v>1</v>
      </c>
      <c r="B44" s="31"/>
      <c r="C44" s="30"/>
      <c r="D44" s="30" t="s">
        <v>676</v>
      </c>
      <c r="E44" s="30"/>
      <c r="F44" s="33" t="s">
        <v>800</v>
      </c>
      <c r="G44" s="33" t="s">
        <v>12</v>
      </c>
      <c r="H44" s="33"/>
      <c r="I44" s="67">
        <v>1</v>
      </c>
      <c r="J44" s="33"/>
      <c r="K44" s="70" t="e">
        <f>+GETPIVOTDATA("PPEF 2010 ",#REF!,"No. Ramo",8,"IPP","K","PP",26,"UR","I00")</f>
        <v>#REF!</v>
      </c>
      <c r="L44" s="70" t="e">
        <f>+GETPIVOTDATA("Ampliación Neta DIP ",#REF!,"No. Ramo",8,"IPP","K","PP",26,"UR","I00")</f>
        <v>#REF!</v>
      </c>
      <c r="M44" s="70" t="e">
        <f>+GETPIVOTDATA("Recorte SHCP ",#REF!,"No. Ramo",8,"IPP","K","PP",26,"UR","I00")</f>
        <v>#REF!</v>
      </c>
      <c r="N44" s="70" t="e">
        <f>+GETPIVOTDATA("PEF 2010 ",#REF!,"No. Ramo",8,"IPP","K","PP",26,"UR","I00")</f>
        <v>#REF!</v>
      </c>
      <c r="O44" s="70" t="e">
        <f>+GETPIVOTDATA("PPEF 2011 ",#REF!,"No. Ramo",8,"IPP","K","PP",26,"UR","I00")</f>
        <v>#REF!</v>
      </c>
      <c r="P44" s="70" t="e">
        <f>+GETPIVOTDATA("Reducción ",#REF!,"No. Ramo",8,"IPP","K","PP",26,"UR","I00")</f>
        <v>#REF!</v>
      </c>
      <c r="Q44" s="70" t="e">
        <f>+GETPIVOTDATA("Ampliación ",#REF!,"No. Ramo",8,"IPP","K","PP",26,"UR","I00")</f>
        <v>#REF!</v>
      </c>
      <c r="R44" s="69" t="e">
        <f t="shared" si="1"/>
        <v>#REF!</v>
      </c>
      <c r="S44" s="69"/>
      <c r="T44" s="69"/>
      <c r="U44" s="69" t="e">
        <f t="shared" si="18"/>
        <v>#REF!</v>
      </c>
      <c r="V44" s="69" t="e">
        <f t="shared" si="19"/>
        <v>#REF!</v>
      </c>
      <c r="W44" s="69" t="e">
        <f t="shared" si="20"/>
        <v>#REF!</v>
      </c>
      <c r="X44" s="69" t="e">
        <f t="shared" si="21"/>
        <v>#REF!</v>
      </c>
      <c r="Y44"/>
      <c r="Z44"/>
      <c r="AA44"/>
      <c r="AB44"/>
      <c r="AC44"/>
      <c r="AD44"/>
      <c r="AE44"/>
      <c r="AF44"/>
      <c r="AG44"/>
      <c r="AH44" s="152"/>
      <c r="AI44" s="157"/>
      <c r="AJ44" s="158" t="s">
        <v>676</v>
      </c>
      <c r="AK44" s="158"/>
      <c r="AL44" s="277"/>
      <c r="AM44" s="277"/>
      <c r="AN44" s="277"/>
      <c r="AO44" s="278"/>
      <c r="AP44" s="146">
        <v>0</v>
      </c>
      <c r="AQ44" s="146">
        <v>0</v>
      </c>
      <c r="AR44" s="146">
        <v>0</v>
      </c>
      <c r="AS44" s="245"/>
      <c r="AT44" s="245"/>
      <c r="AU44" s="146">
        <v>0</v>
      </c>
      <c r="AX44" s="152"/>
      <c r="AY44" s="157"/>
      <c r="AZ44" s="158" t="s">
        <v>676</v>
      </c>
      <c r="BA44" s="158"/>
      <c r="BB44" s="275"/>
      <c r="BC44" s="275"/>
      <c r="BD44" s="275"/>
      <c r="BE44" s="276"/>
      <c r="BF44" s="187">
        <v>0</v>
      </c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95" customFormat="1">
      <c r="A45" s="122">
        <v>1</v>
      </c>
      <c r="B45" s="31"/>
      <c r="C45" s="30"/>
      <c r="D45" s="407" t="s">
        <v>677</v>
      </c>
      <c r="E45" s="407"/>
      <c r="F45" s="33" t="s">
        <v>799</v>
      </c>
      <c r="G45" s="76" t="s">
        <v>12</v>
      </c>
      <c r="H45" s="76"/>
      <c r="I45" s="67">
        <v>1</v>
      </c>
      <c r="J45" s="81">
        <v>0.44039249014911536</v>
      </c>
      <c r="K45" s="70" t="e">
        <f>+GETPIVOTDATA("PPEF 2010 ",#REF!,"No. Ramo",8,"IPP","S","PP",230,"UR","I00")*$J45</f>
        <v>#REF!</v>
      </c>
      <c r="L45" s="70" t="e">
        <f>+GETPIVOTDATA("Ampliación Neta DIP ",#REF!,"No. Ramo",8,"IPP","S","PP",230,"UR","I00")*$J45</f>
        <v>#REF!</v>
      </c>
      <c r="M45" s="70" t="e">
        <f>+GETPIVOTDATA("Recorte SHCP ",#REF!,"No. Ramo",8,"IPP","S","PP",230,"UR","I00")*$J45</f>
        <v>#REF!</v>
      </c>
      <c r="N45" s="70" t="e">
        <f>+GETPIVOTDATA("PEF 2010 ",#REF!,"No. Ramo",8,"IPP","S","PP",230,"UR","I00")*$J45</f>
        <v>#REF!</v>
      </c>
      <c r="O45" s="70" t="e">
        <f>+GETPIVOTDATA("PPEF 2011 ",#REF!,"No. Ramo",8,"IPP","S","PP",230,"UR","I00")*$J45</f>
        <v>#REF!</v>
      </c>
      <c r="P45" s="70" t="e">
        <f>+GETPIVOTDATA("Reducción ",#REF!,"No. Ramo",8,"IPP","S","PP",230,"UR","I00")*$J45</f>
        <v>#REF!</v>
      </c>
      <c r="Q45" s="70" t="e">
        <f>+GETPIVOTDATA("Ampliación ",#REF!,"No. Ramo",8,"IPP","S","PP",230,"UR","I00")*$J45</f>
        <v>#REF!</v>
      </c>
      <c r="R45" s="69" t="e">
        <f t="shared" si="1"/>
        <v>#REF!</v>
      </c>
      <c r="S45" s="69"/>
      <c r="T45" s="69"/>
      <c r="U45" s="69" t="e">
        <f t="shared" si="18"/>
        <v>#REF!</v>
      </c>
      <c r="V45" s="69" t="e">
        <f t="shared" si="19"/>
        <v>#REF!</v>
      </c>
      <c r="W45" s="69" t="e">
        <f t="shared" si="20"/>
        <v>#REF!</v>
      </c>
      <c r="X45" s="69" t="e">
        <f t="shared" si="21"/>
        <v>#REF!</v>
      </c>
      <c r="Y45"/>
      <c r="Z45"/>
      <c r="AA45"/>
      <c r="AB45"/>
      <c r="AC45"/>
      <c r="AD45"/>
      <c r="AE45"/>
      <c r="AF45"/>
      <c r="AG45"/>
      <c r="AH45" s="152"/>
      <c r="AI45" s="157"/>
      <c r="AJ45" s="392" t="s">
        <v>677</v>
      </c>
      <c r="AK45" s="392"/>
      <c r="AL45" s="277"/>
      <c r="AM45" s="277"/>
      <c r="AN45" s="277"/>
      <c r="AO45" s="278"/>
      <c r="AP45" s="146" t="e">
        <f>#REF!+#REF!+#REF!</f>
        <v>#REF!</v>
      </c>
      <c r="AQ45" s="146" t="e">
        <f>#REF!+#REF!+#REF!</f>
        <v>#REF!</v>
      </c>
      <c r="AR45" s="146" t="e">
        <f>#REF!+#REF!+#REF!</f>
        <v>#REF!</v>
      </c>
      <c r="AS45" s="245"/>
      <c r="AT45" s="245"/>
      <c r="AU45" s="146" t="e">
        <f>#REF!+#REF!+#REF!</f>
        <v>#REF!</v>
      </c>
      <c r="AX45" s="152"/>
      <c r="AY45" s="157"/>
      <c r="AZ45" s="392" t="s">
        <v>677</v>
      </c>
      <c r="BA45" s="392"/>
      <c r="BB45" s="275"/>
      <c r="BC45" s="275"/>
      <c r="BD45" s="275"/>
      <c r="BE45" s="276"/>
      <c r="BF45" s="187" t="e">
        <f>#REF!+#REF!+#REF!</f>
        <v>#REF!</v>
      </c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5" customFormat="1">
      <c r="A46" s="122">
        <v>1</v>
      </c>
      <c r="B46" s="31"/>
      <c r="C46" s="30"/>
      <c r="D46" s="30" t="s">
        <v>678</v>
      </c>
      <c r="E46" s="30"/>
      <c r="F46" s="33" t="s">
        <v>799</v>
      </c>
      <c r="G46" s="33" t="s">
        <v>12</v>
      </c>
      <c r="H46" s="33"/>
      <c r="I46" s="67">
        <v>1</v>
      </c>
      <c r="J46" s="67">
        <v>7.7261840377037774E-2</v>
      </c>
      <c r="K46" s="70" t="e">
        <f>+GETPIVOTDATA("PPEF 2010 ",#REF!,"No. Ramo",8,"IPP","S","PP",230,"UR","I00")*$J46</f>
        <v>#REF!</v>
      </c>
      <c r="L46" s="70" t="e">
        <f>+GETPIVOTDATA("Ampliación Neta DIP ",#REF!,"No. Ramo",8,"IPP","S","PP",230,"UR","I00")*$J46</f>
        <v>#REF!</v>
      </c>
      <c r="M46" s="70" t="e">
        <f>+GETPIVOTDATA("Recorte SHCP ",#REF!,"No. Ramo",8,"IPP","S","PP",230,"UR","I00")*$J46</f>
        <v>#REF!</v>
      </c>
      <c r="N46" s="70" t="e">
        <f>+GETPIVOTDATA("PEF 2010 ",#REF!,"No. Ramo",8,"IPP","S","PP",230,"UR","I00")*$J46</f>
        <v>#REF!</v>
      </c>
      <c r="O46" s="70" t="e">
        <f>+GETPIVOTDATA("PPEF 2011 ",#REF!,"No. Ramo",8,"IPP","S","PP",230,"UR","I00")*$J46</f>
        <v>#REF!</v>
      </c>
      <c r="P46" s="70" t="e">
        <f>+GETPIVOTDATA("Reducción ",#REF!,"No. Ramo",8,"IPP","S","PP",230,"UR","I00")*$J46</f>
        <v>#REF!</v>
      </c>
      <c r="Q46" s="70" t="e">
        <f>+GETPIVOTDATA("Ampliación ",#REF!,"No. Ramo",8,"IPP","S","PP",230,"UR","I00")*$J46</f>
        <v>#REF!</v>
      </c>
      <c r="R46" s="69" t="e">
        <f t="shared" si="1"/>
        <v>#REF!</v>
      </c>
      <c r="S46" s="69"/>
      <c r="T46" s="69"/>
      <c r="U46" s="69" t="e">
        <f t="shared" si="18"/>
        <v>#REF!</v>
      </c>
      <c r="V46" s="69" t="e">
        <f t="shared" si="19"/>
        <v>#REF!</v>
      </c>
      <c r="W46" s="69" t="e">
        <f t="shared" si="20"/>
        <v>#REF!</v>
      </c>
      <c r="X46" s="69" t="e">
        <f t="shared" si="21"/>
        <v>#REF!</v>
      </c>
      <c r="Y46"/>
      <c r="Z46"/>
      <c r="AA46"/>
      <c r="AB46"/>
      <c r="AC46"/>
      <c r="AD46"/>
      <c r="AE46"/>
      <c r="AF46"/>
      <c r="AG46"/>
      <c r="AH46" s="152"/>
      <c r="AI46" s="157"/>
      <c r="AJ46" s="158" t="s">
        <v>678</v>
      </c>
      <c r="AK46" s="158"/>
      <c r="AL46" s="277"/>
      <c r="AM46" s="277"/>
      <c r="AN46" s="277"/>
      <c r="AO46" s="278"/>
      <c r="AP46" s="146"/>
      <c r="AQ46" s="146"/>
      <c r="AR46" s="146"/>
      <c r="AS46" s="245"/>
      <c r="AT46" s="245"/>
      <c r="AU46" s="146"/>
      <c r="AX46" s="152"/>
      <c r="AY46" s="157"/>
      <c r="AZ46" s="158" t="s">
        <v>678</v>
      </c>
      <c r="BA46" s="158"/>
      <c r="BB46" s="275"/>
      <c r="BC46" s="275"/>
      <c r="BD46" s="275"/>
      <c r="BE46" s="276"/>
      <c r="BF46" s="187">
        <f>+AU46</f>
        <v>0</v>
      </c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5" customFormat="1">
      <c r="A47" s="122">
        <v>1</v>
      </c>
      <c r="B47" s="31"/>
      <c r="C47" s="30"/>
      <c r="D47" s="30" t="s">
        <v>679</v>
      </c>
      <c r="E47" s="30"/>
      <c r="F47" s="33" t="s">
        <v>799</v>
      </c>
      <c r="G47" s="80">
        <v>311</v>
      </c>
      <c r="H47" s="33"/>
      <c r="I47" s="67">
        <v>1</v>
      </c>
      <c r="J47" s="67">
        <v>0.26294741051789644</v>
      </c>
      <c r="K47" s="79" t="e">
        <f>+GETPIVOTDATA("PPEF 2010 ",#REF!,"No. Ramo",8,"IPP","S","PP",230,"UR",311)*$J47</f>
        <v>#REF!</v>
      </c>
      <c r="L47" s="79" t="e">
        <f>+GETPIVOTDATA("Ampliación Neta DIP ",#REF!,"No. Ramo",8,"IPP","S","PP",230,"UR",311)*$J47</f>
        <v>#REF!</v>
      </c>
      <c r="M47" s="79" t="e">
        <f>+GETPIVOTDATA("Recorte SHCP ",#REF!,"No. Ramo",8,"IPP","S","PP",230,"UR",311)*$J47</f>
        <v>#REF!</v>
      </c>
      <c r="N47" s="79" t="e">
        <f>+GETPIVOTDATA("PEF 2010 ",#REF!,"No. Ramo",8,"IPP","S","PP",230,"UR",311)*$J47</f>
        <v>#REF!</v>
      </c>
      <c r="O47" s="70" t="e">
        <f>+GETPIVOTDATA("PPEF 2011 ",#REF!,"No. Ramo",8,"IPP","S","PP",230,"UR",311)*$J47</f>
        <v>#REF!</v>
      </c>
      <c r="P47" s="79" t="e">
        <f>+GETPIVOTDATA("Reducción ",#REF!,"No. Ramo",8,"IPP","S","PP",230,"UR",311)*K47</f>
        <v>#REF!</v>
      </c>
      <c r="Q47" s="79" t="e">
        <f>+GETPIVOTDATA("Ampliación ",#REF!,"No. Ramo",8,"IPP","S","PP",230,"UR",311)*L47</f>
        <v>#REF!</v>
      </c>
      <c r="R47" s="69" t="e">
        <f t="shared" si="1"/>
        <v>#REF!</v>
      </c>
      <c r="S47" s="69"/>
      <c r="T47" s="69"/>
      <c r="U47" s="69" t="e">
        <f t="shared" si="18"/>
        <v>#REF!</v>
      </c>
      <c r="V47" s="69" t="e">
        <f t="shared" si="19"/>
        <v>#REF!</v>
      </c>
      <c r="W47" s="69" t="e">
        <f t="shared" si="20"/>
        <v>#REF!</v>
      </c>
      <c r="X47" s="69" t="e">
        <f t="shared" si="21"/>
        <v>#REF!</v>
      </c>
      <c r="Y47"/>
      <c r="Z47"/>
      <c r="AA47"/>
      <c r="AB47"/>
      <c r="AC47"/>
      <c r="AD47"/>
      <c r="AE47"/>
      <c r="AF47"/>
      <c r="AG47"/>
      <c r="AH47" s="152"/>
      <c r="AI47" s="157"/>
      <c r="AJ47" s="158" t="s">
        <v>679</v>
      </c>
      <c r="AK47" s="158"/>
      <c r="AL47" s="277"/>
      <c r="AM47" s="277"/>
      <c r="AN47" s="277"/>
      <c r="AO47" s="278"/>
      <c r="AP47" s="146" t="e">
        <f>#REF!+#REF!+#REF!+#REF!+#REF!</f>
        <v>#REF!</v>
      </c>
      <c r="AQ47" s="146" t="e">
        <f>#REF!+#REF!+#REF!+#REF!+#REF!</f>
        <v>#REF!</v>
      </c>
      <c r="AR47" s="146" t="e">
        <f>#REF!+#REF!+#REF!+#REF!+#REF!</f>
        <v>#REF!</v>
      </c>
      <c r="AS47" s="245"/>
      <c r="AT47" s="245"/>
      <c r="AU47" s="146" t="e">
        <f>#REF!+#REF!+#REF!+#REF!+#REF!</f>
        <v>#REF!</v>
      </c>
      <c r="AX47" s="152"/>
      <c r="AY47" s="157"/>
      <c r="AZ47" s="158" t="s">
        <v>679</v>
      </c>
      <c r="BA47" s="158"/>
      <c r="BB47" s="275"/>
      <c r="BC47" s="275"/>
      <c r="BD47" s="275"/>
      <c r="BE47" s="276"/>
      <c r="BF47" s="187" t="e">
        <f>#REF!+#REF!+#REF!+#REF!+#REF!</f>
        <v>#REF!</v>
      </c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>
      <c r="B48" s="28" t="s">
        <v>168</v>
      </c>
      <c r="C48" s="29" t="s">
        <v>680</v>
      </c>
      <c r="D48" s="29"/>
      <c r="E48" s="29"/>
      <c r="F48" s="28"/>
      <c r="G48" s="28"/>
      <c r="H48" s="28"/>
      <c r="I48" s="65"/>
      <c r="J48" s="28"/>
      <c r="K48" s="66" t="e">
        <f t="shared" ref="K48:Q48" si="22">SUM(K49:K51)</f>
        <v>#REF!</v>
      </c>
      <c r="L48" s="66" t="e">
        <f t="shared" si="22"/>
        <v>#REF!</v>
      </c>
      <c r="M48" s="66" t="e">
        <f t="shared" si="22"/>
        <v>#REF!</v>
      </c>
      <c r="N48" s="66" t="e">
        <f t="shared" si="22"/>
        <v>#REF!</v>
      </c>
      <c r="O48" s="66" t="e">
        <f t="shared" si="22"/>
        <v>#REF!</v>
      </c>
      <c r="P48" s="66" t="e">
        <f t="shared" si="22"/>
        <v>#REF!</v>
      </c>
      <c r="Q48" s="66" t="e">
        <f t="shared" si="22"/>
        <v>#REF!</v>
      </c>
      <c r="R48" s="66" t="e">
        <f t="shared" si="1"/>
        <v>#REF!</v>
      </c>
      <c r="S48" s="66"/>
      <c r="T48" s="66"/>
      <c r="U48" s="66" t="e">
        <f>SUM(U49:U51)</f>
        <v>#REF!</v>
      </c>
      <c r="V48" s="66" t="e">
        <f>SUM(V49:V51)</f>
        <v>#REF!</v>
      </c>
      <c r="W48" s="66" t="e">
        <f>SUM(W49:W51)</f>
        <v>#REF!</v>
      </c>
      <c r="X48" s="66" t="e">
        <f>SUM(X49:X51)</f>
        <v>#REF!</v>
      </c>
      <c r="AH48" s="147" t="s">
        <v>168</v>
      </c>
      <c r="AI48" s="148" t="s">
        <v>680</v>
      </c>
      <c r="AJ48" s="160"/>
      <c r="AK48" s="160"/>
      <c r="AL48" s="149"/>
      <c r="AM48" s="277"/>
      <c r="AN48" s="277"/>
      <c r="AO48" s="278"/>
      <c r="AP48" s="146" t="e">
        <f t="shared" ref="AP48:AU48" si="23">SUM(AP49:AP53)</f>
        <v>#REF!</v>
      </c>
      <c r="AQ48" s="146" t="e">
        <f t="shared" si="23"/>
        <v>#REF!</v>
      </c>
      <c r="AR48" s="146" t="e">
        <f t="shared" si="23"/>
        <v>#REF!</v>
      </c>
      <c r="AS48" s="245"/>
      <c r="AT48" s="245"/>
      <c r="AU48" s="146" t="e">
        <f t="shared" si="23"/>
        <v>#REF!</v>
      </c>
      <c r="AX48" s="147" t="s">
        <v>168</v>
      </c>
      <c r="AY48" s="148" t="s">
        <v>680</v>
      </c>
      <c r="AZ48" s="160"/>
      <c r="BA48" s="160"/>
      <c r="BB48" s="149"/>
      <c r="BC48" s="275"/>
      <c r="BD48" s="275"/>
      <c r="BE48" s="276"/>
      <c r="BF48" s="187" t="e">
        <f>SUM(BF49:BF53)</f>
        <v>#REF!</v>
      </c>
    </row>
    <row r="49" spans="1:75">
      <c r="B49" s="31"/>
      <c r="C49" s="30" t="s">
        <v>176</v>
      </c>
      <c r="D49" s="30"/>
      <c r="E49" s="30"/>
      <c r="F49" s="33" t="s">
        <v>801</v>
      </c>
      <c r="G49" s="33">
        <v>214</v>
      </c>
      <c r="H49" s="33"/>
      <c r="I49" s="67">
        <v>1</v>
      </c>
      <c r="J49" s="67">
        <v>0.97508385241974127</v>
      </c>
      <c r="K49" s="69" t="e">
        <f>+GETPIVOTDATA("PPEF 2010 ",#REF!,"No. Ramo",10,"IPP","S","PP",16,"UR",214)*$J49</f>
        <v>#REF!</v>
      </c>
      <c r="L49" s="69" t="e">
        <f>+GETPIVOTDATA("Ampliación Neta DIP ",#REF!,"No. Ramo",10,"IPP","S","PP",16,"UR",214)*$J49</f>
        <v>#REF!</v>
      </c>
      <c r="M49" s="69" t="e">
        <f>+GETPIVOTDATA("Recorte SHCP ",#REF!,"No. Ramo",10,"IPP","S","PP",16,"UR",214)*$J49</f>
        <v>#REF!</v>
      </c>
      <c r="N49" s="69" t="e">
        <f>+GETPIVOTDATA("PEF 2010 ",#REF!,"No. Ramo",10,"IPP","S","PP",16,"UR",214)*$J49</f>
        <v>#REF!</v>
      </c>
      <c r="O49" s="69" t="e">
        <f>+GETPIVOTDATA("PPEF 2011 ",#REF!,"No. Ramo",10,"IPP","S","PP",16,"UR",214)*$J49</f>
        <v>#REF!</v>
      </c>
      <c r="P49" s="69" t="e">
        <f>+GETPIVOTDATA("Reducción ",#REF!,"No. Ramo",10,"IPP","S","PP",16,"UR",214)*$J49</f>
        <v>#REF!</v>
      </c>
      <c r="Q49" s="69" t="e">
        <f>+GETPIVOTDATA("Ampliación ",#REF!,"No. Ramo",10,"IPP","S","PP",16,"UR",214)*$J49</f>
        <v>#REF!</v>
      </c>
      <c r="R49" s="69" t="e">
        <f t="shared" si="1"/>
        <v>#REF!</v>
      </c>
      <c r="S49" s="69"/>
      <c r="T49" s="69"/>
      <c r="U49" s="69" t="e">
        <f t="shared" ref="U49:X51" si="24">+$I49*O49</f>
        <v>#REF!</v>
      </c>
      <c r="V49" s="69" t="e">
        <f t="shared" si="24"/>
        <v>#REF!</v>
      </c>
      <c r="W49" s="69" t="e">
        <f t="shared" si="24"/>
        <v>#REF!</v>
      </c>
      <c r="X49" s="69" t="e">
        <f t="shared" si="24"/>
        <v>#REF!</v>
      </c>
      <c r="AH49" s="152"/>
      <c r="AI49" s="157" t="s">
        <v>176</v>
      </c>
      <c r="AJ49" s="158"/>
      <c r="AK49" s="158"/>
      <c r="AL49" s="277"/>
      <c r="AM49" s="277"/>
      <c r="AN49" s="277"/>
      <c r="AO49" s="278"/>
      <c r="AP49" s="146"/>
      <c r="AQ49" s="146"/>
      <c r="AR49" s="146"/>
      <c r="AS49" s="245"/>
      <c r="AT49" s="245"/>
      <c r="AU49" s="146"/>
      <c r="AX49" s="152"/>
      <c r="AY49" s="157" t="s">
        <v>176</v>
      </c>
      <c r="AZ49" s="158"/>
      <c r="BA49" s="158"/>
      <c r="BB49" s="275"/>
      <c r="BC49" s="275"/>
      <c r="BD49" s="275"/>
      <c r="BE49" s="276"/>
      <c r="BF49" s="187">
        <f>+AU49</f>
        <v>0</v>
      </c>
    </row>
    <row r="50" spans="1:75">
      <c r="B50" s="31"/>
      <c r="C50" s="30" t="s">
        <v>177</v>
      </c>
      <c r="D50" s="30"/>
      <c r="E50" s="30"/>
      <c r="F50" s="33" t="s">
        <v>802</v>
      </c>
      <c r="G50" s="33" t="s">
        <v>15</v>
      </c>
      <c r="H50" s="33"/>
      <c r="I50" s="67">
        <v>1</v>
      </c>
      <c r="J50" s="67">
        <v>0.44421991532168326</v>
      </c>
      <c r="K50" s="69" t="e">
        <f>+GETPIVOTDATA("PPEF 2010 ",#REF!,"No. Ramo",10,"IPP","S","PP",17,"UR","C00")*$J50</f>
        <v>#REF!</v>
      </c>
      <c r="L50" s="69" t="e">
        <f>+GETPIVOTDATA("Ampliación Neta DIP ",#REF!,"No. Ramo",10,"IPP","S","PP",17,"UR","C00")*$J50</f>
        <v>#REF!</v>
      </c>
      <c r="M50" s="69" t="e">
        <f>+GETPIVOTDATA("Recorte SHCP ",#REF!,"No. Ramo",10,"IPP","S","PP",17,"UR","C00")*$J50</f>
        <v>#REF!</v>
      </c>
      <c r="N50" s="69" t="e">
        <f>+GETPIVOTDATA("PEF 2010 ",#REF!,"No. Ramo",10,"IPP","S","PP",17,"UR","C00")*$J50</f>
        <v>#REF!</v>
      </c>
      <c r="O50" s="69" t="e">
        <f>+GETPIVOTDATA("PPEF 2011 ",#REF!,"No. Ramo",10,"IPP","S","PP",17,"UR","C00")*$J50</f>
        <v>#REF!</v>
      </c>
      <c r="P50" s="69" t="e">
        <f>+GETPIVOTDATA("Reducción ",#REF!,"No. Ramo",10,"IPP","S","PP",17,"UR","C00")*$J50</f>
        <v>#REF!</v>
      </c>
      <c r="Q50" s="69" t="e">
        <f>+GETPIVOTDATA("Ampliación ",#REF!,"No. Ramo",10,"IPP","S","PP",17,"UR","C00")*$J50</f>
        <v>#REF!</v>
      </c>
      <c r="R50" s="69" t="e">
        <f t="shared" si="1"/>
        <v>#REF!</v>
      </c>
      <c r="S50" s="69"/>
      <c r="T50" s="69"/>
      <c r="U50" s="69" t="e">
        <f t="shared" si="24"/>
        <v>#REF!</v>
      </c>
      <c r="V50" s="69" t="e">
        <f t="shared" si="24"/>
        <v>#REF!</v>
      </c>
      <c r="W50" s="69" t="e">
        <f t="shared" si="24"/>
        <v>#REF!</v>
      </c>
      <c r="X50" s="69" t="e">
        <f t="shared" si="24"/>
        <v>#REF!</v>
      </c>
      <c r="AH50" s="152"/>
      <c r="AI50" s="157" t="s">
        <v>177</v>
      </c>
      <c r="AJ50" s="158"/>
      <c r="AK50" s="158"/>
      <c r="AL50" s="277"/>
      <c r="AM50" s="277"/>
      <c r="AN50" s="277"/>
      <c r="AO50" s="278"/>
      <c r="AP50" s="146"/>
      <c r="AQ50" s="146"/>
      <c r="AR50" s="146"/>
      <c r="AS50" s="245"/>
      <c r="AT50" s="245"/>
      <c r="AU50" s="146"/>
      <c r="AX50" s="152"/>
      <c r="AY50" s="157" t="s">
        <v>177</v>
      </c>
      <c r="AZ50" s="158"/>
      <c r="BA50" s="158"/>
      <c r="BB50" s="275"/>
      <c r="BC50" s="275"/>
      <c r="BD50" s="275"/>
      <c r="BE50" s="276"/>
      <c r="BF50" s="187">
        <f>+AU50</f>
        <v>0</v>
      </c>
    </row>
    <row r="51" spans="1:75">
      <c r="B51" s="31"/>
      <c r="C51" s="30" t="s">
        <v>681</v>
      </c>
      <c r="D51" s="30"/>
      <c r="E51" s="30"/>
      <c r="F51" s="33" t="s">
        <v>803</v>
      </c>
      <c r="G51" s="33">
        <v>214</v>
      </c>
      <c r="H51" s="33"/>
      <c r="I51" s="67">
        <v>1</v>
      </c>
      <c r="J51" s="67">
        <v>0.3049464717133995</v>
      </c>
      <c r="K51" s="69" t="e">
        <f>+GETPIVOTDATA("PPEF 2010 ",#REF!,"No. Ramo",10,"IPP","S","PP",21,"UR",214)*$J51</f>
        <v>#REF!</v>
      </c>
      <c r="L51" s="69" t="e">
        <f>+GETPIVOTDATA("Ampliación Neta DIP ",#REF!,"No. Ramo",10,"IPP","S","PP",21,"UR",214)*$J51</f>
        <v>#REF!</v>
      </c>
      <c r="M51" s="69" t="e">
        <f>+GETPIVOTDATA("Recorte SHCP ",#REF!,"No. Ramo",10,"IPP","S","PP",21,"UR",214)*$J51</f>
        <v>#REF!</v>
      </c>
      <c r="N51" s="69" t="e">
        <f>+GETPIVOTDATA("PEF 2010 ",#REF!,"No. Ramo",10,"IPP","S","PP",21,"UR",214)*$J51</f>
        <v>#REF!</v>
      </c>
      <c r="O51" s="69" t="e">
        <f>+GETPIVOTDATA("PPEF 2011 ",#REF!,"No. Ramo",10,"IPP","S","PP",21,"UR",214)*$J51</f>
        <v>#REF!</v>
      </c>
      <c r="P51" s="69" t="e">
        <f>+GETPIVOTDATA("Reducción ",#REF!,"No. Ramo",10,"IPP","S","PP",21,"UR",214)*$J51</f>
        <v>#REF!</v>
      </c>
      <c r="Q51" s="69" t="e">
        <f>+GETPIVOTDATA("Ampliación ",#REF!,"No. Ramo",10,"IPP","S","PP",21,"UR",214)*$J51</f>
        <v>#REF!</v>
      </c>
      <c r="R51" s="69" t="e">
        <f t="shared" si="1"/>
        <v>#REF!</v>
      </c>
      <c r="S51" s="69"/>
      <c r="T51" s="69"/>
      <c r="U51" s="69" t="e">
        <f t="shared" si="24"/>
        <v>#REF!</v>
      </c>
      <c r="V51" s="69" t="e">
        <f t="shared" si="24"/>
        <v>#REF!</v>
      </c>
      <c r="W51" s="69" t="e">
        <f t="shared" si="24"/>
        <v>#REF!</v>
      </c>
      <c r="X51" s="69" t="e">
        <f t="shared" si="24"/>
        <v>#REF!</v>
      </c>
      <c r="AG51" s="113"/>
      <c r="AH51" s="152"/>
      <c r="AI51" s="157" t="s">
        <v>681</v>
      </c>
      <c r="AJ51" s="158"/>
      <c r="AK51" s="158"/>
      <c r="AL51" s="277"/>
      <c r="AM51" s="277"/>
      <c r="AN51" s="277"/>
      <c r="AO51" s="278"/>
      <c r="AP51" s="146"/>
      <c r="AQ51" s="146"/>
      <c r="AR51" s="146"/>
      <c r="AS51" s="245"/>
      <c r="AT51" s="245"/>
      <c r="AU51" s="146"/>
      <c r="AX51" s="152"/>
      <c r="AY51" s="157" t="s">
        <v>681</v>
      </c>
      <c r="AZ51" s="158"/>
      <c r="BA51" s="158"/>
      <c r="BB51" s="275"/>
      <c r="BC51" s="275"/>
      <c r="BD51" s="275"/>
      <c r="BE51" s="276"/>
      <c r="BF51" s="187">
        <f>+AU51</f>
        <v>0</v>
      </c>
      <c r="BI51" s="113"/>
      <c r="BJ51" s="113"/>
      <c r="BK51" s="113"/>
      <c r="BL51" s="113"/>
    </row>
    <row r="52" spans="1:75" s="113" customFormat="1">
      <c r="B52" s="111"/>
      <c r="C52" s="110" t="s">
        <v>180</v>
      </c>
      <c r="D52" s="110"/>
      <c r="E52" s="110"/>
      <c r="F52" s="80" t="s">
        <v>961</v>
      </c>
      <c r="G52" s="80">
        <v>212</v>
      </c>
      <c r="H52" s="80"/>
      <c r="I52" s="112"/>
      <c r="J52" s="112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AH52" s="152"/>
      <c r="AI52" s="157" t="s">
        <v>180</v>
      </c>
      <c r="AJ52" s="158"/>
      <c r="AK52" s="158"/>
      <c r="AL52" s="277"/>
      <c r="AM52" s="277"/>
      <c r="AN52" s="277"/>
      <c r="AO52" s="278"/>
      <c r="AP52" s="146"/>
      <c r="AQ52" s="146"/>
      <c r="AR52" s="146"/>
      <c r="AS52" s="245"/>
      <c r="AT52" s="245"/>
      <c r="AU52" s="146"/>
      <c r="AV52" s="195"/>
      <c r="AW52" s="195"/>
      <c r="AX52" s="152"/>
      <c r="AY52" s="157" t="s">
        <v>180</v>
      </c>
      <c r="AZ52" s="158"/>
      <c r="BA52" s="158"/>
      <c r="BB52" s="275"/>
      <c r="BC52" s="275"/>
      <c r="BD52" s="275"/>
      <c r="BE52" s="276"/>
      <c r="BF52" s="187">
        <f>+AU52</f>
        <v>0</v>
      </c>
      <c r="BG52" s="195"/>
      <c r="BH52" s="195"/>
    </row>
    <row r="53" spans="1:75" s="113" customFormat="1">
      <c r="B53" s="111"/>
      <c r="C53" s="110" t="s">
        <v>962</v>
      </c>
      <c r="D53" s="110"/>
      <c r="E53" s="110"/>
      <c r="F53" s="80" t="s">
        <v>963</v>
      </c>
      <c r="G53" s="80">
        <v>200</v>
      </c>
      <c r="H53" s="80"/>
      <c r="I53" s="112"/>
      <c r="J53" s="112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AG53"/>
      <c r="AH53" s="152"/>
      <c r="AI53" s="157" t="s">
        <v>962</v>
      </c>
      <c r="AJ53" s="158"/>
      <c r="AK53" s="158"/>
      <c r="AL53" s="277"/>
      <c r="AM53" s="277"/>
      <c r="AN53" s="277"/>
      <c r="AO53" s="278"/>
      <c r="AP53" s="146" t="e">
        <f>#REF!+#REF!+#REF!</f>
        <v>#REF!</v>
      </c>
      <c r="AQ53" s="146" t="e">
        <f>#REF!+#REF!+#REF!</f>
        <v>#REF!</v>
      </c>
      <c r="AR53" s="146" t="e">
        <f>#REF!+#REF!+#REF!</f>
        <v>#REF!</v>
      </c>
      <c r="AS53" s="245"/>
      <c r="AT53" s="245"/>
      <c r="AU53" s="146" t="e">
        <f>#REF!+#REF!+#REF!</f>
        <v>#REF!</v>
      </c>
      <c r="AV53" s="195"/>
      <c r="AW53" s="195"/>
      <c r="AX53" s="152"/>
      <c r="AY53" s="157" t="s">
        <v>962</v>
      </c>
      <c r="AZ53" s="158"/>
      <c r="BA53" s="158"/>
      <c r="BB53" s="275"/>
      <c r="BC53" s="275"/>
      <c r="BD53" s="275"/>
      <c r="BE53" s="276"/>
      <c r="BF53" s="187" t="e">
        <f>#REF!+#REF!+#REF!</f>
        <v>#REF!</v>
      </c>
      <c r="BG53" s="195"/>
      <c r="BH53" s="195"/>
      <c r="BI53"/>
      <c r="BJ53"/>
      <c r="BK53"/>
      <c r="BL53"/>
    </row>
    <row r="54" spans="1:75" s="195" customFormat="1">
      <c r="A54"/>
      <c r="B54" s="28" t="s">
        <v>168</v>
      </c>
      <c r="C54" s="29" t="s">
        <v>682</v>
      </c>
      <c r="D54" s="29"/>
      <c r="E54" s="29"/>
      <c r="F54" s="28"/>
      <c r="G54" s="28"/>
      <c r="H54" s="28"/>
      <c r="I54" s="65"/>
      <c r="J54" s="28"/>
      <c r="K54" s="66" t="e">
        <f t="shared" ref="K54:Q54" si="25">SUM(K55:K56)</f>
        <v>#REF!</v>
      </c>
      <c r="L54" s="66" t="e">
        <f t="shared" si="25"/>
        <v>#REF!</v>
      </c>
      <c r="M54" s="66" t="e">
        <f t="shared" si="25"/>
        <v>#REF!</v>
      </c>
      <c r="N54" s="66" t="e">
        <f t="shared" si="25"/>
        <v>#REF!</v>
      </c>
      <c r="O54" s="66" t="e">
        <f t="shared" si="25"/>
        <v>#REF!</v>
      </c>
      <c r="P54" s="66" t="e">
        <f t="shared" si="25"/>
        <v>#REF!</v>
      </c>
      <c r="Q54" s="66" t="e">
        <f t="shared" si="25"/>
        <v>#REF!</v>
      </c>
      <c r="R54" s="66" t="e">
        <f t="shared" si="1"/>
        <v>#REF!</v>
      </c>
      <c r="S54" s="66"/>
      <c r="T54" s="66"/>
      <c r="U54" s="66" t="e">
        <f>SUM(U55:U56)</f>
        <v>#REF!</v>
      </c>
      <c r="V54" s="66" t="e">
        <f>SUM(V55:V56)</f>
        <v>#REF!</v>
      </c>
      <c r="W54" s="66" t="e">
        <f>SUM(W55:W56)</f>
        <v>#REF!</v>
      </c>
      <c r="X54" s="66" t="e">
        <f>SUM(X55:X56)</f>
        <v>#REF!</v>
      </c>
      <c r="Y54"/>
      <c r="Z54"/>
      <c r="AA54"/>
      <c r="AB54"/>
      <c r="AC54"/>
      <c r="AD54"/>
      <c r="AE54"/>
      <c r="AF54"/>
      <c r="AG54"/>
      <c r="AH54" s="147" t="s">
        <v>168</v>
      </c>
      <c r="AI54" s="148" t="s">
        <v>682</v>
      </c>
      <c r="AJ54" s="160"/>
      <c r="AK54" s="160"/>
      <c r="AL54" s="277"/>
      <c r="AM54" s="277"/>
      <c r="AN54" s="277"/>
      <c r="AO54" s="278"/>
      <c r="AP54" s="146">
        <f t="shared" ref="AP54:AU54" si="26">AP55+AP56</f>
        <v>0</v>
      </c>
      <c r="AQ54" s="146">
        <f t="shared" si="26"/>
        <v>0</v>
      </c>
      <c r="AR54" s="146">
        <f t="shared" si="26"/>
        <v>0</v>
      </c>
      <c r="AS54" s="245"/>
      <c r="AT54" s="245"/>
      <c r="AU54" s="146">
        <f t="shared" si="26"/>
        <v>0</v>
      </c>
      <c r="AX54" s="147" t="s">
        <v>168</v>
      </c>
      <c r="AY54" s="148" t="s">
        <v>682</v>
      </c>
      <c r="AZ54" s="160"/>
      <c r="BA54" s="160"/>
      <c r="BB54" s="275"/>
      <c r="BC54" s="275"/>
      <c r="BD54" s="275"/>
      <c r="BE54" s="276"/>
      <c r="BF54" s="187">
        <f>BF55+BF56</f>
        <v>0</v>
      </c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95" customFormat="1">
      <c r="A55"/>
      <c r="B55" s="31"/>
      <c r="C55" s="30" t="s">
        <v>294</v>
      </c>
      <c r="D55" s="30"/>
      <c r="E55" s="30"/>
      <c r="F55" s="80" t="s">
        <v>804</v>
      </c>
      <c r="G55" s="33">
        <v>310</v>
      </c>
      <c r="H55" s="33"/>
      <c r="I55" s="67">
        <v>1</v>
      </c>
      <c r="J55" s="33"/>
      <c r="K55" s="69" t="e">
        <f>+GETPIVOTDATA("PPEF 2010 ",#REF!,"No. Ramo",15,"IPP","S","PP",89,"UR",310)</f>
        <v>#REF!</v>
      </c>
      <c r="L55" s="69" t="e">
        <f>+GETPIVOTDATA("Ampliación Neta DIP ",#REF!,"No. Ramo",15,"IPP","S","PP",89,"UR",310)</f>
        <v>#REF!</v>
      </c>
      <c r="M55" s="69" t="e">
        <f>+GETPIVOTDATA("Recorte SHCP ",#REF!,"No. Ramo",15,"IPP","S","PP",89,"UR",310)</f>
        <v>#REF!</v>
      </c>
      <c r="N55" s="69" t="e">
        <f>+GETPIVOTDATA("PEF 2010 ",#REF!,"No. Ramo",15,"IPP","S","PP",89,"UR",310)</f>
        <v>#REF!</v>
      </c>
      <c r="O55" s="69" t="e">
        <f>+GETPIVOTDATA("PPEF 2011 ",#REF!,"No. Ramo",15,"IPP","S","PP",89,"UR",310)</f>
        <v>#REF!</v>
      </c>
      <c r="P55" s="69" t="e">
        <f>+GETPIVOTDATA("Reducción ",#REF!,"No. Ramo",15,"IPP","S","PP",89,"UR",310)</f>
        <v>#REF!</v>
      </c>
      <c r="Q55" s="69" t="e">
        <f>+GETPIVOTDATA("Ampliación ",#REF!,"No. Ramo",15,"IPP","S","PP",89,"UR",310)</f>
        <v>#REF!</v>
      </c>
      <c r="R55" s="69" t="e">
        <f t="shared" si="1"/>
        <v>#REF!</v>
      </c>
      <c r="S55" s="69"/>
      <c r="T55" s="69"/>
      <c r="U55" s="69" t="e">
        <f t="shared" ref="U55:X56" si="27">+$I55*O55</f>
        <v>#REF!</v>
      </c>
      <c r="V55" s="69" t="e">
        <f t="shared" si="27"/>
        <v>#REF!</v>
      </c>
      <c r="W55" s="69" t="e">
        <f t="shared" si="27"/>
        <v>#REF!</v>
      </c>
      <c r="X55" s="69" t="e">
        <f t="shared" si="27"/>
        <v>#REF!</v>
      </c>
      <c r="Y55"/>
      <c r="Z55"/>
      <c r="AA55"/>
      <c r="AB55"/>
      <c r="AC55"/>
      <c r="AD55"/>
      <c r="AE55"/>
      <c r="AF55"/>
      <c r="AG55"/>
      <c r="AH55" s="152"/>
      <c r="AI55" s="157" t="s">
        <v>294</v>
      </c>
      <c r="AJ55" s="158"/>
      <c r="AK55" s="158"/>
      <c r="AL55" s="277"/>
      <c r="AM55" s="277"/>
      <c r="AN55" s="277"/>
      <c r="AO55" s="278"/>
      <c r="AP55" s="146"/>
      <c r="AQ55" s="146"/>
      <c r="AR55" s="146"/>
      <c r="AS55" s="245"/>
      <c r="AT55" s="245"/>
      <c r="AU55" s="146"/>
      <c r="AX55" s="152"/>
      <c r="AY55" s="157" t="s">
        <v>294</v>
      </c>
      <c r="AZ55" s="158"/>
      <c r="BA55" s="158"/>
      <c r="BB55" s="275"/>
      <c r="BC55" s="275"/>
      <c r="BD55" s="275"/>
      <c r="BE55" s="276"/>
      <c r="BF55" s="187">
        <f>+AU55</f>
        <v>0</v>
      </c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5" customFormat="1">
      <c r="A56"/>
      <c r="B56" s="31"/>
      <c r="C56" s="30" t="s">
        <v>293</v>
      </c>
      <c r="D56" s="30"/>
      <c r="E56" s="30"/>
      <c r="F56" s="80" t="s">
        <v>805</v>
      </c>
      <c r="G56" s="33">
        <v>310</v>
      </c>
      <c r="H56" s="33"/>
      <c r="I56" s="67">
        <v>1</v>
      </c>
      <c r="J56" s="33"/>
      <c r="K56" s="69" t="e">
        <f>+GETPIVOTDATA("PPEF 2010 ",#REF!,"No. Ramo",15,"IPP","S","PP",88,"UR",310)</f>
        <v>#REF!</v>
      </c>
      <c r="L56" s="69" t="e">
        <f>+GETPIVOTDATA("Ampliación Neta DIP ",#REF!,"No. Ramo",15,"IPP","S","PP",88,"UR",310)</f>
        <v>#REF!</v>
      </c>
      <c r="M56" s="69" t="e">
        <f>+GETPIVOTDATA("Recorte SHCP ",#REF!,"No. Ramo",15,"IPP","S","PP",88,"UR",310)</f>
        <v>#REF!</v>
      </c>
      <c r="N56" s="69" t="e">
        <f>+GETPIVOTDATA("PEF 2010 ",#REF!,"No. Ramo",15,"IPP","S","PP",88,"UR",310)</f>
        <v>#REF!</v>
      </c>
      <c r="O56" s="69" t="e">
        <f>+GETPIVOTDATA("PPEF 2011 ",#REF!,"No. Ramo",15,"IPP","S","PP",88,"UR",310)</f>
        <v>#REF!</v>
      </c>
      <c r="P56" s="69" t="e">
        <f>+GETPIVOTDATA("Reducción ",#REF!,"No. Ramo",15,"IPP","S","PP",88,"UR",310)</f>
        <v>#REF!</v>
      </c>
      <c r="Q56" s="69" t="e">
        <f>+GETPIVOTDATA("Ampliación ",#REF!,"No. Ramo",15,"IPP","S","PP",88,"UR",310)</f>
        <v>#REF!</v>
      </c>
      <c r="R56" s="69" t="e">
        <f t="shared" si="1"/>
        <v>#REF!</v>
      </c>
      <c r="S56" s="69"/>
      <c r="T56" s="69"/>
      <c r="U56" s="69" t="e">
        <f t="shared" si="27"/>
        <v>#REF!</v>
      </c>
      <c r="V56" s="69" t="e">
        <f t="shared" si="27"/>
        <v>#REF!</v>
      </c>
      <c r="W56" s="69" t="e">
        <f t="shared" si="27"/>
        <v>#REF!</v>
      </c>
      <c r="X56" s="69" t="e">
        <f t="shared" si="27"/>
        <v>#REF!</v>
      </c>
      <c r="Y56"/>
      <c r="Z56"/>
      <c r="AA56"/>
      <c r="AB56"/>
      <c r="AC56"/>
      <c r="AD56"/>
      <c r="AE56"/>
      <c r="AF56"/>
      <c r="AG56"/>
      <c r="AH56" s="152"/>
      <c r="AI56" s="157" t="s">
        <v>293</v>
      </c>
      <c r="AJ56" s="158"/>
      <c r="AK56" s="158"/>
      <c r="AL56" s="277"/>
      <c r="AM56" s="277"/>
      <c r="AN56" s="277"/>
      <c r="AO56" s="278"/>
      <c r="AP56" s="146"/>
      <c r="AQ56" s="146"/>
      <c r="AR56" s="146"/>
      <c r="AS56" s="245"/>
      <c r="AT56" s="245"/>
      <c r="AU56" s="146"/>
      <c r="AX56" s="152"/>
      <c r="AY56" s="157" t="s">
        <v>293</v>
      </c>
      <c r="AZ56" s="158"/>
      <c r="BA56" s="158"/>
      <c r="BB56" s="275"/>
      <c r="BC56" s="275"/>
      <c r="BD56" s="275"/>
      <c r="BE56" s="276"/>
      <c r="BF56" s="187">
        <f>+AU56</f>
        <v>0</v>
      </c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95" customFormat="1">
      <c r="A57"/>
      <c r="B57" s="28" t="s">
        <v>168</v>
      </c>
      <c r="C57" s="29" t="s">
        <v>683</v>
      </c>
      <c r="D57" s="29"/>
      <c r="E57" s="29"/>
      <c r="F57" s="28"/>
      <c r="G57" s="28"/>
      <c r="H57" s="28"/>
      <c r="I57" s="65"/>
      <c r="J57" s="28"/>
      <c r="K57" s="66" t="e">
        <f t="shared" ref="K57:Q57" si="28">+K58</f>
        <v>#REF!</v>
      </c>
      <c r="L57" s="66" t="e">
        <f t="shared" si="28"/>
        <v>#REF!</v>
      </c>
      <c r="M57" s="66" t="e">
        <f t="shared" si="28"/>
        <v>#REF!</v>
      </c>
      <c r="N57" s="66" t="e">
        <f t="shared" si="28"/>
        <v>#REF!</v>
      </c>
      <c r="O57" s="66" t="e">
        <f t="shared" si="28"/>
        <v>#REF!</v>
      </c>
      <c r="P57" s="66" t="e">
        <f t="shared" si="28"/>
        <v>#REF!</v>
      </c>
      <c r="Q57" s="66" t="e">
        <f t="shared" si="28"/>
        <v>#REF!</v>
      </c>
      <c r="R57" s="66" t="e">
        <f t="shared" si="1"/>
        <v>#REF!</v>
      </c>
      <c r="S57" s="66"/>
      <c r="T57" s="66"/>
      <c r="U57" s="66" t="e">
        <f>+U58</f>
        <v>#REF!</v>
      </c>
      <c r="V57" s="66" t="e">
        <f>+V58</f>
        <v>#REF!</v>
      </c>
      <c r="W57" s="66" t="e">
        <f>+W58</f>
        <v>#REF!</v>
      </c>
      <c r="X57" s="66" t="e">
        <f>+X58</f>
        <v>#REF!</v>
      </c>
      <c r="Y57"/>
      <c r="Z57"/>
      <c r="AA57"/>
      <c r="AB57"/>
      <c r="AC57"/>
      <c r="AD57"/>
      <c r="AE57"/>
      <c r="AF57"/>
      <c r="AG57"/>
      <c r="AH57" s="147" t="s">
        <v>168</v>
      </c>
      <c r="AI57" s="148" t="s">
        <v>683</v>
      </c>
      <c r="AJ57" s="160"/>
      <c r="AK57" s="160"/>
      <c r="AL57" s="277"/>
      <c r="AM57" s="277"/>
      <c r="AN57" s="277"/>
      <c r="AO57" s="278"/>
      <c r="AP57" s="146">
        <f>AP58</f>
        <v>0</v>
      </c>
      <c r="AQ57" s="146">
        <f>AQ58</f>
        <v>0</v>
      </c>
      <c r="AR57" s="146">
        <f>AR58</f>
        <v>0</v>
      </c>
      <c r="AS57" s="245"/>
      <c r="AT57" s="245"/>
      <c r="AU57" s="146">
        <f>AU58</f>
        <v>0</v>
      </c>
      <c r="AX57" s="147" t="s">
        <v>168</v>
      </c>
      <c r="AY57" s="148" t="s">
        <v>683</v>
      </c>
      <c r="AZ57" s="160"/>
      <c r="BA57" s="160"/>
      <c r="BB57" s="275"/>
      <c r="BC57" s="275"/>
      <c r="BD57" s="275"/>
      <c r="BE57" s="276"/>
      <c r="BF57" s="187">
        <f>BF58</f>
        <v>0</v>
      </c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5" customFormat="1">
      <c r="A58"/>
      <c r="B58" s="31"/>
      <c r="C58" s="30" t="s">
        <v>428</v>
      </c>
      <c r="D58" s="30"/>
      <c r="E58" s="30"/>
      <c r="F58" s="33" t="s">
        <v>806</v>
      </c>
      <c r="G58" s="33">
        <v>211</v>
      </c>
      <c r="H58" s="33"/>
      <c r="I58" s="67">
        <v>1</v>
      </c>
      <c r="J58" s="33"/>
      <c r="K58" s="69" t="e">
        <f>+GETPIVOTDATA("PPEF 2010 ",#REF!,"No. Ramo",21,"IPP","I","PP",3,"UR",211)</f>
        <v>#REF!</v>
      </c>
      <c r="L58" s="69" t="e">
        <f>+GETPIVOTDATA("Ampliación Neta DIP ",#REF!,"No. Ramo",21,"IPP","I","PP",3,"UR",211)</f>
        <v>#REF!</v>
      </c>
      <c r="M58" s="69" t="e">
        <f>+GETPIVOTDATA("Recorte SHCP ",#REF!,"No. Ramo",21,"IPP","I","PP",3,"UR",211)</f>
        <v>#REF!</v>
      </c>
      <c r="N58" s="69" t="e">
        <f>+GETPIVOTDATA("PEF 2010 ",#REF!,"No. Ramo",21,"IPP","I","PP",3,"UR",211)</f>
        <v>#REF!</v>
      </c>
      <c r="O58" s="69" t="e">
        <f>+GETPIVOTDATA("PPEF 2011 ",#REF!,"No. Ramo",21,"IPP","I","PP",3,"UR",211)</f>
        <v>#REF!</v>
      </c>
      <c r="P58" s="69" t="e">
        <f>+GETPIVOTDATA("Reducción ",#REF!,"No. Ramo",21,"IPP","I","PP",3,"UR",211)</f>
        <v>#REF!</v>
      </c>
      <c r="Q58" s="69" t="e">
        <f>+GETPIVOTDATA("Ampliación ",#REF!,"No. Ramo",21,"IPP","I","PP",3,"UR",211)</f>
        <v>#REF!</v>
      </c>
      <c r="R58" s="69" t="e">
        <f t="shared" si="1"/>
        <v>#REF!</v>
      </c>
      <c r="S58" s="69"/>
      <c r="T58" s="69"/>
      <c r="U58" s="69" t="e">
        <f>+$I58*O58</f>
        <v>#REF!</v>
      </c>
      <c r="V58" s="69" t="e">
        <f>+$I58*P58</f>
        <v>#REF!</v>
      </c>
      <c r="W58" s="69" t="e">
        <f>+$I58*Q58</f>
        <v>#REF!</v>
      </c>
      <c r="X58" s="69" t="e">
        <f>+$I58*R58</f>
        <v>#REF!</v>
      </c>
      <c r="Y58"/>
      <c r="Z58"/>
      <c r="AA58"/>
      <c r="AB58"/>
      <c r="AC58"/>
      <c r="AD58"/>
      <c r="AE58"/>
      <c r="AF58"/>
      <c r="AG58"/>
      <c r="AH58" s="152"/>
      <c r="AI58" s="157" t="s">
        <v>428</v>
      </c>
      <c r="AJ58" s="158"/>
      <c r="AK58" s="158"/>
      <c r="AL58" s="277"/>
      <c r="AM58" s="277"/>
      <c r="AN58" s="277"/>
      <c r="AO58" s="278"/>
      <c r="AP58" s="146"/>
      <c r="AQ58" s="146"/>
      <c r="AR58" s="146"/>
      <c r="AS58" s="245"/>
      <c r="AT58" s="245"/>
      <c r="AU58" s="146"/>
      <c r="AX58" s="152"/>
      <c r="AY58" s="157" t="s">
        <v>428</v>
      </c>
      <c r="AZ58" s="158"/>
      <c r="BA58" s="158"/>
      <c r="BB58" s="275"/>
      <c r="BC58" s="275"/>
      <c r="BD58" s="275"/>
      <c r="BE58" s="276"/>
      <c r="BF58" s="187">
        <f>+AU58</f>
        <v>0</v>
      </c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95" customFormat="1">
      <c r="A59"/>
      <c r="B59" s="26"/>
      <c r="C59" s="27" t="s">
        <v>684</v>
      </c>
      <c r="D59" s="27"/>
      <c r="E59" s="27"/>
      <c r="F59" s="61"/>
      <c r="G59" s="61"/>
      <c r="H59" s="61"/>
      <c r="I59" s="62"/>
      <c r="J59" s="61"/>
      <c r="K59" s="63" t="e">
        <f t="shared" ref="K59:Q60" si="29">+K60</f>
        <v>#REF!</v>
      </c>
      <c r="L59" s="63" t="e">
        <f t="shared" si="29"/>
        <v>#REF!</v>
      </c>
      <c r="M59" s="63" t="e">
        <f t="shared" si="29"/>
        <v>#REF!</v>
      </c>
      <c r="N59" s="63" t="e">
        <f t="shared" si="29"/>
        <v>#REF!</v>
      </c>
      <c r="O59" s="63" t="e">
        <f t="shared" si="29"/>
        <v>#REF!</v>
      </c>
      <c r="P59" s="63" t="e">
        <f t="shared" si="29"/>
        <v>#REF!</v>
      </c>
      <c r="Q59" s="63" t="e">
        <f t="shared" si="29"/>
        <v>#REF!</v>
      </c>
      <c r="R59" s="63" t="e">
        <f t="shared" si="1"/>
        <v>#REF!</v>
      </c>
      <c r="S59" s="63"/>
      <c r="T59" s="63"/>
      <c r="U59" s="63" t="e">
        <f t="shared" ref="U59:X60" si="30">+U60</f>
        <v>#REF!</v>
      </c>
      <c r="V59" s="63" t="e">
        <f t="shared" si="30"/>
        <v>#REF!</v>
      </c>
      <c r="W59" s="63" t="e">
        <f t="shared" si="30"/>
        <v>#REF!</v>
      </c>
      <c r="X59" s="63" t="e">
        <f t="shared" si="30"/>
        <v>#REF!</v>
      </c>
      <c r="Y59"/>
      <c r="Z59"/>
      <c r="AA59"/>
      <c r="AB59"/>
      <c r="AC59"/>
      <c r="AD59"/>
      <c r="AE59"/>
      <c r="AF59"/>
      <c r="AG59"/>
      <c r="AH59" s="147"/>
      <c r="AI59" s="148" t="s">
        <v>684</v>
      </c>
      <c r="AJ59" s="160"/>
      <c r="AK59" s="160"/>
      <c r="AL59" s="149"/>
      <c r="AM59" s="277"/>
      <c r="AN59" s="277"/>
      <c r="AO59" s="278"/>
      <c r="AP59" s="146">
        <f t="shared" ref="AP59:AU60" si="31">AP60</f>
        <v>0</v>
      </c>
      <c r="AQ59" s="146">
        <f t="shared" si="31"/>
        <v>0</v>
      </c>
      <c r="AR59" s="146">
        <f t="shared" si="31"/>
        <v>0</v>
      </c>
      <c r="AS59" s="245"/>
      <c r="AT59" s="245"/>
      <c r="AU59" s="146">
        <f t="shared" si="31"/>
        <v>0</v>
      </c>
      <c r="AX59" s="147"/>
      <c r="AY59" s="148" t="s">
        <v>684</v>
      </c>
      <c r="AZ59" s="160"/>
      <c r="BA59" s="160"/>
      <c r="BB59" s="149"/>
      <c r="BC59" s="275"/>
      <c r="BD59" s="275"/>
      <c r="BE59" s="276"/>
      <c r="BF59" s="187">
        <f>BF60</f>
        <v>0</v>
      </c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5" customFormat="1">
      <c r="A60" s="122">
        <v>1</v>
      </c>
      <c r="B60" s="28" t="s">
        <v>168</v>
      </c>
      <c r="C60" s="29" t="s">
        <v>660</v>
      </c>
      <c r="D60" s="29"/>
      <c r="E60" s="29"/>
      <c r="F60" s="28"/>
      <c r="G60" s="28"/>
      <c r="H60" s="28"/>
      <c r="I60" s="65"/>
      <c r="J60" s="28"/>
      <c r="K60" s="66" t="e">
        <f t="shared" si="29"/>
        <v>#REF!</v>
      </c>
      <c r="L60" s="66" t="e">
        <f t="shared" si="29"/>
        <v>#REF!</v>
      </c>
      <c r="M60" s="66" t="e">
        <f t="shared" si="29"/>
        <v>#REF!</v>
      </c>
      <c r="N60" s="66" t="e">
        <f t="shared" si="29"/>
        <v>#REF!</v>
      </c>
      <c r="O60" s="66" t="e">
        <f t="shared" si="29"/>
        <v>#REF!</v>
      </c>
      <c r="P60" s="66" t="e">
        <f t="shared" si="29"/>
        <v>#REF!</v>
      </c>
      <c r="Q60" s="66" t="e">
        <f t="shared" si="29"/>
        <v>#REF!</v>
      </c>
      <c r="R60" s="66" t="e">
        <f t="shared" si="1"/>
        <v>#REF!</v>
      </c>
      <c r="S60" s="66"/>
      <c r="T60" s="66"/>
      <c r="U60" s="66" t="e">
        <f t="shared" si="30"/>
        <v>#REF!</v>
      </c>
      <c r="V60" s="66" t="e">
        <f t="shared" si="30"/>
        <v>#REF!</v>
      </c>
      <c r="W60" s="66" t="e">
        <f t="shared" si="30"/>
        <v>#REF!</v>
      </c>
      <c r="X60" s="66" t="e">
        <f t="shared" si="30"/>
        <v>#REF!</v>
      </c>
      <c r="Y60"/>
      <c r="Z60"/>
      <c r="AA60"/>
      <c r="AB60"/>
      <c r="AC60"/>
      <c r="AD60"/>
      <c r="AE60"/>
      <c r="AF60"/>
      <c r="AG60"/>
      <c r="AH60" s="147" t="s">
        <v>168</v>
      </c>
      <c r="AI60" s="148" t="s">
        <v>660</v>
      </c>
      <c r="AJ60" s="160"/>
      <c r="AK60" s="160"/>
      <c r="AL60" s="149"/>
      <c r="AM60" s="277"/>
      <c r="AN60" s="277"/>
      <c r="AO60" s="278"/>
      <c r="AP60" s="146">
        <f>AP61</f>
        <v>0</v>
      </c>
      <c r="AQ60" s="146">
        <f t="shared" si="31"/>
        <v>0</v>
      </c>
      <c r="AR60" s="146">
        <f t="shared" si="31"/>
        <v>0</v>
      </c>
      <c r="AS60" s="245"/>
      <c r="AT60" s="245"/>
      <c r="AU60" s="146">
        <f t="shared" si="31"/>
        <v>0</v>
      </c>
      <c r="AX60" s="147" t="s">
        <v>168</v>
      </c>
      <c r="AY60" s="148" t="s">
        <v>660</v>
      </c>
      <c r="AZ60" s="160"/>
      <c r="BA60" s="160"/>
      <c r="BB60" s="149"/>
      <c r="BC60" s="275"/>
      <c r="BD60" s="275"/>
      <c r="BE60" s="276"/>
      <c r="BF60" s="187">
        <f>BF61</f>
        <v>0</v>
      </c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5" customFormat="1">
      <c r="A61" s="122">
        <v>1</v>
      </c>
      <c r="B61" s="31"/>
      <c r="C61" s="30" t="s">
        <v>685</v>
      </c>
      <c r="D61" s="30"/>
      <c r="E61" s="30"/>
      <c r="F61" s="33" t="s">
        <v>807</v>
      </c>
      <c r="G61" s="33" t="s">
        <v>18</v>
      </c>
      <c r="H61" s="33"/>
      <c r="I61" s="67">
        <v>1</v>
      </c>
      <c r="J61" s="33"/>
      <c r="K61" s="69" t="e">
        <f>+GETPIVOTDATA("PPEF 2010 ",#REF!,"No. Ramo",8,"IPP","S","PP",231,"UR","F00")</f>
        <v>#REF!</v>
      </c>
      <c r="L61" s="69" t="e">
        <f>+GETPIVOTDATA("Ampliación Neta DIP ",#REF!,"No. Ramo",8,"IPP","S","PP",231,"UR","F00")</f>
        <v>#REF!</v>
      </c>
      <c r="M61" s="69" t="e">
        <f>+GETPIVOTDATA("Recorte SHCP ",#REF!,"No. Ramo",8,"IPP","S","PP",231,"UR","F00")</f>
        <v>#REF!</v>
      </c>
      <c r="N61" s="69" t="e">
        <f>+GETPIVOTDATA("PEF 2010 ",#REF!,"No. Ramo",8,"IPP","S","PP",231,"UR","F00")</f>
        <v>#REF!</v>
      </c>
      <c r="O61" s="69" t="e">
        <f>+GETPIVOTDATA("PPEF 2011 ",#REF!,"No. Ramo",8,"IPP","S","PP",231,"UR","F00")</f>
        <v>#REF!</v>
      </c>
      <c r="P61" s="69" t="e">
        <f>+GETPIVOTDATA("Reducción ",#REF!,"No. Ramo",8,"IPP","S","PP",231,"UR","F00")</f>
        <v>#REF!</v>
      </c>
      <c r="Q61" s="69" t="e">
        <f>+GETPIVOTDATA("Ampliación ",#REF!,"No. Ramo",8,"IPP","S","PP",231,"UR","F00")</f>
        <v>#REF!</v>
      </c>
      <c r="R61" s="69" t="e">
        <f t="shared" si="1"/>
        <v>#REF!</v>
      </c>
      <c r="S61" s="69"/>
      <c r="T61" s="69"/>
      <c r="U61" s="69" t="e">
        <f>+$I61*O61</f>
        <v>#REF!</v>
      </c>
      <c r="V61" s="69" t="e">
        <f>+$I61*P61</f>
        <v>#REF!</v>
      </c>
      <c r="W61" s="69" t="e">
        <f>+$I61*Q61</f>
        <v>#REF!</v>
      </c>
      <c r="X61" s="69" t="e">
        <f>+$I61*R61</f>
        <v>#REF!</v>
      </c>
      <c r="Y61"/>
      <c r="Z61"/>
      <c r="AA61"/>
      <c r="AB61"/>
      <c r="AC61"/>
      <c r="AD61"/>
      <c r="AE61"/>
      <c r="AF61"/>
      <c r="AG61"/>
      <c r="AH61" s="152"/>
      <c r="AI61" s="157" t="s">
        <v>685</v>
      </c>
      <c r="AJ61" s="158"/>
      <c r="AK61" s="158"/>
      <c r="AL61" s="277"/>
      <c r="AM61" s="277"/>
      <c r="AN61" s="277"/>
      <c r="AO61" s="278"/>
      <c r="AP61" s="146"/>
      <c r="AQ61" s="146"/>
      <c r="AR61" s="146"/>
      <c r="AS61" s="245"/>
      <c r="AT61" s="245"/>
      <c r="AU61" s="146"/>
      <c r="AX61" s="152"/>
      <c r="AY61" s="157" t="s">
        <v>685</v>
      </c>
      <c r="AZ61" s="158"/>
      <c r="BA61" s="158"/>
      <c r="BB61" s="275"/>
      <c r="BC61" s="275"/>
      <c r="BD61" s="275"/>
      <c r="BE61" s="276"/>
      <c r="BF61" s="187">
        <f>+AU61</f>
        <v>0</v>
      </c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95" customFormat="1">
      <c r="A62" s="122">
        <v>1</v>
      </c>
      <c r="B62" s="26"/>
      <c r="C62" s="27" t="s">
        <v>686</v>
      </c>
      <c r="D62" s="27"/>
      <c r="E62" s="27"/>
      <c r="F62" s="61"/>
      <c r="G62" s="61"/>
      <c r="H62" s="61"/>
      <c r="I62" s="62"/>
      <c r="J62" s="61"/>
      <c r="K62" s="63" t="e">
        <f t="shared" ref="K62:R62" si="32">+K63+K71+K73</f>
        <v>#REF!</v>
      </c>
      <c r="L62" s="63" t="e">
        <f t="shared" si="32"/>
        <v>#REF!</v>
      </c>
      <c r="M62" s="63" t="e">
        <f t="shared" si="32"/>
        <v>#REF!</v>
      </c>
      <c r="N62" s="63" t="e">
        <f t="shared" si="32"/>
        <v>#REF!</v>
      </c>
      <c r="O62" s="63" t="e">
        <f t="shared" si="32"/>
        <v>#REF!</v>
      </c>
      <c r="P62" s="63" t="e">
        <f t="shared" si="32"/>
        <v>#REF!</v>
      </c>
      <c r="Q62" s="63" t="e">
        <f t="shared" si="32"/>
        <v>#REF!</v>
      </c>
      <c r="R62" s="63" t="e">
        <f t="shared" si="32"/>
        <v>#REF!</v>
      </c>
      <c r="S62" s="63"/>
      <c r="T62" s="63"/>
      <c r="U62" s="63" t="e">
        <f>+U63+U71+U73</f>
        <v>#REF!</v>
      </c>
      <c r="V62" s="63" t="e">
        <f>+V63+V71+V73</f>
        <v>#REF!</v>
      </c>
      <c r="W62" s="63" t="e">
        <f>+W63+W71+W73</f>
        <v>#REF!</v>
      </c>
      <c r="X62" s="63" t="e">
        <f>+X63+X71+X73</f>
        <v>#REF!</v>
      </c>
      <c r="Y62"/>
      <c r="Z62"/>
      <c r="AA62"/>
      <c r="AB62"/>
      <c r="AC62"/>
      <c r="AD62"/>
      <c r="AE62"/>
      <c r="AF62"/>
      <c r="AG62"/>
      <c r="AH62" s="147"/>
      <c r="AI62" s="148" t="s">
        <v>1365</v>
      </c>
      <c r="AJ62" s="160"/>
      <c r="AK62" s="160"/>
      <c r="AL62" s="149"/>
      <c r="AM62" s="277"/>
      <c r="AN62" s="277"/>
      <c r="AO62" s="278"/>
      <c r="AP62" s="146" t="e">
        <f>AP63+AP71+AP73</f>
        <v>#REF!</v>
      </c>
      <c r="AQ62" s="146" t="e">
        <f>AQ63+AQ71+AQ73</f>
        <v>#REF!</v>
      </c>
      <c r="AR62" s="146" t="e">
        <f>AR63+AR71+AR73</f>
        <v>#REF!</v>
      </c>
      <c r="AS62" s="245"/>
      <c r="AT62" s="245"/>
      <c r="AU62" s="146" t="e">
        <f>AU63+AU71+AU73</f>
        <v>#REF!</v>
      </c>
      <c r="AX62" s="147"/>
      <c r="AY62" s="148" t="s">
        <v>1365</v>
      </c>
      <c r="AZ62" s="160"/>
      <c r="BA62" s="160"/>
      <c r="BB62" s="149"/>
      <c r="BC62" s="275"/>
      <c r="BD62" s="275"/>
      <c r="BE62" s="276"/>
      <c r="BF62" s="187" t="e">
        <f>BF63+BF71+BF73</f>
        <v>#REF!</v>
      </c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5" customFormat="1">
      <c r="A63" s="122">
        <v>1</v>
      </c>
      <c r="B63" s="28" t="s">
        <v>168</v>
      </c>
      <c r="C63" s="29" t="s">
        <v>660</v>
      </c>
      <c r="D63" s="29"/>
      <c r="E63" s="29"/>
      <c r="F63" s="28"/>
      <c r="G63" s="28"/>
      <c r="H63" s="28"/>
      <c r="I63" s="65"/>
      <c r="J63" s="28"/>
      <c r="K63" s="66" t="e">
        <f>+K65+#REF!+K67+K69+K70</f>
        <v>#REF!</v>
      </c>
      <c r="L63" s="66" t="e">
        <f>+L65+#REF!+L67+L69+L70</f>
        <v>#REF!</v>
      </c>
      <c r="M63" s="66" t="e">
        <f>+M65+#REF!+M67+M69+M70</f>
        <v>#REF!</v>
      </c>
      <c r="N63" s="66" t="e">
        <f>+N65+#REF!+N67+N69+N70</f>
        <v>#REF!</v>
      </c>
      <c r="O63" s="66" t="e">
        <f>+O65+#REF!+O67+O69+O70</f>
        <v>#REF!</v>
      </c>
      <c r="P63" s="66" t="e">
        <f>+P65+#REF!+P67+P69+P70</f>
        <v>#REF!</v>
      </c>
      <c r="Q63" s="66" t="e">
        <f>+Q65+#REF!+Q67+Q69+Q70</f>
        <v>#REF!</v>
      </c>
      <c r="R63" s="66" t="e">
        <f>+R65+#REF!+R67+R69+R70</f>
        <v>#REF!</v>
      </c>
      <c r="S63" s="66"/>
      <c r="T63" s="66"/>
      <c r="U63" s="66" t="e">
        <f>+U65+#REF!+U67+U69+U70</f>
        <v>#REF!</v>
      </c>
      <c r="V63" s="66" t="e">
        <f>+V65+#REF!+V67+V69+V70</f>
        <v>#REF!</v>
      </c>
      <c r="W63" s="66" t="e">
        <f>+W65+#REF!+W67+W69+W70</f>
        <v>#REF!</v>
      </c>
      <c r="X63" s="66" t="e">
        <f>+X65+#REF!+X67+X69+X70</f>
        <v>#REF!</v>
      </c>
      <c r="Y63"/>
      <c r="Z63"/>
      <c r="AA63"/>
      <c r="AB63"/>
      <c r="AC63"/>
      <c r="AD63"/>
      <c r="AE63"/>
      <c r="AF63"/>
      <c r="AG63"/>
      <c r="AH63" s="147" t="s">
        <v>168</v>
      </c>
      <c r="AI63" s="148" t="s">
        <v>660</v>
      </c>
      <c r="AJ63" s="160"/>
      <c r="AK63" s="160"/>
      <c r="AL63" s="149"/>
      <c r="AM63" s="277"/>
      <c r="AN63" s="277"/>
      <c r="AO63" s="278"/>
      <c r="AP63" s="146" t="e">
        <f>AP64+AP66+AP68+AP70</f>
        <v>#REF!</v>
      </c>
      <c r="AQ63" s="146" t="e">
        <f>AQ64+AQ66+AQ68+AQ70</f>
        <v>#REF!</v>
      </c>
      <c r="AR63" s="146" t="e">
        <f>AR64+AR66+AR68+AR70</f>
        <v>#REF!</v>
      </c>
      <c r="AS63" s="245"/>
      <c r="AT63" s="245"/>
      <c r="AU63" s="146" t="e">
        <f>AU64+AU66+AU68+AU70</f>
        <v>#REF!</v>
      </c>
      <c r="AX63" s="147" t="s">
        <v>168</v>
      </c>
      <c r="AY63" s="148" t="s">
        <v>660</v>
      </c>
      <c r="AZ63" s="160"/>
      <c r="BA63" s="160"/>
      <c r="BB63" s="149"/>
      <c r="BC63" s="275"/>
      <c r="BD63" s="275"/>
      <c r="BE63" s="276"/>
      <c r="BF63" s="187" t="e">
        <f>BF64+BF66+BF68+BF70</f>
        <v>#REF!</v>
      </c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95" customFormat="1">
      <c r="A64" s="122">
        <v>1</v>
      </c>
      <c r="B64" s="28"/>
      <c r="C64" s="30" t="s">
        <v>947</v>
      </c>
      <c r="D64" s="29"/>
      <c r="E64" s="29"/>
      <c r="F64" s="28"/>
      <c r="G64" s="28"/>
      <c r="H64" s="28"/>
      <c r="I64" s="65"/>
      <c r="J64" s="28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/>
      <c r="Z64"/>
      <c r="AA64"/>
      <c r="AB64"/>
      <c r="AC64"/>
      <c r="AD64"/>
      <c r="AE64"/>
      <c r="AF64"/>
      <c r="AG64"/>
      <c r="AH64" s="147"/>
      <c r="AI64" s="157" t="s">
        <v>947</v>
      </c>
      <c r="AJ64" s="160"/>
      <c r="AK64" s="160"/>
      <c r="AL64" s="149"/>
      <c r="AM64" s="277"/>
      <c r="AN64" s="277"/>
      <c r="AO64" s="278"/>
      <c r="AP64" s="146">
        <f>AP65</f>
        <v>0</v>
      </c>
      <c r="AQ64" s="146">
        <f>AQ65</f>
        <v>0</v>
      </c>
      <c r="AR64" s="146">
        <f>AR65</f>
        <v>0</v>
      </c>
      <c r="AS64" s="245"/>
      <c r="AT64" s="245"/>
      <c r="AU64" s="146">
        <f>AU65</f>
        <v>0</v>
      </c>
      <c r="AX64" s="147"/>
      <c r="AY64" s="157" t="s">
        <v>947</v>
      </c>
      <c r="AZ64" s="160"/>
      <c r="BA64" s="160"/>
      <c r="BB64" s="149"/>
      <c r="BC64" s="275"/>
      <c r="BD64" s="275"/>
      <c r="BE64" s="276"/>
      <c r="BF64" s="187">
        <f>BF65</f>
        <v>0</v>
      </c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5" customFormat="1">
      <c r="A65" s="122">
        <v>1</v>
      </c>
      <c r="B65" s="31"/>
      <c r="C65" s="100" t="s">
        <v>689</v>
      </c>
      <c r="D65" s="30"/>
      <c r="E65" s="30"/>
      <c r="F65" s="33" t="s">
        <v>808</v>
      </c>
      <c r="G65" s="33">
        <v>412</v>
      </c>
      <c r="H65" s="33"/>
      <c r="I65" s="67">
        <v>1</v>
      </c>
      <c r="J65" s="33"/>
      <c r="K65" s="69" t="e">
        <f>+GETPIVOTDATA("PPEF 2010 ",#REF!,"No. Ramo",8,"IPP","S","PP",232,"UR",412)</f>
        <v>#REF!</v>
      </c>
      <c r="L65" s="69" t="e">
        <f>+GETPIVOTDATA("Ampliación Neta DIP ",#REF!,"No. Ramo",8,"IPP","S","PP",232,"UR",412)</f>
        <v>#REF!</v>
      </c>
      <c r="M65" s="69" t="e">
        <f>+GETPIVOTDATA("Recorte SHCP ",#REF!,"No. Ramo",8,"IPP","S","PP",232,"UR",412)</f>
        <v>#REF!</v>
      </c>
      <c r="N65" s="69" t="e">
        <f>+GETPIVOTDATA("PEF 2010 ",#REF!,"No. Ramo",8,"IPP","S","PP",232,"UR",412)</f>
        <v>#REF!</v>
      </c>
      <c r="O65" s="69" t="e">
        <f>+GETPIVOTDATA("PPEF 2011 ",#REF!,"No. Ramo",8,"IPP","S","PP",232,"UR",412)</f>
        <v>#REF!</v>
      </c>
      <c r="P65" s="69" t="e">
        <f>+GETPIVOTDATA("Reducción ",#REF!,"No. Ramo",8,"IPP","S","PP",232,"UR",412)</f>
        <v>#REF!</v>
      </c>
      <c r="Q65" s="69" t="e">
        <f>+GETPIVOTDATA("Ampliación ",#REF!,"No. Ramo",8,"IPP","S","PP",232,"UR",412)</f>
        <v>#REF!</v>
      </c>
      <c r="R65" s="69" t="e">
        <f>O65+Q65-P65</f>
        <v>#REF!</v>
      </c>
      <c r="S65" s="69"/>
      <c r="T65" s="69"/>
      <c r="U65" s="69" t="e">
        <f>+$I65*O65</f>
        <v>#REF!</v>
      </c>
      <c r="V65" s="69" t="e">
        <f>+$I65*P65</f>
        <v>#REF!</v>
      </c>
      <c r="W65" s="69" t="e">
        <f>+$I65*Q65</f>
        <v>#REF!</v>
      </c>
      <c r="X65" s="69" t="e">
        <f>+$I65*R65</f>
        <v>#REF!</v>
      </c>
      <c r="Y65"/>
      <c r="Z65"/>
      <c r="AA65"/>
      <c r="AB65"/>
      <c r="AC65"/>
      <c r="AD65"/>
      <c r="AE65"/>
      <c r="AF65"/>
      <c r="AG65"/>
      <c r="AH65" s="152"/>
      <c r="AI65" s="156"/>
      <c r="AJ65" s="154" t="s">
        <v>689</v>
      </c>
      <c r="AK65" s="158"/>
      <c r="AL65" s="277"/>
      <c r="AM65" s="277"/>
      <c r="AN65" s="277"/>
      <c r="AO65" s="278"/>
      <c r="AP65" s="146"/>
      <c r="AQ65" s="146"/>
      <c r="AR65" s="146"/>
      <c r="AS65" s="245"/>
      <c r="AT65" s="245"/>
      <c r="AU65" s="146"/>
      <c r="AX65" s="152"/>
      <c r="AY65" s="191"/>
      <c r="AZ65" s="154" t="s">
        <v>689</v>
      </c>
      <c r="BA65" s="158"/>
      <c r="BB65" s="275"/>
      <c r="BC65" s="275"/>
      <c r="BD65" s="275"/>
      <c r="BE65" s="276"/>
      <c r="BF65" s="187">
        <f>+AU65</f>
        <v>0</v>
      </c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95" customFormat="1">
      <c r="A66" s="122">
        <v>1</v>
      </c>
      <c r="B66" s="28"/>
      <c r="C66" s="30" t="s">
        <v>948</v>
      </c>
      <c r="D66" s="29"/>
      <c r="E66" s="29"/>
      <c r="F66" s="28"/>
      <c r="G66" s="28"/>
      <c r="H66" s="28"/>
      <c r="I66" s="65"/>
      <c r="J66" s="28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/>
      <c r="Z66"/>
      <c r="AA66"/>
      <c r="AB66"/>
      <c r="AC66"/>
      <c r="AD66"/>
      <c r="AE66"/>
      <c r="AF66"/>
      <c r="AG66"/>
      <c r="AH66" s="147"/>
      <c r="AI66" s="157" t="s">
        <v>948</v>
      </c>
      <c r="AJ66" s="160"/>
      <c r="AK66" s="160"/>
      <c r="AL66" s="149"/>
      <c r="AM66" s="277"/>
      <c r="AN66" s="277"/>
      <c r="AO66" s="278"/>
      <c r="AP66" s="146" t="e">
        <f>#REF!+#REF!+#REF!+AP67</f>
        <v>#REF!</v>
      </c>
      <c r="AQ66" s="146" t="e">
        <f>#REF!+#REF!+#REF!+AQ67</f>
        <v>#REF!</v>
      </c>
      <c r="AR66" s="146" t="e">
        <f>#REF!+#REF!+#REF!+AR67</f>
        <v>#REF!</v>
      </c>
      <c r="AS66" s="245"/>
      <c r="AT66" s="245"/>
      <c r="AU66" s="146" t="e">
        <f>#REF!+#REF!+#REF!+AU67</f>
        <v>#REF!</v>
      </c>
      <c r="AX66" s="147"/>
      <c r="AY66" s="157" t="s">
        <v>948</v>
      </c>
      <c r="AZ66" s="160"/>
      <c r="BA66" s="160"/>
      <c r="BB66" s="149"/>
      <c r="BC66" s="275"/>
      <c r="BD66" s="275"/>
      <c r="BE66" s="276"/>
      <c r="BF66" s="187" t="e">
        <f>#REF!+#REF!+#REF!+BF67</f>
        <v>#REF!</v>
      </c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5" customFormat="1">
      <c r="A67" s="122">
        <v>1</v>
      </c>
      <c r="B67" s="28"/>
      <c r="C67" s="100" t="s">
        <v>674</v>
      </c>
      <c r="D67" s="29"/>
      <c r="E67" s="29"/>
      <c r="F67" s="33" t="s">
        <v>799</v>
      </c>
      <c r="G67" s="33">
        <v>310</v>
      </c>
      <c r="H67" s="33"/>
      <c r="I67" s="67">
        <v>1</v>
      </c>
      <c r="J67" s="67">
        <v>0.4</v>
      </c>
      <c r="K67" s="75" t="e">
        <f>+GETPIVOTDATA("PPEF 2010 ",#REF!,"No. Ramo",8,"IPP","S","PP",230,"UR",310)</f>
        <v>#REF!</v>
      </c>
      <c r="L67" s="75" t="e">
        <f>+GETPIVOTDATA("Ampliación Neta DIP ",#REF!,"No. Ramo",8,"IPP","S","PP",230,"UR",310)</f>
        <v>#REF!</v>
      </c>
      <c r="M67" s="75" t="e">
        <f>+GETPIVOTDATA("Recorte SHCP ",#REF!,"No. Ramo",8,"IPP","S","PP",230,"UR",310)</f>
        <v>#REF!</v>
      </c>
      <c r="N67" s="75" t="e">
        <f>+GETPIVOTDATA("PEF 2010 ",#REF!,"No. Ramo",8,"IPP","S","PP",230,"UR",310)</f>
        <v>#REF!</v>
      </c>
      <c r="O67" s="75" t="e">
        <f>+GETPIVOTDATA("PPEF 2011 ",#REF!,"No. Ramo",8,"IPP","S","PP",230,"UR",310)*$J67</f>
        <v>#REF!</v>
      </c>
      <c r="P67" s="75" t="e">
        <f>+GETPIVOTDATA("Reducción ",#REF!,"No. Ramo",8,"IPP","S","PP",230,"UR",310)</f>
        <v>#REF!</v>
      </c>
      <c r="Q67" s="75" t="e">
        <f>+GETPIVOTDATA("Ampliación ",#REF!,"No. Ramo",8,"IPP","S","PP",230,"UR",310)</f>
        <v>#REF!</v>
      </c>
      <c r="R67" s="69" t="e">
        <f>O67+Q67-P67</f>
        <v>#REF!</v>
      </c>
      <c r="S67" s="69"/>
      <c r="T67" s="69"/>
      <c r="U67" s="69" t="e">
        <f>+$I67*O67</f>
        <v>#REF!</v>
      </c>
      <c r="V67" s="69" t="e">
        <f>+$I67*P67</f>
        <v>#REF!</v>
      </c>
      <c r="W67" s="69" t="e">
        <f>+$I67*Q67</f>
        <v>#REF!</v>
      </c>
      <c r="X67" s="69" t="e">
        <f>+$I67*R67</f>
        <v>#REF!</v>
      </c>
      <c r="Y67"/>
      <c r="Z67"/>
      <c r="AA67"/>
      <c r="AB67"/>
      <c r="AC67"/>
      <c r="AD67"/>
      <c r="AE67"/>
      <c r="AF67"/>
      <c r="AG67"/>
      <c r="AH67" s="147"/>
      <c r="AI67" s="156"/>
      <c r="AJ67" s="154" t="s">
        <v>674</v>
      </c>
      <c r="AK67" s="160"/>
      <c r="AL67" s="277"/>
      <c r="AM67" s="277"/>
      <c r="AN67" s="277"/>
      <c r="AO67" s="278"/>
      <c r="AP67" s="146"/>
      <c r="AQ67" s="146"/>
      <c r="AR67" s="146"/>
      <c r="AS67" s="245"/>
      <c r="AT67" s="245"/>
      <c r="AU67" s="146"/>
      <c r="AX67" s="147"/>
      <c r="AY67" s="191"/>
      <c r="AZ67" s="154" t="s">
        <v>674</v>
      </c>
      <c r="BA67" s="160"/>
      <c r="BB67" s="275"/>
      <c r="BC67" s="275"/>
      <c r="BD67" s="275"/>
      <c r="BE67" s="276"/>
      <c r="BF67" s="187">
        <f>+AU67</f>
        <v>0</v>
      </c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5" customFormat="1">
      <c r="A68" s="122">
        <v>1</v>
      </c>
      <c r="B68" s="28"/>
      <c r="C68" s="30" t="s">
        <v>949</v>
      </c>
      <c r="D68" s="29"/>
      <c r="E68" s="29"/>
      <c r="F68" s="28"/>
      <c r="G68" s="28"/>
      <c r="H68" s="28"/>
      <c r="I68" s="65"/>
      <c r="J68" s="28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/>
      <c r="Z68"/>
      <c r="AA68"/>
      <c r="AB68"/>
      <c r="AC68"/>
      <c r="AD68"/>
      <c r="AE68"/>
      <c r="AF68"/>
      <c r="AG68"/>
      <c r="AH68" s="147"/>
      <c r="AI68" s="157" t="s">
        <v>949</v>
      </c>
      <c r="AJ68" s="160"/>
      <c r="AK68" s="160"/>
      <c r="AL68" s="277"/>
      <c r="AM68" s="277"/>
      <c r="AN68" s="277"/>
      <c r="AO68" s="278"/>
      <c r="AP68" s="146" t="e">
        <f t="shared" ref="AP68:AU68" si="33">AP69</f>
        <v>#REF!</v>
      </c>
      <c r="AQ68" s="146" t="e">
        <f t="shared" si="33"/>
        <v>#REF!</v>
      </c>
      <c r="AR68" s="146" t="e">
        <f t="shared" si="33"/>
        <v>#REF!</v>
      </c>
      <c r="AS68" s="245"/>
      <c r="AT68" s="245"/>
      <c r="AU68" s="146" t="e">
        <f t="shared" si="33"/>
        <v>#REF!</v>
      </c>
      <c r="AX68" s="147"/>
      <c r="AY68" s="157" t="s">
        <v>949</v>
      </c>
      <c r="AZ68" s="160"/>
      <c r="BA68" s="160"/>
      <c r="BB68" s="275"/>
      <c r="BC68" s="275"/>
      <c r="BD68" s="275"/>
      <c r="BE68" s="276"/>
      <c r="BF68" s="187" t="e">
        <f>BF69</f>
        <v>#REF!</v>
      </c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95" customFormat="1">
      <c r="A69" s="122">
        <v>1</v>
      </c>
      <c r="B69" s="31"/>
      <c r="C69" s="100" t="s">
        <v>688</v>
      </c>
      <c r="D69" s="30"/>
      <c r="E69" s="30"/>
      <c r="F69" s="33" t="s">
        <v>808</v>
      </c>
      <c r="G69" s="33" t="s">
        <v>18</v>
      </c>
      <c r="H69" s="33"/>
      <c r="I69" s="67">
        <v>1</v>
      </c>
      <c r="J69" s="67">
        <v>0.97122738861235891</v>
      </c>
      <c r="K69" s="69" t="e">
        <f>+GETPIVOTDATA("PPEF 2010 ",#REF!,"No. Ramo",8,"IPP","S","PP",232,"UR","F00")*$J69</f>
        <v>#REF!</v>
      </c>
      <c r="L69" s="69" t="e">
        <f>+GETPIVOTDATA("Ampliación Neta DIP ",#REF!,"No. Ramo",8,"IPP","S","PP",232,"UR","F00")*$J69</f>
        <v>#REF!</v>
      </c>
      <c r="M69" s="69" t="e">
        <f>+GETPIVOTDATA("Recorte SHCP ",#REF!,"No. Ramo",8,"IPP","S","PP",232,"UR","F00")*$J69</f>
        <v>#REF!</v>
      </c>
      <c r="N69" s="69" t="e">
        <f>+GETPIVOTDATA("PEF 2010 ",#REF!,"No. Ramo",8,"IPP","S","PP",232,"UR","F00")*$J69</f>
        <v>#REF!</v>
      </c>
      <c r="O69" s="69" t="e">
        <f>+GETPIVOTDATA("PPEF 2011 ",#REF!,"No. Ramo",8,"IPP","S","PP",232,"UR","F00")*$J69</f>
        <v>#REF!</v>
      </c>
      <c r="P69" s="69" t="e">
        <f>+GETPIVOTDATA("Reducción ",#REF!,"No. Ramo",8,"IPP","S","PP",232,"UR","F00")*$J69</f>
        <v>#REF!</v>
      </c>
      <c r="Q69" s="69" t="e">
        <f>+GETPIVOTDATA("Ampliación ",#REF!,"No. Ramo",8,"IPP","S","PP",232,"UR","F00")*$J69</f>
        <v>#REF!</v>
      </c>
      <c r="R69" s="69" t="e">
        <f t="shared" si="1"/>
        <v>#REF!</v>
      </c>
      <c r="S69" s="69"/>
      <c r="T69" s="69"/>
      <c r="U69" s="69" t="e">
        <f t="shared" ref="U69:X70" si="34">+$I69*O69</f>
        <v>#REF!</v>
      </c>
      <c r="V69" s="69" t="e">
        <f t="shared" si="34"/>
        <v>#REF!</v>
      </c>
      <c r="W69" s="69" t="e">
        <f t="shared" si="34"/>
        <v>#REF!</v>
      </c>
      <c r="X69" s="69" t="e">
        <f t="shared" si="34"/>
        <v>#REF!</v>
      </c>
      <c r="Y69"/>
      <c r="Z69"/>
      <c r="AA69"/>
      <c r="AB69"/>
      <c r="AC69"/>
      <c r="AD69"/>
      <c r="AE69"/>
      <c r="AF69"/>
      <c r="AG69"/>
      <c r="AH69" s="152"/>
      <c r="AI69" s="156"/>
      <c r="AJ69" s="154" t="s">
        <v>688</v>
      </c>
      <c r="AK69" s="158"/>
      <c r="AL69" s="277"/>
      <c r="AM69" s="277"/>
      <c r="AN69" s="277"/>
      <c r="AO69" s="278"/>
      <c r="AP69" s="146" t="e">
        <f>#REF!+#REF!+#REF!+#REF!+#REF!+#REF!+#REF!+#REF!+#REF!+#REF!</f>
        <v>#REF!</v>
      </c>
      <c r="AQ69" s="146" t="e">
        <f>#REF!+#REF!+#REF!+#REF!+#REF!+#REF!+#REF!+#REF!+#REF!+#REF!</f>
        <v>#REF!</v>
      </c>
      <c r="AR69" s="146" t="e">
        <f>#REF!+#REF!+#REF!+#REF!+#REF!+#REF!+#REF!+#REF!+#REF!+#REF!</f>
        <v>#REF!</v>
      </c>
      <c r="AS69" s="245"/>
      <c r="AT69" s="245"/>
      <c r="AU69" s="146" t="e">
        <f>#REF!+#REF!+#REF!+#REF!+#REF!+#REF!+#REF!+#REF!+#REF!+#REF!</f>
        <v>#REF!</v>
      </c>
      <c r="AX69" s="152"/>
      <c r="AY69" s="191"/>
      <c r="AZ69" s="154" t="s">
        <v>688</v>
      </c>
      <c r="BA69" s="158"/>
      <c r="BB69" s="275"/>
      <c r="BC69" s="275"/>
      <c r="BD69" s="275"/>
      <c r="BE69" s="276"/>
      <c r="BF69" s="187" t="e">
        <f>#REF!+#REF!+#REF!+#REF!+#REF!+#REF!+#REF!+#REF!+#REF!+#REF!</f>
        <v>#REF!</v>
      </c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5" customFormat="1">
      <c r="A70" s="122">
        <v>1</v>
      </c>
      <c r="B70" s="31"/>
      <c r="C70" s="30" t="s">
        <v>983</v>
      </c>
      <c r="D70" s="30"/>
      <c r="E70" s="30"/>
      <c r="F70" s="33" t="s">
        <v>945</v>
      </c>
      <c r="G70" s="33" t="s">
        <v>13</v>
      </c>
      <c r="H70" s="33"/>
      <c r="I70" s="67">
        <v>1</v>
      </c>
      <c r="J70" s="67"/>
      <c r="K70" s="69" t="e">
        <f>+GETPIVOTDATA("PPEF 2010 ",#REF!,"No. Ramo",8,"IPP","G","PP",1,"UR","B00")*65.6957991250357%+GETPIVOTDATA("PPEF 2010 ",#REF!,"No. Ramo",8,"IPP","K","PP",24,"UR","B00")+GETPIVOTDATA("PPEF 2010 ",#REF!,"No. Ramo",8,"IPP","M","PP",1,"UR","B00")*4.4757612086105%+GETPIVOTDATA("PPEF 2010 ",#REF!,"No. Ramo",8,"IPP","P","PP",1,"UR","B00")+GETPIVOTDATA("PPEF 2010 ",#REF!,"No. Ramo",8,"IPP","R","PP",3,"UR","B00")+GETPIVOTDATA("PPEF 2010 ",#REF!,"No. Ramo",8,"IPP","S","PP",232,"UR","B00")+GETPIVOTDATA("PPEF 2010 ",#REF!,"No. Ramo",8,"IPP","U","PP",2,"UR","B00")</f>
        <v>#REF!</v>
      </c>
      <c r="L70" s="69" t="e">
        <f>+GETPIVOTDATA("Ampliación Neta DIP ",#REF!,"No. Ramo",8,"IPP","G","PP",1,"UR","B00")*65.6957991250357%+GETPIVOTDATA("Ampliación Neta DIP ",#REF!,"No. Ramo",8,"IPP","K","PP",24,"UR","B00")+GETPIVOTDATA("Ampliación Neta DIP ",#REF!,"No. Ramo",8,"IPP","M","PP",1,"UR","B00")*4.4757612086105%+GETPIVOTDATA("Ampliación Neta DIP ",#REF!,"No. Ramo",8,"IPP","P","PP",1,"UR","B00")+GETPIVOTDATA("Ampliación Neta DIP ",#REF!,"No. Ramo",8,"IPP","R","PP",3,"UR","B00")+GETPIVOTDATA("Ampliación Neta DIP ",#REF!,"No. Ramo",8,"IPP","S","PP",232,"UR","B00")+GETPIVOTDATA("Ampliación Neta DIP ",#REF!,"No. Ramo",8,"IPP","U","PP",2,"UR","B00")</f>
        <v>#REF!</v>
      </c>
      <c r="M70" s="69" t="e">
        <f>+GETPIVOTDATA("Recorte SHCP ",#REF!,"No. Ramo",8,"IPP","G","PP",1,"UR","B00")*65.6957991250357%+GETPIVOTDATA("Recorte SHCP ",#REF!,"No. Ramo",8,"IPP","K","PP",24,"UR","B00")+GETPIVOTDATA("Recorte SHCP ",#REF!,"No. Ramo",8,"IPP","M","PP",1,"UR","B00")*4.4757612086105%+GETPIVOTDATA("Recorte SHCP ",#REF!,"No. Ramo",8,"IPP","P","PP",1,"UR","B00")+GETPIVOTDATA("Recorte SHCP ",#REF!,"No. Ramo",8,"IPP","R","PP",3,"UR","B00")+GETPIVOTDATA("Recorte SHCP ",#REF!,"No. Ramo",8,"IPP","S","PP",232,"UR","B00")+GETPIVOTDATA("Recorte SHCP ",#REF!,"No. Ramo",8,"IPP","U","PP",2,"UR","B00")</f>
        <v>#REF!</v>
      </c>
      <c r="N70" s="69" t="e">
        <f>+GETPIVOTDATA("PEF 2010 ",#REF!,"No. Ramo",8,"IPP","G","PP",1,"UR","B00")*65.6957991250357%+GETPIVOTDATA("PEF 2010 ",#REF!,"No. Ramo",8,"IPP","K","PP",24,"UR","B00")+GETPIVOTDATA("PEF 2010 ",#REF!,"No. Ramo",8,"IPP","M","PP",1,"UR","B00")*4.4757612086105%+GETPIVOTDATA("PEF 2010 ",#REF!,"No. Ramo",8,"IPP","P","PP",1,"UR","B00")+GETPIVOTDATA("PEF 2010 ",#REF!,"No. Ramo",8,"IPP","R","PP",3,"UR","B00")+GETPIVOTDATA("PEF 2010 ",#REF!,"No. Ramo",8,"IPP","S","PP",232,"UR","B00")+GETPIVOTDATA("PEF 2010 ",#REF!,"No. Ramo",8,"IPP","U","PP",2,"UR","B00")</f>
        <v>#REF!</v>
      </c>
      <c r="O70" s="69" t="e">
        <f>+GETPIVOTDATA("PPEF 2011 ",#REF!,"No. Ramo",8,"IPP","K","PP",24,"UR","B00")+GETPIVOTDATA("PPEF 2011 ",#REF!,"No. Ramo",8,"IPP","M","PP",1,"UR","B00")*4.4757612086105%+GETPIVOTDATA("PPEF 2011 ",#REF!,"No. Ramo",8,"IPP","P","PP",1,"UR","B00")+GETPIVOTDATA("PPEF 2011 ",#REF!,"No. Ramo",8,"IPP","R","PP",3,"UR","B00")+GETPIVOTDATA("PPEF 2011 ",#REF!,"No. Ramo",8,"IPP","S","PP",232,"UR","B00")+GETPIVOTDATA("PPEF 2011 ",#REF!,"No. Ramo",8,"IPP","U","PP",2,"UR","B00")+GETPIVOTDATA("PPEF 2011 ",#REF!,"No. Ramo",8,"IPP","G","PP",1,"UR","B00")*65.6957991250357%</f>
        <v>#REF!</v>
      </c>
      <c r="P70" s="69" t="e">
        <f>+GETPIVOTDATA("Reducción ",#REF!,"No. Ramo",8,"IPP","G","PP",1,"UR","B00")*65.6957991250357%+GETPIVOTDATA("Reducción ",#REF!,"No. Ramo",8,"IPP","K","PP",24,"UR","B00")+GETPIVOTDATA("Reducción ",#REF!,"No. Ramo",8,"IPP","M","PP",1,"UR","B00")*4.4757612086105%+GETPIVOTDATA("Reducción ",#REF!,"No. Ramo",8,"IPP","P","PP",1,"UR","B00")+GETPIVOTDATA("Reducción ",#REF!,"No. Ramo",8,"IPP","R","PP",3,"UR","B00")+GETPIVOTDATA("Reducción ",#REF!,"No. Ramo",8,"IPP","S","PP",232,"UR","B00")+GETPIVOTDATA("Reducción ",#REF!,"No. Ramo",8,"IPP","U","PP",2,"UR","B00")</f>
        <v>#REF!</v>
      </c>
      <c r="Q70" s="69" t="e">
        <f>+GETPIVOTDATA("Ampliación ",#REF!,"No. Ramo",8,"IPP","G","PP",1,"UR","B00")*65.6957991250357%+GETPIVOTDATA("Ampliación ",#REF!,"No. Ramo",8,"IPP","K","PP",24,"UR","B00")+GETPIVOTDATA("Ampliación ",#REF!,"No. Ramo",8,"IPP","M","PP",1,"UR","B00")*4.4757612086105%+GETPIVOTDATA("Ampliación ",#REF!,"No. Ramo",8,"IPP","P","PP",1,"UR","B00")+GETPIVOTDATA("Ampliación ",#REF!,"No. Ramo",8,"IPP","R","PP",3,"UR","B00")+GETPIVOTDATA("Ampliación ",#REF!,"No. Ramo",8,"IPP","S","PP",232,"UR","B00")+GETPIVOTDATA("Ampliación ",#REF!,"No. Ramo",8,"IPP","U","PP",2,"UR","B00")</f>
        <v>#REF!</v>
      </c>
      <c r="R70" s="69" t="e">
        <f t="shared" si="1"/>
        <v>#REF!</v>
      </c>
      <c r="S70" s="69"/>
      <c r="T70" s="69"/>
      <c r="U70" s="69" t="e">
        <f t="shared" si="34"/>
        <v>#REF!</v>
      </c>
      <c r="V70" s="69" t="e">
        <f t="shared" si="34"/>
        <v>#REF!</v>
      </c>
      <c r="W70" s="69" t="e">
        <f t="shared" si="34"/>
        <v>#REF!</v>
      </c>
      <c r="X70" s="69" t="e">
        <f t="shared" si="34"/>
        <v>#REF!</v>
      </c>
      <c r="Y70"/>
      <c r="Z70"/>
      <c r="AA70"/>
      <c r="AB70"/>
      <c r="AC70"/>
      <c r="AD70"/>
      <c r="AE70"/>
      <c r="AF70"/>
      <c r="AG70"/>
      <c r="AH70" s="152"/>
      <c r="AI70" s="157" t="s">
        <v>983</v>
      </c>
      <c r="AJ70" s="158"/>
      <c r="AK70" s="158"/>
      <c r="AL70" s="155"/>
      <c r="AM70" s="277"/>
      <c r="AN70" s="277"/>
      <c r="AO70" s="278"/>
      <c r="AP70" s="146"/>
      <c r="AQ70" s="146"/>
      <c r="AR70" s="146"/>
      <c r="AS70" s="245"/>
      <c r="AT70" s="245"/>
      <c r="AU70" s="146"/>
      <c r="AX70" s="152"/>
      <c r="AY70" s="157" t="s">
        <v>983</v>
      </c>
      <c r="AZ70" s="158"/>
      <c r="BA70" s="158"/>
      <c r="BB70" s="155"/>
      <c r="BC70" s="275"/>
      <c r="BD70" s="275"/>
      <c r="BE70" s="276"/>
      <c r="BF70" s="187">
        <f>+AU70</f>
        <v>0</v>
      </c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95" customFormat="1">
      <c r="A71"/>
      <c r="B71" s="28" t="s">
        <v>168</v>
      </c>
      <c r="C71" s="29" t="s">
        <v>682</v>
      </c>
      <c r="D71" s="29"/>
      <c r="E71" s="29"/>
      <c r="F71" s="28"/>
      <c r="G71" s="28"/>
      <c r="H71" s="28"/>
      <c r="I71" s="65"/>
      <c r="J71" s="28"/>
      <c r="K71" s="66" t="e">
        <f t="shared" ref="K71:Q71" si="35">+K72</f>
        <v>#REF!</v>
      </c>
      <c r="L71" s="66" t="e">
        <f t="shared" si="35"/>
        <v>#REF!</v>
      </c>
      <c r="M71" s="66" t="e">
        <f t="shared" si="35"/>
        <v>#REF!</v>
      </c>
      <c r="N71" s="66" t="e">
        <f t="shared" si="35"/>
        <v>#REF!</v>
      </c>
      <c r="O71" s="66" t="e">
        <f t="shared" si="35"/>
        <v>#REF!</v>
      </c>
      <c r="P71" s="66" t="e">
        <f t="shared" si="35"/>
        <v>#REF!</v>
      </c>
      <c r="Q71" s="66" t="e">
        <f t="shared" si="35"/>
        <v>#REF!</v>
      </c>
      <c r="R71" s="66" t="e">
        <f t="shared" si="1"/>
        <v>#REF!</v>
      </c>
      <c r="S71" s="66"/>
      <c r="T71" s="66"/>
      <c r="U71" s="66" t="e">
        <f>+U72</f>
        <v>#REF!</v>
      </c>
      <c r="V71" s="66" t="e">
        <f>+V72</f>
        <v>#REF!</v>
      </c>
      <c r="W71" s="66" t="e">
        <f>+W72</f>
        <v>#REF!</v>
      </c>
      <c r="X71" s="66" t="e">
        <f>+X72</f>
        <v>#REF!</v>
      </c>
      <c r="Y71"/>
      <c r="Z71"/>
      <c r="AA71"/>
      <c r="AB71"/>
      <c r="AC71"/>
      <c r="AD71"/>
      <c r="AE71"/>
      <c r="AF71"/>
      <c r="AG71"/>
      <c r="AH71" s="147" t="s">
        <v>168</v>
      </c>
      <c r="AI71" s="148" t="s">
        <v>682</v>
      </c>
      <c r="AJ71" s="160"/>
      <c r="AK71" s="160"/>
      <c r="AL71" s="149"/>
      <c r="AM71" s="277"/>
      <c r="AN71" s="277"/>
      <c r="AO71" s="278"/>
      <c r="AP71" s="146">
        <f t="shared" ref="AP71:AU71" si="36">AP72</f>
        <v>0</v>
      </c>
      <c r="AQ71" s="146">
        <f t="shared" si="36"/>
        <v>0</v>
      </c>
      <c r="AR71" s="146">
        <f t="shared" si="36"/>
        <v>0</v>
      </c>
      <c r="AS71" s="245"/>
      <c r="AT71" s="245"/>
      <c r="AU71" s="146">
        <f t="shared" si="36"/>
        <v>0</v>
      </c>
      <c r="AX71" s="147" t="s">
        <v>168</v>
      </c>
      <c r="AY71" s="148" t="s">
        <v>682</v>
      </c>
      <c r="AZ71" s="160"/>
      <c r="BA71" s="160"/>
      <c r="BB71" s="149"/>
      <c r="BC71" s="275"/>
      <c r="BD71" s="275"/>
      <c r="BE71" s="276"/>
      <c r="BF71" s="187">
        <f>BF72</f>
        <v>0</v>
      </c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95" customFormat="1">
      <c r="A72"/>
      <c r="B72" s="31"/>
      <c r="C72" s="30" t="s">
        <v>295</v>
      </c>
      <c r="D72" s="30"/>
      <c r="E72" s="30"/>
      <c r="F72" s="33" t="s">
        <v>810</v>
      </c>
      <c r="G72" s="33">
        <v>311</v>
      </c>
      <c r="H72" s="33"/>
      <c r="I72" s="67">
        <v>1</v>
      </c>
      <c r="J72" s="33"/>
      <c r="K72" s="69" t="e">
        <f>+GETPIVOTDATA("PPEF 2010 ",#REF!,"No. Ramo",15,"IPP","S","PP",203,"UR",311)</f>
        <v>#REF!</v>
      </c>
      <c r="L72" s="69" t="e">
        <f>+GETPIVOTDATA("Ampliación Neta DIP ",#REF!,"No. Ramo",15,"IPP","S","PP",203,"UR",311)</f>
        <v>#REF!</v>
      </c>
      <c r="M72" s="69" t="e">
        <f>+GETPIVOTDATA("Recorte SHCP ",#REF!,"No. Ramo",15,"IPP","S","PP",203,"UR",311)</f>
        <v>#REF!</v>
      </c>
      <c r="N72" s="69" t="e">
        <f>+GETPIVOTDATA("PEF 2010 ",#REF!,"No. Ramo",15,"IPP","S","PP",203,"UR",311)</f>
        <v>#REF!</v>
      </c>
      <c r="O72" s="69" t="e">
        <f>+GETPIVOTDATA("PPEF 2011 ",#REF!,"No. Ramo",15,"IPP","S","PP",203,"UR",311)</f>
        <v>#REF!</v>
      </c>
      <c r="P72" s="69" t="e">
        <f>+GETPIVOTDATA("Reducción ",#REF!,"No. Ramo",15,"IPP","S","PP",203,"UR",311)</f>
        <v>#REF!</v>
      </c>
      <c r="Q72" s="69" t="e">
        <f>+GETPIVOTDATA("Ampliación ",#REF!,"No. Ramo",15,"IPP","S","PP",203,"UR",311)</f>
        <v>#REF!</v>
      </c>
      <c r="R72" s="69" t="e">
        <f t="shared" si="1"/>
        <v>#REF!</v>
      </c>
      <c r="S72" s="69"/>
      <c r="T72" s="69"/>
      <c r="U72" s="69" t="e">
        <f>+$I72*O72</f>
        <v>#REF!</v>
      </c>
      <c r="V72" s="69" t="e">
        <f>+$I72*P72</f>
        <v>#REF!</v>
      </c>
      <c r="W72" s="69" t="e">
        <f>+$I72*Q72</f>
        <v>#REF!</v>
      </c>
      <c r="X72" s="69" t="e">
        <f>+$I72*R72</f>
        <v>#REF!</v>
      </c>
      <c r="Y72"/>
      <c r="Z72"/>
      <c r="AA72"/>
      <c r="AB72"/>
      <c r="AC72"/>
      <c r="AD72"/>
      <c r="AE72"/>
      <c r="AF72"/>
      <c r="AG72"/>
      <c r="AH72" s="152"/>
      <c r="AI72" s="157" t="s">
        <v>295</v>
      </c>
      <c r="AJ72" s="158"/>
      <c r="AK72" s="158"/>
      <c r="AL72" s="277"/>
      <c r="AM72" s="277"/>
      <c r="AN72" s="277"/>
      <c r="AO72" s="278"/>
      <c r="AP72" s="146"/>
      <c r="AQ72" s="146"/>
      <c r="AR72" s="146"/>
      <c r="AS72" s="245"/>
      <c r="AT72" s="245"/>
      <c r="AU72" s="146"/>
      <c r="AX72" s="152"/>
      <c r="AY72" s="157" t="s">
        <v>295</v>
      </c>
      <c r="AZ72" s="158"/>
      <c r="BA72" s="158"/>
      <c r="BB72" s="275"/>
      <c r="BC72" s="275"/>
      <c r="BD72" s="275"/>
      <c r="BE72" s="276"/>
      <c r="BF72" s="187">
        <f>+AU72</f>
        <v>0</v>
      </c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5" customFormat="1">
      <c r="A73"/>
      <c r="B73" s="28" t="s">
        <v>168</v>
      </c>
      <c r="C73" s="29" t="s">
        <v>690</v>
      </c>
      <c r="D73" s="29"/>
      <c r="E73" s="29"/>
      <c r="F73" s="28"/>
      <c r="G73" s="28"/>
      <c r="H73" s="28"/>
      <c r="I73" s="65"/>
      <c r="J73" s="28"/>
      <c r="K73" s="66" t="e">
        <f t="shared" ref="K73:Q73" si="37">+K74</f>
        <v>#REF!</v>
      </c>
      <c r="L73" s="66" t="e">
        <f t="shared" si="37"/>
        <v>#REF!</v>
      </c>
      <c r="M73" s="66" t="e">
        <f t="shared" si="37"/>
        <v>#REF!</v>
      </c>
      <c r="N73" s="66" t="e">
        <f t="shared" si="37"/>
        <v>#REF!</v>
      </c>
      <c r="O73" s="66" t="e">
        <f t="shared" si="37"/>
        <v>#REF!</v>
      </c>
      <c r="P73" s="66" t="e">
        <f t="shared" si="37"/>
        <v>#REF!</v>
      </c>
      <c r="Q73" s="66" t="e">
        <f t="shared" si="37"/>
        <v>#REF!</v>
      </c>
      <c r="R73" s="66" t="e">
        <f t="shared" si="1"/>
        <v>#REF!</v>
      </c>
      <c r="S73" s="66"/>
      <c r="T73" s="66"/>
      <c r="U73" s="66" t="e">
        <f>+U74</f>
        <v>#REF!</v>
      </c>
      <c r="V73" s="66" t="e">
        <f>+V74</f>
        <v>#REF!</v>
      </c>
      <c r="W73" s="66" t="e">
        <f>+W74</f>
        <v>#REF!</v>
      </c>
      <c r="X73" s="66" t="e">
        <f>+X74</f>
        <v>#REF!</v>
      </c>
      <c r="Y73"/>
      <c r="Z73"/>
      <c r="AA73"/>
      <c r="AB73"/>
      <c r="AC73"/>
      <c r="AD73"/>
      <c r="AE73"/>
      <c r="AF73"/>
      <c r="AG73"/>
      <c r="AH73" s="147" t="s">
        <v>168</v>
      </c>
      <c r="AI73" s="148" t="s">
        <v>690</v>
      </c>
      <c r="AJ73" s="160"/>
      <c r="AK73" s="160"/>
      <c r="AL73" s="277"/>
      <c r="AM73" s="277"/>
      <c r="AN73" s="277"/>
      <c r="AO73" s="278"/>
      <c r="AP73" s="146">
        <f>AP74</f>
        <v>0</v>
      </c>
      <c r="AQ73" s="146">
        <f>AQ74</f>
        <v>0</v>
      </c>
      <c r="AR73" s="146">
        <f>AR74</f>
        <v>0</v>
      </c>
      <c r="AS73" s="245"/>
      <c r="AT73" s="245"/>
      <c r="AU73" s="146">
        <f>AU74</f>
        <v>0</v>
      </c>
      <c r="AX73" s="147" t="s">
        <v>168</v>
      </c>
      <c r="AY73" s="148" t="s">
        <v>690</v>
      </c>
      <c r="AZ73" s="160"/>
      <c r="BA73" s="160"/>
      <c r="BB73" s="275"/>
      <c r="BC73" s="275"/>
      <c r="BD73" s="275"/>
      <c r="BE73" s="276"/>
      <c r="BF73" s="187">
        <f>BF74</f>
        <v>0</v>
      </c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5" customFormat="1">
      <c r="A74"/>
      <c r="B74" s="31"/>
      <c r="C74" s="30" t="s">
        <v>691</v>
      </c>
      <c r="D74" s="30"/>
      <c r="E74" s="30"/>
      <c r="F74" s="33" t="s">
        <v>811</v>
      </c>
      <c r="G74" s="33" t="s">
        <v>372</v>
      </c>
      <c r="H74" s="33"/>
      <c r="I74" s="67">
        <v>1</v>
      </c>
      <c r="J74" s="33"/>
      <c r="K74" s="69" t="e">
        <f>+GETPIVOTDATA("PPEF 2010 ",#REF!,"No. Ramo",20,"IPP","S","PP",57,"UR","VZG")</f>
        <v>#REF!</v>
      </c>
      <c r="L74" s="69" t="e">
        <f>+GETPIVOTDATA("Ampliación Neta DIP ",#REF!,"No. Ramo",20,"IPP","S","PP",57,"UR","VZG")</f>
        <v>#REF!</v>
      </c>
      <c r="M74" s="69" t="e">
        <f>+GETPIVOTDATA("Recorte SHCP ",#REF!,"No. Ramo",20,"IPP","S","PP",57,"UR","VZG")</f>
        <v>#REF!</v>
      </c>
      <c r="N74" s="69" t="e">
        <f>+GETPIVOTDATA("PEF 2010 ",#REF!,"No. Ramo",20,"IPP","S","PP",57,"UR","VZG")</f>
        <v>#REF!</v>
      </c>
      <c r="O74" s="69" t="e">
        <f>+GETPIVOTDATA("PPEF 2011 ",#REF!,"No. Ramo",20,"IPP","S","PP",57,"UR","VZG")</f>
        <v>#REF!</v>
      </c>
      <c r="P74" s="69" t="e">
        <f>+GETPIVOTDATA("Reducción ",#REF!,"No. Ramo",20,"IPP","S","PP",57,"UR","VZG")</f>
        <v>#REF!</v>
      </c>
      <c r="Q74" s="69" t="e">
        <f>+GETPIVOTDATA("Ampliación ",#REF!,"No. Ramo",20,"IPP","S","PP",57,"UR","VZG")</f>
        <v>#REF!</v>
      </c>
      <c r="R74" s="69" t="e">
        <f t="shared" si="1"/>
        <v>#REF!</v>
      </c>
      <c r="S74" s="69"/>
      <c r="T74" s="69"/>
      <c r="U74" s="69" t="e">
        <f>+$I74*O74</f>
        <v>#REF!</v>
      </c>
      <c r="V74" s="69" t="e">
        <f>+$I74*P74</f>
        <v>#REF!</v>
      </c>
      <c r="W74" s="69" t="e">
        <f>+$I74*Q74</f>
        <v>#REF!</v>
      </c>
      <c r="X74" s="69" t="e">
        <f>+$I74*R74</f>
        <v>#REF!</v>
      </c>
      <c r="Y74"/>
      <c r="Z74"/>
      <c r="AA74"/>
      <c r="AB74"/>
      <c r="AC74"/>
      <c r="AD74"/>
      <c r="AE74"/>
      <c r="AF74"/>
      <c r="AG74"/>
      <c r="AH74" s="152"/>
      <c r="AI74" s="157" t="s">
        <v>691</v>
      </c>
      <c r="AJ74" s="158"/>
      <c r="AK74" s="158"/>
      <c r="AL74" s="277"/>
      <c r="AM74" s="277"/>
      <c r="AN74" s="277"/>
      <c r="AO74" s="278"/>
      <c r="AP74" s="146"/>
      <c r="AQ74" s="146"/>
      <c r="AR74" s="146"/>
      <c r="AS74" s="245"/>
      <c r="AT74" s="245"/>
      <c r="AU74" s="146"/>
      <c r="AX74" s="152"/>
      <c r="AY74" s="157" t="s">
        <v>691</v>
      </c>
      <c r="AZ74" s="158"/>
      <c r="BA74" s="158"/>
      <c r="BB74" s="275"/>
      <c r="BC74" s="275"/>
      <c r="BD74" s="275"/>
      <c r="BE74" s="276"/>
      <c r="BF74" s="187">
        <f>+AU74</f>
        <v>0</v>
      </c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95" customFormat="1">
      <c r="A75" s="122">
        <v>1</v>
      </c>
      <c r="B75" s="26"/>
      <c r="C75" s="27" t="s">
        <v>692</v>
      </c>
      <c r="D75" s="27"/>
      <c r="E75" s="27"/>
      <c r="F75" s="61"/>
      <c r="G75" s="61"/>
      <c r="H75" s="61"/>
      <c r="I75" s="62"/>
      <c r="J75" s="61"/>
      <c r="K75" s="63" t="e">
        <f t="shared" ref="K75:Q75" si="38">+K76+K89+K92+K94</f>
        <v>#REF!</v>
      </c>
      <c r="L75" s="63" t="e">
        <f t="shared" si="38"/>
        <v>#REF!</v>
      </c>
      <c r="M75" s="63" t="e">
        <f t="shared" si="38"/>
        <v>#REF!</v>
      </c>
      <c r="N75" s="63" t="e">
        <f t="shared" si="38"/>
        <v>#REF!</v>
      </c>
      <c r="O75" s="63" t="e">
        <f t="shared" si="38"/>
        <v>#REF!</v>
      </c>
      <c r="P75" s="63" t="e">
        <f t="shared" si="38"/>
        <v>#REF!</v>
      </c>
      <c r="Q75" s="63" t="e">
        <f t="shared" si="38"/>
        <v>#REF!</v>
      </c>
      <c r="R75" s="63" t="e">
        <f t="shared" si="1"/>
        <v>#REF!</v>
      </c>
      <c r="S75" s="63"/>
      <c r="T75" s="63"/>
      <c r="U75" s="63" t="e">
        <f>+U76+U89+U92+U94</f>
        <v>#REF!</v>
      </c>
      <c r="V75" s="63" t="e">
        <f>+V76+V89+V92+V94</f>
        <v>#REF!</v>
      </c>
      <c r="W75" s="63" t="e">
        <f>+W76+W89+W92+W94</f>
        <v>#REF!</v>
      </c>
      <c r="X75" s="63" t="e">
        <f>+X76+X89+X92+X94</f>
        <v>#REF!</v>
      </c>
      <c r="Y75" s="82" t="e">
        <f>3940.3-X75/1000000</f>
        <v>#REF!</v>
      </c>
      <c r="Z75" s="83"/>
      <c r="AA75"/>
      <c r="AB75"/>
      <c r="AC75"/>
      <c r="AD75"/>
      <c r="AE75"/>
      <c r="AF75"/>
      <c r="AG75"/>
      <c r="AH75" s="147"/>
      <c r="AI75" s="148" t="s">
        <v>692</v>
      </c>
      <c r="AJ75" s="160"/>
      <c r="AK75" s="160"/>
      <c r="AL75" s="149"/>
      <c r="AM75" s="277"/>
      <c r="AN75" s="277"/>
      <c r="AO75" s="278"/>
      <c r="AP75" s="146" t="e">
        <f>AP76+AP89+AP92+AP94</f>
        <v>#REF!</v>
      </c>
      <c r="AQ75" s="146" t="e">
        <f>AQ76+AQ89+AQ92+AQ94</f>
        <v>#REF!</v>
      </c>
      <c r="AR75" s="146" t="e">
        <f>AR76+AR89+AR92+AR94</f>
        <v>#REF!</v>
      </c>
      <c r="AS75" s="245"/>
      <c r="AT75" s="245"/>
      <c r="AU75" s="146" t="e">
        <f>AU76+AU89+AU92+AU94</f>
        <v>#REF!</v>
      </c>
      <c r="AX75" s="147"/>
      <c r="AY75" s="148" t="s">
        <v>692</v>
      </c>
      <c r="AZ75" s="160"/>
      <c r="BA75" s="160"/>
      <c r="BB75" s="149"/>
      <c r="BC75" s="275"/>
      <c r="BD75" s="275"/>
      <c r="BE75" s="276"/>
      <c r="BF75" s="187" t="e">
        <f>BF76+BF89+BF92+BF94</f>
        <v>#REF!</v>
      </c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5" customFormat="1">
      <c r="A76" s="122">
        <v>1</v>
      </c>
      <c r="B76" s="28" t="s">
        <v>168</v>
      </c>
      <c r="C76" s="29" t="s">
        <v>660</v>
      </c>
      <c r="D76" s="29"/>
      <c r="E76" s="29"/>
      <c r="F76" s="28"/>
      <c r="G76" s="28"/>
      <c r="H76" s="28"/>
      <c r="I76" s="65"/>
      <c r="J76" s="28"/>
      <c r="K76" s="66" t="e">
        <f t="shared" ref="K76:Q76" si="39">K77+K87+K88</f>
        <v>#REF!</v>
      </c>
      <c r="L76" s="66" t="e">
        <f t="shared" si="39"/>
        <v>#REF!</v>
      </c>
      <c r="M76" s="66" t="e">
        <f t="shared" si="39"/>
        <v>#REF!</v>
      </c>
      <c r="N76" s="66" t="e">
        <f t="shared" si="39"/>
        <v>#REF!</v>
      </c>
      <c r="O76" s="66" t="e">
        <f t="shared" si="39"/>
        <v>#REF!</v>
      </c>
      <c r="P76" s="66" t="e">
        <f t="shared" si="39"/>
        <v>#REF!</v>
      </c>
      <c r="Q76" s="66" t="e">
        <f t="shared" si="39"/>
        <v>#REF!</v>
      </c>
      <c r="R76" s="66" t="e">
        <f t="shared" si="1"/>
        <v>#REF!</v>
      </c>
      <c r="S76" s="66"/>
      <c r="T76" s="66"/>
      <c r="U76" s="66" t="e">
        <f>U77+U87+U88</f>
        <v>#REF!</v>
      </c>
      <c r="V76" s="66" t="e">
        <f>V77+V87+V88</f>
        <v>#REF!</v>
      </c>
      <c r="W76" s="66" t="e">
        <f>W77+W87+W88</f>
        <v>#REF!</v>
      </c>
      <c r="X76" s="66" t="e">
        <f>X77+X87+X88</f>
        <v>#REF!</v>
      </c>
      <c r="Y76"/>
      <c r="Z76" s="84"/>
      <c r="AA76"/>
      <c r="AB76"/>
      <c r="AC76"/>
      <c r="AD76"/>
      <c r="AE76"/>
      <c r="AF76"/>
      <c r="AG76"/>
      <c r="AH76" s="147" t="s">
        <v>168</v>
      </c>
      <c r="AI76" s="148" t="s">
        <v>660</v>
      </c>
      <c r="AJ76" s="160"/>
      <c r="AK76" s="160"/>
      <c r="AL76" s="149"/>
      <c r="AM76" s="277"/>
      <c r="AN76" s="277"/>
      <c r="AO76" s="278"/>
      <c r="AP76" s="146" t="e">
        <f>AP77+AP87+AP88</f>
        <v>#REF!</v>
      </c>
      <c r="AQ76" s="146" t="e">
        <f>AQ77+AQ87+AQ88</f>
        <v>#REF!</v>
      </c>
      <c r="AR76" s="146" t="e">
        <f>AR77+AR87+AR88</f>
        <v>#REF!</v>
      </c>
      <c r="AS76" s="245"/>
      <c r="AT76" s="245"/>
      <c r="AU76" s="146" t="e">
        <f>AU77+AU87+AU88</f>
        <v>#REF!</v>
      </c>
      <c r="AX76" s="147" t="s">
        <v>168</v>
      </c>
      <c r="AY76" s="148" t="s">
        <v>660</v>
      </c>
      <c r="AZ76" s="160"/>
      <c r="BA76" s="160"/>
      <c r="BB76" s="149"/>
      <c r="BC76" s="275"/>
      <c r="BD76" s="275"/>
      <c r="BE76" s="276"/>
      <c r="BF76" s="187" t="e">
        <f>BF77+BF87+BF88</f>
        <v>#REF!</v>
      </c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5" customFormat="1">
      <c r="A77" s="122">
        <v>1</v>
      </c>
      <c r="B77" s="31"/>
      <c r="C77" s="30"/>
      <c r="D77" s="30" t="s">
        <v>693</v>
      </c>
      <c r="E77" s="30"/>
      <c r="F77" s="33"/>
      <c r="G77" s="33"/>
      <c r="H77" s="33"/>
      <c r="I77" s="67"/>
      <c r="J77" s="33"/>
      <c r="K77" s="69" t="e">
        <f t="shared" ref="K77:Q77" si="40">+SUM(K78:K86)</f>
        <v>#REF!</v>
      </c>
      <c r="L77" s="69" t="e">
        <f t="shared" si="40"/>
        <v>#REF!</v>
      </c>
      <c r="M77" s="69" t="e">
        <f t="shared" si="40"/>
        <v>#REF!</v>
      </c>
      <c r="N77" s="69" t="e">
        <f t="shared" si="40"/>
        <v>#REF!</v>
      </c>
      <c r="O77" s="69" t="e">
        <f t="shared" si="40"/>
        <v>#REF!</v>
      </c>
      <c r="P77" s="69" t="e">
        <f t="shared" si="40"/>
        <v>#REF!</v>
      </c>
      <c r="Q77" s="69" t="e">
        <f t="shared" si="40"/>
        <v>#REF!</v>
      </c>
      <c r="R77" s="69" t="e">
        <f t="shared" si="1"/>
        <v>#REF!</v>
      </c>
      <c r="S77" s="69"/>
      <c r="T77" s="69"/>
      <c r="U77" s="69" t="e">
        <f>+SUM(U78:U86)</f>
        <v>#REF!</v>
      </c>
      <c r="V77" s="69" t="e">
        <f>+SUM(V78:V86)</f>
        <v>#REF!</v>
      </c>
      <c r="W77" s="69" t="e">
        <f>+SUM(W78:W86)</f>
        <v>#REF!</v>
      </c>
      <c r="X77" s="69" t="e">
        <f>+SUM(X78:X86)</f>
        <v>#REF!</v>
      </c>
      <c r="Y77"/>
      <c r="Z77"/>
      <c r="AA77"/>
      <c r="AB77"/>
      <c r="AC77"/>
      <c r="AD77"/>
      <c r="AE77"/>
      <c r="AF77"/>
      <c r="AG77"/>
      <c r="AH77" s="152"/>
      <c r="AI77" s="157" t="s">
        <v>693</v>
      </c>
      <c r="AJ77" s="277"/>
      <c r="AK77" s="158"/>
      <c r="AL77" s="155"/>
      <c r="AM77" s="277"/>
      <c r="AN77" s="277"/>
      <c r="AO77" s="278"/>
      <c r="AP77" s="146">
        <f t="shared" ref="AP77:AU77" si="41">AP78+AP79</f>
        <v>0</v>
      </c>
      <c r="AQ77" s="146">
        <f t="shared" si="41"/>
        <v>0</v>
      </c>
      <c r="AR77" s="146">
        <f t="shared" si="41"/>
        <v>0</v>
      </c>
      <c r="AS77" s="245"/>
      <c r="AT77" s="245"/>
      <c r="AU77" s="146">
        <f t="shared" si="41"/>
        <v>0</v>
      </c>
      <c r="AX77" s="152"/>
      <c r="AY77" s="157" t="s">
        <v>693</v>
      </c>
      <c r="AZ77" s="275"/>
      <c r="BA77" s="158"/>
      <c r="BB77" s="155"/>
      <c r="BC77" s="275"/>
      <c r="BD77" s="275"/>
      <c r="BE77" s="276"/>
      <c r="BF77" s="187">
        <f>BF78+BF79</f>
        <v>0</v>
      </c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95" customFormat="1">
      <c r="A78" s="122">
        <v>1</v>
      </c>
      <c r="B78" s="31"/>
      <c r="C78" s="30"/>
      <c r="D78" s="100" t="s">
        <v>985</v>
      </c>
      <c r="E78" s="30"/>
      <c r="F78" s="33" t="s">
        <v>812</v>
      </c>
      <c r="G78" s="33">
        <v>413</v>
      </c>
      <c r="H78" s="33"/>
      <c r="I78" s="67">
        <v>1</v>
      </c>
      <c r="J78" s="67">
        <v>0.38717416941157334</v>
      </c>
      <c r="K78" s="69" t="e">
        <f>+GETPIVOTDATA("PPEF 2010 ",#REF!,"No. Ramo",8,"IPP","S","PP",233,"UR",413)*$J78</f>
        <v>#REF!</v>
      </c>
      <c r="L78" s="69" t="e">
        <f>+GETPIVOTDATA("Ampliación Neta DIP ",#REF!,"No. Ramo",8,"IPP","S","PP",233,"UR",413)*$J78</f>
        <v>#REF!</v>
      </c>
      <c r="M78" s="69" t="e">
        <f>+GETPIVOTDATA("Recorte SHCP ",#REF!,"No. Ramo",8,"IPP","S","PP",233,"UR",413)*$J78</f>
        <v>#REF!</v>
      </c>
      <c r="N78" s="69" t="e">
        <f>+GETPIVOTDATA("PEF 2010 ",#REF!,"No. Ramo",8,"IPP","S","PP",233,"UR",413)*$J78</f>
        <v>#REF!</v>
      </c>
      <c r="O78" s="69" t="e">
        <f>+GETPIVOTDATA("PPEF 2011 ",#REF!,"No. Ramo",8,"IPP","S","PP",233,"UR",413)*$J78</f>
        <v>#REF!</v>
      </c>
      <c r="P78" s="69" t="e">
        <f>+GETPIVOTDATA("Reducción ",#REF!,"No. Ramo",8,"IPP","S","PP",233,"UR",413)*$J78</f>
        <v>#REF!</v>
      </c>
      <c r="Q78" s="69" t="e">
        <f>+GETPIVOTDATA("Ampliación ",#REF!,"No. Ramo",8,"IPP","S","PP",233,"UR",413)*$J78</f>
        <v>#REF!</v>
      </c>
      <c r="R78" s="69" t="e">
        <f t="shared" si="1"/>
        <v>#REF!</v>
      </c>
      <c r="S78" s="69"/>
      <c r="T78" s="69"/>
      <c r="U78" s="69" t="e">
        <f>+$I78*O78</f>
        <v>#REF!</v>
      </c>
      <c r="V78" s="69" t="e">
        <f>+$I78*P78</f>
        <v>#REF!</v>
      </c>
      <c r="W78" s="69" t="e">
        <f>+$I78*Q78</f>
        <v>#REF!</v>
      </c>
      <c r="X78" s="69" t="e">
        <f>+$I78*R78</f>
        <v>#REF!</v>
      </c>
      <c r="Y78"/>
      <c r="Z78"/>
      <c r="AA78"/>
      <c r="AB78"/>
      <c r="AC78"/>
      <c r="AD78"/>
      <c r="AE78"/>
      <c r="AF78"/>
      <c r="AG78"/>
      <c r="AH78" s="152"/>
      <c r="AI78" s="156"/>
      <c r="AJ78" s="154" t="s">
        <v>985</v>
      </c>
      <c r="AK78" s="158"/>
      <c r="AL78" s="277"/>
      <c r="AM78" s="277"/>
      <c r="AN78" s="277"/>
      <c r="AO78" s="278"/>
      <c r="AP78" s="146"/>
      <c r="AQ78" s="146"/>
      <c r="AR78" s="146"/>
      <c r="AS78" s="245"/>
      <c r="AT78" s="245"/>
      <c r="AU78" s="146"/>
      <c r="AX78" s="152"/>
      <c r="AY78" s="191"/>
      <c r="AZ78" s="154" t="s">
        <v>985</v>
      </c>
      <c r="BA78" s="158"/>
      <c r="BB78" s="275"/>
      <c r="BC78" s="275"/>
      <c r="BD78" s="275"/>
      <c r="BE78" s="276"/>
      <c r="BF78" s="187">
        <f>+AU78</f>
        <v>0</v>
      </c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5" customFormat="1">
      <c r="A79" s="122">
        <v>1</v>
      </c>
      <c r="B79" s="31"/>
      <c r="C79" s="30"/>
      <c r="D79" s="100" t="s">
        <v>984</v>
      </c>
      <c r="E79" s="30"/>
      <c r="F79" s="33"/>
      <c r="G79" s="33"/>
      <c r="H79" s="33"/>
      <c r="I79" s="67"/>
      <c r="J79" s="67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/>
      <c r="Z79"/>
      <c r="AA79"/>
      <c r="AB79"/>
      <c r="AC79"/>
      <c r="AD79"/>
      <c r="AE79"/>
      <c r="AF79"/>
      <c r="AG79" s="113"/>
      <c r="AH79" s="152"/>
      <c r="AI79" s="156"/>
      <c r="AJ79" s="154" t="s">
        <v>984</v>
      </c>
      <c r="AK79" s="158"/>
      <c r="AL79" s="277"/>
      <c r="AM79" s="277"/>
      <c r="AN79" s="277"/>
      <c r="AO79" s="278"/>
      <c r="AP79" s="146">
        <f t="shared" ref="AP79:AU79" si="42">SUM(AP80:AP86)</f>
        <v>0</v>
      </c>
      <c r="AQ79" s="146">
        <f t="shared" si="42"/>
        <v>0</v>
      </c>
      <c r="AR79" s="146">
        <f t="shared" si="42"/>
        <v>0</v>
      </c>
      <c r="AS79" s="245"/>
      <c r="AT79" s="245"/>
      <c r="AU79" s="146">
        <f t="shared" si="42"/>
        <v>0</v>
      </c>
      <c r="AX79" s="152"/>
      <c r="AY79" s="191"/>
      <c r="AZ79" s="154" t="s">
        <v>984</v>
      </c>
      <c r="BA79" s="158"/>
      <c r="BB79" s="275"/>
      <c r="BC79" s="275"/>
      <c r="BD79" s="275"/>
      <c r="BE79" s="276"/>
      <c r="BF79" s="187">
        <f>SUM(BF80:BF86)</f>
        <v>0</v>
      </c>
      <c r="BI79" s="113"/>
      <c r="BJ79" s="113"/>
      <c r="BK79" s="113"/>
      <c r="BL79" s="113"/>
      <c r="BM79"/>
      <c r="BN79"/>
      <c r="BO79"/>
      <c r="BP79"/>
      <c r="BQ79"/>
      <c r="BR79"/>
      <c r="BS79"/>
      <c r="BT79"/>
      <c r="BU79"/>
      <c r="BV79"/>
      <c r="BW79"/>
    </row>
    <row r="80" spans="1:75" s="113" customFormat="1">
      <c r="A80" s="122">
        <v>1</v>
      </c>
      <c r="B80" s="111"/>
      <c r="C80" s="110"/>
      <c r="D80" s="116" t="s">
        <v>941</v>
      </c>
      <c r="E80" s="110"/>
      <c r="F80" s="80" t="s">
        <v>812</v>
      </c>
      <c r="G80" s="80">
        <v>413</v>
      </c>
      <c r="H80" s="80"/>
      <c r="I80" s="112"/>
      <c r="J80" s="112">
        <v>0</v>
      </c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AH80" s="152"/>
      <c r="AI80" s="156"/>
      <c r="AJ80" s="277"/>
      <c r="AK80" s="154" t="s">
        <v>941</v>
      </c>
      <c r="AL80" s="277"/>
      <c r="AM80" s="277"/>
      <c r="AN80" s="277"/>
      <c r="AO80" s="278"/>
      <c r="AP80" s="146"/>
      <c r="AQ80" s="146"/>
      <c r="AR80" s="146"/>
      <c r="AS80" s="245"/>
      <c r="AT80" s="245"/>
      <c r="AU80" s="146"/>
      <c r="AV80" s="195"/>
      <c r="AW80" s="195"/>
      <c r="AX80" s="152"/>
      <c r="AY80" s="191"/>
      <c r="AZ80" s="275"/>
      <c r="BA80" s="154" t="s">
        <v>941</v>
      </c>
      <c r="BB80" s="275"/>
      <c r="BC80" s="275"/>
      <c r="BD80" s="275"/>
      <c r="BE80" s="276"/>
      <c r="BF80" s="187">
        <f t="shared" ref="BF80:BF86" si="43">+AU80</f>
        <v>0</v>
      </c>
      <c r="BG80" s="195"/>
      <c r="BH80" s="195"/>
    </row>
    <row r="81" spans="1:75" s="113" customFormat="1">
      <c r="A81" s="122">
        <v>1</v>
      </c>
      <c r="B81" s="111"/>
      <c r="C81" s="110"/>
      <c r="D81" s="116" t="s">
        <v>986</v>
      </c>
      <c r="E81" s="110"/>
      <c r="F81" s="80" t="s">
        <v>812</v>
      </c>
      <c r="G81" s="80">
        <v>413</v>
      </c>
      <c r="H81" s="80"/>
      <c r="I81" s="112"/>
      <c r="J81" s="112">
        <v>0</v>
      </c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AH81" s="152"/>
      <c r="AI81" s="156"/>
      <c r="AJ81" s="277"/>
      <c r="AK81" s="154" t="s">
        <v>986</v>
      </c>
      <c r="AL81" s="277"/>
      <c r="AM81" s="277"/>
      <c r="AN81" s="277"/>
      <c r="AO81" s="278"/>
      <c r="AP81" s="146"/>
      <c r="AQ81" s="146"/>
      <c r="AR81" s="146"/>
      <c r="AS81" s="245"/>
      <c r="AT81" s="245"/>
      <c r="AU81" s="146"/>
      <c r="AV81" s="195"/>
      <c r="AW81" s="195"/>
      <c r="AX81" s="152"/>
      <c r="AY81" s="191"/>
      <c r="AZ81" s="275"/>
      <c r="BA81" s="154" t="s">
        <v>986</v>
      </c>
      <c r="BB81" s="275"/>
      <c r="BC81" s="275"/>
      <c r="BD81" s="275"/>
      <c r="BE81" s="276"/>
      <c r="BF81" s="187">
        <f t="shared" si="43"/>
        <v>0</v>
      </c>
      <c r="BG81" s="195"/>
      <c r="BH81" s="195"/>
    </row>
    <row r="82" spans="1:75" s="113" customFormat="1">
      <c r="A82" s="122">
        <v>1</v>
      </c>
      <c r="B82" s="111"/>
      <c r="C82" s="110"/>
      <c r="D82" s="116" t="s">
        <v>943</v>
      </c>
      <c r="E82" s="110"/>
      <c r="F82" s="80" t="s">
        <v>812</v>
      </c>
      <c r="G82" s="80">
        <v>413</v>
      </c>
      <c r="H82" s="80"/>
      <c r="I82" s="112"/>
      <c r="J82" s="112">
        <v>0</v>
      </c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AG82"/>
      <c r="AH82" s="152"/>
      <c r="AI82" s="156"/>
      <c r="AJ82" s="277"/>
      <c r="AK82" s="154" t="s">
        <v>943</v>
      </c>
      <c r="AL82" s="277"/>
      <c r="AM82" s="277"/>
      <c r="AN82" s="277"/>
      <c r="AO82" s="278"/>
      <c r="AP82" s="146"/>
      <c r="AQ82" s="146"/>
      <c r="AR82" s="146"/>
      <c r="AS82" s="245"/>
      <c r="AT82" s="245"/>
      <c r="AU82" s="146"/>
      <c r="AV82" s="195"/>
      <c r="AW82" s="195"/>
      <c r="AX82" s="152"/>
      <c r="AY82" s="191"/>
      <c r="AZ82" s="275"/>
      <c r="BA82" s="154" t="s">
        <v>943</v>
      </c>
      <c r="BB82" s="275"/>
      <c r="BC82" s="275"/>
      <c r="BD82" s="275"/>
      <c r="BE82" s="276"/>
      <c r="BF82" s="187">
        <f t="shared" si="43"/>
        <v>0</v>
      </c>
      <c r="BG82" s="195"/>
      <c r="BH82" s="195"/>
      <c r="BI82"/>
      <c r="BJ82"/>
      <c r="BK82"/>
      <c r="BL82"/>
    </row>
    <row r="83" spans="1:75">
      <c r="A83" s="122">
        <v>1</v>
      </c>
      <c r="B83" s="31"/>
      <c r="C83" s="30"/>
      <c r="D83" s="102" t="s">
        <v>694</v>
      </c>
      <c r="E83" s="30"/>
      <c r="F83" s="33" t="s">
        <v>812</v>
      </c>
      <c r="G83" s="33">
        <v>413</v>
      </c>
      <c r="H83" s="33"/>
      <c r="I83" s="67">
        <v>1</v>
      </c>
      <c r="J83" s="67">
        <v>0.10979626692692449</v>
      </c>
      <c r="K83" s="69" t="e">
        <f>+GETPIVOTDATA("PPEF 2010 ",#REF!,"No. Ramo",8,"IPP","S","PP",233,"UR",413)*$J83</f>
        <v>#REF!</v>
      </c>
      <c r="L83" s="69" t="e">
        <f>+GETPIVOTDATA("Ampliación Neta DIP ",#REF!,"No. Ramo",8,"IPP","S","PP",233,"UR",413)*$J83</f>
        <v>#REF!</v>
      </c>
      <c r="M83" s="69" t="e">
        <f>+GETPIVOTDATA("Recorte SHCP ",#REF!,"No. Ramo",8,"IPP","S","PP",233,"UR",413)*$J83</f>
        <v>#REF!</v>
      </c>
      <c r="N83" s="69" t="e">
        <f>+GETPIVOTDATA("PEF 2010 ",#REF!,"No. Ramo",8,"IPP","S","PP",233,"UR",413)*$J83</f>
        <v>#REF!</v>
      </c>
      <c r="O83" s="69" t="e">
        <f>+GETPIVOTDATA("PPEF 2011 ",#REF!,"No. Ramo",8,"IPP","S","PP",233,"UR",413)*$J83</f>
        <v>#REF!</v>
      </c>
      <c r="P83" s="69" t="e">
        <f>+GETPIVOTDATA("Reducción ",#REF!,"No. Ramo",8,"IPP","S","PP",233,"UR",413)*$J83</f>
        <v>#REF!</v>
      </c>
      <c r="Q83" s="69" t="e">
        <f>+GETPIVOTDATA("Ampliación ",#REF!,"No. Ramo",8,"IPP","S","PP",233,"UR",413)*$J83</f>
        <v>#REF!</v>
      </c>
      <c r="R83" s="69" t="e">
        <f t="shared" si="1"/>
        <v>#REF!</v>
      </c>
      <c r="S83" s="69"/>
      <c r="T83" s="69"/>
      <c r="U83" s="69" t="e">
        <f t="shared" ref="U83:X88" si="44">+$I83*O83</f>
        <v>#REF!</v>
      </c>
      <c r="V83" s="69" t="e">
        <f t="shared" si="44"/>
        <v>#REF!</v>
      </c>
      <c r="W83" s="69" t="e">
        <f t="shared" si="44"/>
        <v>#REF!</v>
      </c>
      <c r="X83" s="69" t="e">
        <f t="shared" si="44"/>
        <v>#REF!</v>
      </c>
      <c r="AH83" s="152"/>
      <c r="AI83" s="156"/>
      <c r="AJ83" s="277"/>
      <c r="AK83" s="154" t="s">
        <v>694</v>
      </c>
      <c r="AL83" s="277"/>
      <c r="AM83" s="277"/>
      <c r="AN83" s="277"/>
      <c r="AO83" s="278"/>
      <c r="AP83" s="146"/>
      <c r="AQ83" s="146"/>
      <c r="AR83" s="146"/>
      <c r="AS83" s="245"/>
      <c r="AT83" s="245"/>
      <c r="AU83" s="146"/>
      <c r="AX83" s="152"/>
      <c r="AY83" s="191"/>
      <c r="AZ83" s="275"/>
      <c r="BA83" s="154" t="s">
        <v>694</v>
      </c>
      <c r="BB83" s="275"/>
      <c r="BC83" s="275"/>
      <c r="BD83" s="275"/>
      <c r="BE83" s="276"/>
      <c r="BF83" s="187">
        <f t="shared" si="43"/>
        <v>0</v>
      </c>
    </row>
    <row r="84" spans="1:75">
      <c r="A84" s="122">
        <v>1</v>
      </c>
      <c r="B84" s="31"/>
      <c r="C84" s="30"/>
      <c r="D84" s="102" t="s">
        <v>668</v>
      </c>
      <c r="E84" s="30"/>
      <c r="F84" s="33" t="s">
        <v>812</v>
      </c>
      <c r="G84" s="33">
        <v>413</v>
      </c>
      <c r="H84" s="33"/>
      <c r="I84" s="67">
        <v>1</v>
      </c>
      <c r="J84" s="67">
        <v>0.10166321011752268</v>
      </c>
      <c r="K84" s="69" t="e">
        <f>+GETPIVOTDATA("PPEF 2010 ",#REF!,"No. Ramo",8,"IPP","S","PP",233,"UR",413)*$J84</f>
        <v>#REF!</v>
      </c>
      <c r="L84" s="69" t="e">
        <f>+GETPIVOTDATA("Ampliación Neta DIP ",#REF!,"No. Ramo",8,"IPP","S","PP",233,"UR",413)*$J84</f>
        <v>#REF!</v>
      </c>
      <c r="M84" s="69" t="e">
        <f>+GETPIVOTDATA("Recorte SHCP ",#REF!,"No. Ramo",8,"IPP","S","PP",233,"UR",413)*$J84</f>
        <v>#REF!</v>
      </c>
      <c r="N84" s="69" t="e">
        <f>+GETPIVOTDATA("PEF 2010 ",#REF!,"No. Ramo",8,"IPP","S","PP",233,"UR",413)*$J84</f>
        <v>#REF!</v>
      </c>
      <c r="O84" s="69" t="e">
        <f>+GETPIVOTDATA("PPEF 2011 ",#REF!,"No. Ramo",8,"IPP","S","PP",233,"UR",413)*$J84</f>
        <v>#REF!</v>
      </c>
      <c r="P84" s="69" t="e">
        <f>+GETPIVOTDATA("Reducción ",#REF!,"No. Ramo",8,"IPP","S","PP",233,"UR",413)*$J84</f>
        <v>#REF!</v>
      </c>
      <c r="Q84" s="69" t="e">
        <f>+GETPIVOTDATA("Ampliación ",#REF!,"No. Ramo",8,"IPP","S","PP",233,"UR",413)*$J84</f>
        <v>#REF!</v>
      </c>
      <c r="R84" s="69" t="e">
        <f t="shared" si="1"/>
        <v>#REF!</v>
      </c>
      <c r="S84" s="69"/>
      <c r="T84" s="69"/>
      <c r="U84" s="69" t="e">
        <f t="shared" si="44"/>
        <v>#REF!</v>
      </c>
      <c r="V84" s="69" t="e">
        <f t="shared" si="44"/>
        <v>#REF!</v>
      </c>
      <c r="W84" s="69" t="e">
        <f t="shared" si="44"/>
        <v>#REF!</v>
      </c>
      <c r="X84" s="69" t="e">
        <f t="shared" si="44"/>
        <v>#REF!</v>
      </c>
      <c r="AH84" s="152"/>
      <c r="AI84" s="156"/>
      <c r="AJ84" s="277"/>
      <c r="AK84" s="154" t="s">
        <v>668</v>
      </c>
      <c r="AL84" s="277"/>
      <c r="AM84" s="277"/>
      <c r="AN84" s="277"/>
      <c r="AO84" s="278"/>
      <c r="AP84" s="146"/>
      <c r="AQ84" s="146"/>
      <c r="AR84" s="146"/>
      <c r="AS84" s="245"/>
      <c r="AT84" s="245"/>
      <c r="AU84" s="146"/>
      <c r="AX84" s="152"/>
      <c r="AY84" s="191"/>
      <c r="AZ84" s="275"/>
      <c r="BA84" s="154" t="s">
        <v>668</v>
      </c>
      <c r="BB84" s="275"/>
      <c r="BC84" s="275"/>
      <c r="BD84" s="275"/>
      <c r="BE84" s="276"/>
      <c r="BF84" s="187">
        <f t="shared" si="43"/>
        <v>0</v>
      </c>
    </row>
    <row r="85" spans="1:75">
      <c r="A85" s="122">
        <v>1</v>
      </c>
      <c r="B85" s="31"/>
      <c r="C85" s="30"/>
      <c r="D85" s="102" t="s">
        <v>663</v>
      </c>
      <c r="E85" s="32"/>
      <c r="F85" s="33" t="s">
        <v>812</v>
      </c>
      <c r="G85" s="33">
        <v>413</v>
      </c>
      <c r="H85" s="76"/>
      <c r="I85" s="67">
        <v>1</v>
      </c>
      <c r="J85" s="81">
        <v>3.5378797120897892E-2</v>
      </c>
      <c r="K85" s="69" t="e">
        <f>+GETPIVOTDATA("PPEF 2010 ",#REF!,"No. Ramo",8,"IPP","S","PP",233,"UR",413)*$J85</f>
        <v>#REF!</v>
      </c>
      <c r="L85" s="69" t="e">
        <f>+GETPIVOTDATA("Ampliación Neta DIP ",#REF!,"No. Ramo",8,"IPP","S","PP",233,"UR",413)*$J85</f>
        <v>#REF!</v>
      </c>
      <c r="M85" s="69" t="e">
        <f>+GETPIVOTDATA("Recorte SHCP ",#REF!,"No. Ramo",8,"IPP","S","PP",233,"UR",413)*$J85</f>
        <v>#REF!</v>
      </c>
      <c r="N85" s="69" t="e">
        <f>+GETPIVOTDATA("PEF 2010 ",#REF!,"No. Ramo",8,"IPP","S","PP",233,"UR",413)*$J85</f>
        <v>#REF!</v>
      </c>
      <c r="O85" s="69" t="e">
        <f>+GETPIVOTDATA("PPEF 2011 ",#REF!,"No. Ramo",8,"IPP","S","PP",233,"UR",413)*$J85</f>
        <v>#REF!</v>
      </c>
      <c r="P85" s="69" t="e">
        <f>+GETPIVOTDATA("Reducción ",#REF!,"No. Ramo",8,"IPP","S","PP",233,"UR",413)*$J85</f>
        <v>#REF!</v>
      </c>
      <c r="Q85" s="69" t="e">
        <f>+GETPIVOTDATA("Ampliación ",#REF!,"No. Ramo",8,"IPP","S","PP",233,"UR",413)*$J85</f>
        <v>#REF!</v>
      </c>
      <c r="R85" s="69" t="e">
        <f t="shared" si="1"/>
        <v>#REF!</v>
      </c>
      <c r="S85" s="69"/>
      <c r="T85" s="69"/>
      <c r="U85" s="69" t="e">
        <f t="shared" si="44"/>
        <v>#REF!</v>
      </c>
      <c r="V85" s="69" t="e">
        <f t="shared" si="44"/>
        <v>#REF!</v>
      </c>
      <c r="W85" s="69" t="e">
        <f t="shared" si="44"/>
        <v>#REF!</v>
      </c>
      <c r="X85" s="69" t="e">
        <f t="shared" si="44"/>
        <v>#REF!</v>
      </c>
      <c r="AH85" s="152"/>
      <c r="AI85" s="156"/>
      <c r="AJ85" s="277"/>
      <c r="AK85" s="154" t="s">
        <v>663</v>
      </c>
      <c r="AL85" s="277"/>
      <c r="AM85" s="277"/>
      <c r="AN85" s="277"/>
      <c r="AO85" s="278"/>
      <c r="AP85" s="146"/>
      <c r="AQ85" s="146"/>
      <c r="AR85" s="146"/>
      <c r="AS85" s="245"/>
      <c r="AT85" s="245"/>
      <c r="AU85" s="146"/>
      <c r="AX85" s="152"/>
      <c r="AY85" s="191"/>
      <c r="AZ85" s="275"/>
      <c r="BA85" s="154" t="s">
        <v>663</v>
      </c>
      <c r="BB85" s="275"/>
      <c r="BC85" s="275"/>
      <c r="BD85" s="275"/>
      <c r="BE85" s="276"/>
      <c r="BF85" s="187">
        <f t="shared" si="43"/>
        <v>0</v>
      </c>
    </row>
    <row r="86" spans="1:75">
      <c r="A86" s="122">
        <v>1</v>
      </c>
      <c r="B86" s="31"/>
      <c r="C86" s="30"/>
      <c r="D86" s="102" t="s">
        <v>695</v>
      </c>
      <c r="E86" s="30"/>
      <c r="F86" s="33" t="s">
        <v>812</v>
      </c>
      <c r="G86" s="33">
        <v>413</v>
      </c>
      <c r="H86" s="33"/>
      <c r="I86" s="67">
        <v>1</v>
      </c>
      <c r="J86" s="67">
        <v>0.36598755642308162</v>
      </c>
      <c r="K86" s="69" t="e">
        <f>+GETPIVOTDATA("PPEF 2010 ",#REF!,"No. Ramo",8,"IPP","S","PP",233,"UR",413)*$J86</f>
        <v>#REF!</v>
      </c>
      <c r="L86" s="69" t="e">
        <f>+GETPIVOTDATA("Ampliación Neta DIP ",#REF!,"No. Ramo",8,"IPP","S","PP",233,"UR",413)*$J86</f>
        <v>#REF!</v>
      </c>
      <c r="M86" s="69" t="e">
        <f>+GETPIVOTDATA("Recorte SHCP ",#REF!,"No. Ramo",8,"IPP","S","PP",233,"UR",413)*$J86</f>
        <v>#REF!</v>
      </c>
      <c r="N86" s="69" t="e">
        <f>+GETPIVOTDATA("PEF 2010 ",#REF!,"No. Ramo",8,"IPP","S","PP",233,"UR",413)*$J86</f>
        <v>#REF!</v>
      </c>
      <c r="O86" s="69" t="e">
        <f>+GETPIVOTDATA("PPEF 2011 ",#REF!,"No. Ramo",8,"IPP","S","PP",233,"UR",413)*$J86</f>
        <v>#REF!</v>
      </c>
      <c r="P86" s="69" t="e">
        <f>+GETPIVOTDATA("Reducción ",#REF!,"No. Ramo",8,"IPP","S","PP",233,"UR",413)*$J86</f>
        <v>#REF!</v>
      </c>
      <c r="Q86" s="69" t="e">
        <f>+GETPIVOTDATA("Ampliación ",#REF!,"No. Ramo",8,"IPP","S","PP",233,"UR",413)*$J86</f>
        <v>#REF!</v>
      </c>
      <c r="R86" s="69" t="e">
        <f t="shared" si="1"/>
        <v>#REF!</v>
      </c>
      <c r="S86" s="69"/>
      <c r="T86" s="69"/>
      <c r="U86" s="69" t="e">
        <f t="shared" si="44"/>
        <v>#REF!</v>
      </c>
      <c r="V86" s="69" t="e">
        <f t="shared" si="44"/>
        <v>#REF!</v>
      </c>
      <c r="W86" s="69" t="e">
        <f t="shared" si="44"/>
        <v>#REF!</v>
      </c>
      <c r="X86" s="69" t="e">
        <f t="shared" si="44"/>
        <v>#REF!</v>
      </c>
      <c r="AH86" s="152"/>
      <c r="AI86" s="156"/>
      <c r="AJ86" s="277"/>
      <c r="AK86" s="154" t="s">
        <v>695</v>
      </c>
      <c r="AL86" s="277"/>
      <c r="AM86" s="277"/>
      <c r="AN86" s="277"/>
      <c r="AO86" s="278"/>
      <c r="AP86" s="146"/>
      <c r="AQ86" s="146"/>
      <c r="AR86" s="146"/>
      <c r="AS86" s="245"/>
      <c r="AT86" s="245"/>
      <c r="AU86" s="146"/>
      <c r="AX86" s="152"/>
      <c r="AY86" s="191"/>
      <c r="AZ86" s="275"/>
      <c r="BA86" s="154" t="s">
        <v>695</v>
      </c>
      <c r="BB86" s="275"/>
      <c r="BC86" s="275"/>
      <c r="BD86" s="275"/>
      <c r="BE86" s="276"/>
      <c r="BF86" s="187">
        <f t="shared" si="43"/>
        <v>0</v>
      </c>
    </row>
    <row r="87" spans="1:75">
      <c r="A87" s="122">
        <v>1</v>
      </c>
      <c r="B87" s="31"/>
      <c r="C87" s="30"/>
      <c r="D87" s="30" t="s">
        <v>696</v>
      </c>
      <c r="E87" s="30"/>
      <c r="F87" s="33" t="s">
        <v>812</v>
      </c>
      <c r="G87" s="33">
        <v>311</v>
      </c>
      <c r="H87" s="33"/>
      <c r="I87" s="67">
        <v>1</v>
      </c>
      <c r="J87" s="33"/>
      <c r="K87" s="69" t="e">
        <f>+GETPIVOTDATA("PPEF 2010 ",#REF!,"No. Ramo",8,"IPP","S","PP",233,"UR",311)</f>
        <v>#REF!</v>
      </c>
      <c r="L87" s="69" t="e">
        <f>+GETPIVOTDATA("Ampliación Neta DIP ",#REF!,"No. Ramo",8,"IPP","S","PP",233,"UR",311)</f>
        <v>#REF!</v>
      </c>
      <c r="M87" s="69" t="e">
        <f>+GETPIVOTDATA("Recorte SHCP ",#REF!,"No. Ramo",8,"IPP","S","PP",233,"UR",311)</f>
        <v>#REF!</v>
      </c>
      <c r="N87" s="69" t="e">
        <f>+GETPIVOTDATA("PEF 2010 ",#REF!,"No. Ramo",8,"IPP","S","PP",233,"UR",311)</f>
        <v>#REF!</v>
      </c>
      <c r="O87" s="69" t="e">
        <f>+GETPIVOTDATA("PPEF 2011 ",#REF!,"No. Ramo",8,"IPP","S","PP",233,"UR",311)</f>
        <v>#REF!</v>
      </c>
      <c r="P87" s="69" t="e">
        <f>+GETPIVOTDATA("Reducción ",#REF!,"No. Ramo",8,"IPP","S","PP",233,"UR",311)</f>
        <v>#REF!</v>
      </c>
      <c r="Q87" s="69" t="e">
        <f>+GETPIVOTDATA("Ampliación ",#REF!,"No. Ramo",8,"IPP","S","PP",233,"UR",311)</f>
        <v>#REF!</v>
      </c>
      <c r="R87" s="69" t="e">
        <f t="shared" si="1"/>
        <v>#REF!</v>
      </c>
      <c r="S87" s="69"/>
      <c r="T87" s="69"/>
      <c r="U87" s="69" t="e">
        <f t="shared" si="44"/>
        <v>#REF!</v>
      </c>
      <c r="V87" s="69" t="e">
        <f t="shared" si="44"/>
        <v>#REF!</v>
      </c>
      <c r="W87" s="69" t="e">
        <f t="shared" si="44"/>
        <v>#REF!</v>
      </c>
      <c r="X87" s="69" t="e">
        <f t="shared" si="44"/>
        <v>#REF!</v>
      </c>
      <c r="AH87" s="152"/>
      <c r="AI87" s="157" t="s">
        <v>696</v>
      </c>
      <c r="AJ87" s="277"/>
      <c r="AK87" s="158"/>
      <c r="AL87" s="277"/>
      <c r="AM87" s="277"/>
      <c r="AN87" s="277"/>
      <c r="AO87" s="278"/>
      <c r="AP87" s="146" t="e">
        <f>#REF!+#REF!</f>
        <v>#REF!</v>
      </c>
      <c r="AQ87" s="146" t="e">
        <f>#REF!+#REF!</f>
        <v>#REF!</v>
      </c>
      <c r="AR87" s="146" t="e">
        <f>#REF!+#REF!</f>
        <v>#REF!</v>
      </c>
      <c r="AS87" s="245"/>
      <c r="AT87" s="245"/>
      <c r="AU87" s="146" t="e">
        <f>#REF!+#REF!</f>
        <v>#REF!</v>
      </c>
      <c r="AX87" s="152"/>
      <c r="AY87" s="157" t="s">
        <v>696</v>
      </c>
      <c r="AZ87" s="275"/>
      <c r="BA87" s="158"/>
      <c r="BB87" s="275"/>
      <c r="BC87" s="275"/>
      <c r="BD87" s="275"/>
      <c r="BE87" s="276"/>
      <c r="BF87" s="187" t="e">
        <f>#REF!+#REF!</f>
        <v>#REF!</v>
      </c>
    </row>
    <row r="88" spans="1:75" s="195" customFormat="1">
      <c r="A88" s="122">
        <v>1</v>
      </c>
      <c r="B88" s="31"/>
      <c r="C88" s="30"/>
      <c r="D88" s="30" t="s">
        <v>697</v>
      </c>
      <c r="E88" s="30"/>
      <c r="F88" s="33" t="s">
        <v>812</v>
      </c>
      <c r="G88" s="33">
        <v>112</v>
      </c>
      <c r="H88" s="33"/>
      <c r="I88" s="67">
        <v>1</v>
      </c>
      <c r="J88" s="33"/>
      <c r="K88" s="69" t="e">
        <f>+GETPIVOTDATA("PPEF 2010 ",#REF!,"No. Ramo",8,"IPP","S","PP",233,"UR",112)</f>
        <v>#REF!</v>
      </c>
      <c r="L88" s="69" t="e">
        <f>+GETPIVOTDATA("Ampliación Neta DIP ",#REF!,"No. Ramo",8,"IPP","S","PP",233,"UR",112)</f>
        <v>#REF!</v>
      </c>
      <c r="M88" s="69" t="e">
        <f>+GETPIVOTDATA("Recorte SHCP ",#REF!,"No. Ramo",8,"IPP","S","PP",233,"UR",112)</f>
        <v>#REF!</v>
      </c>
      <c r="N88" s="69" t="e">
        <f>+GETPIVOTDATA("PEF 2010 ",#REF!,"No. Ramo",8,"IPP","S","PP",233,"UR",112)</f>
        <v>#REF!</v>
      </c>
      <c r="O88" s="69" t="e">
        <f>+GETPIVOTDATA("PPEF 2011 ",#REF!,"No. Ramo",8,"IPP","S","PP",233,"UR",112)</f>
        <v>#REF!</v>
      </c>
      <c r="P88" s="69" t="e">
        <f>+GETPIVOTDATA("Reducción ",#REF!,"No. Ramo",8,"IPP","S","PP",233,"UR",112)</f>
        <v>#REF!</v>
      </c>
      <c r="Q88" s="69" t="e">
        <f>+GETPIVOTDATA("Ampliación ",#REF!,"No. Ramo",8,"IPP","S","PP",233,"UR",112)</f>
        <v>#REF!</v>
      </c>
      <c r="R88" s="69" t="e">
        <f t="shared" ref="R88:R152" si="45">O88+Q88-P88</f>
        <v>#REF!</v>
      </c>
      <c r="S88" s="69"/>
      <c r="T88" s="69"/>
      <c r="U88" s="69" t="e">
        <f t="shared" si="44"/>
        <v>#REF!</v>
      </c>
      <c r="V88" s="69" t="e">
        <f t="shared" si="44"/>
        <v>#REF!</v>
      </c>
      <c r="W88" s="69" t="e">
        <f t="shared" si="44"/>
        <v>#REF!</v>
      </c>
      <c r="X88" s="69" t="e">
        <f t="shared" si="44"/>
        <v>#REF!</v>
      </c>
      <c r="Y88"/>
      <c r="Z88"/>
      <c r="AA88"/>
      <c r="AB88"/>
      <c r="AC88"/>
      <c r="AD88"/>
      <c r="AE88"/>
      <c r="AF88"/>
      <c r="AG88"/>
      <c r="AH88" s="152"/>
      <c r="AI88" s="157" t="s">
        <v>697</v>
      </c>
      <c r="AJ88" s="277"/>
      <c r="AK88" s="158"/>
      <c r="AL88" s="277"/>
      <c r="AM88" s="277"/>
      <c r="AN88" s="277"/>
      <c r="AO88" s="278"/>
      <c r="AP88" s="146" t="e">
        <f>#REF!+#REF!</f>
        <v>#REF!</v>
      </c>
      <c r="AQ88" s="146" t="e">
        <f>#REF!+#REF!</f>
        <v>#REF!</v>
      </c>
      <c r="AR88" s="146" t="e">
        <f>#REF!+#REF!</f>
        <v>#REF!</v>
      </c>
      <c r="AS88" s="245"/>
      <c r="AT88" s="245"/>
      <c r="AU88" s="146" t="e">
        <f>#REF!+#REF!</f>
        <v>#REF!</v>
      </c>
      <c r="AX88" s="152"/>
      <c r="AY88" s="157" t="s">
        <v>697</v>
      </c>
      <c r="AZ88" s="275"/>
      <c r="BA88" s="158"/>
      <c r="BB88" s="275"/>
      <c r="BC88" s="275"/>
      <c r="BD88" s="275"/>
      <c r="BE88" s="276"/>
      <c r="BF88" s="187" t="e">
        <f>#REF!+#REF!</f>
        <v>#REF!</v>
      </c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5" customFormat="1">
      <c r="A89"/>
      <c r="B89" s="28" t="s">
        <v>168</v>
      </c>
      <c r="C89" s="29" t="s">
        <v>698</v>
      </c>
      <c r="D89" s="29"/>
      <c r="E89" s="29"/>
      <c r="F89" s="28"/>
      <c r="G89" s="28"/>
      <c r="H89" s="28"/>
      <c r="I89" s="65"/>
      <c r="J89" s="28"/>
      <c r="K89" s="66" t="e">
        <f t="shared" ref="K89:Q89" si="46">+K90</f>
        <v>#REF!</v>
      </c>
      <c r="L89" s="66" t="e">
        <f t="shared" si="46"/>
        <v>#REF!</v>
      </c>
      <c r="M89" s="66" t="e">
        <f t="shared" si="46"/>
        <v>#REF!</v>
      </c>
      <c r="N89" s="66" t="e">
        <f t="shared" si="46"/>
        <v>#REF!</v>
      </c>
      <c r="O89" s="66" t="e">
        <f t="shared" si="46"/>
        <v>#REF!</v>
      </c>
      <c r="P89" s="66" t="e">
        <f t="shared" si="46"/>
        <v>#REF!</v>
      </c>
      <c r="Q89" s="66" t="e">
        <f t="shared" si="46"/>
        <v>#REF!</v>
      </c>
      <c r="R89" s="66" t="e">
        <f t="shared" si="45"/>
        <v>#REF!</v>
      </c>
      <c r="S89" s="66"/>
      <c r="T89" s="66"/>
      <c r="U89" s="66" t="e">
        <f>+U90</f>
        <v>#REF!</v>
      </c>
      <c r="V89" s="66" t="e">
        <f>+V90</f>
        <v>#REF!</v>
      </c>
      <c r="W89" s="66" t="e">
        <f>+W90</f>
        <v>#REF!</v>
      </c>
      <c r="X89" s="66" t="e">
        <f>+X90</f>
        <v>#REF!</v>
      </c>
      <c r="Y89"/>
      <c r="Z89"/>
      <c r="AA89"/>
      <c r="AB89"/>
      <c r="AC89"/>
      <c r="AD89"/>
      <c r="AE89"/>
      <c r="AF89"/>
      <c r="AG89"/>
      <c r="AH89" s="147" t="s">
        <v>168</v>
      </c>
      <c r="AI89" s="148" t="s">
        <v>698</v>
      </c>
      <c r="AJ89" s="160"/>
      <c r="AK89" s="160"/>
      <c r="AL89" s="149"/>
      <c r="AM89" s="277"/>
      <c r="AN89" s="277"/>
      <c r="AO89" s="278"/>
      <c r="AP89" s="146">
        <f>AP90+AP91</f>
        <v>0</v>
      </c>
      <c r="AQ89" s="146">
        <f>AQ90+AQ91</f>
        <v>0</v>
      </c>
      <c r="AR89" s="146">
        <f>AR90+AR91</f>
        <v>0</v>
      </c>
      <c r="AS89" s="245"/>
      <c r="AT89" s="245"/>
      <c r="AU89" s="146">
        <f>AU90+AU91</f>
        <v>0</v>
      </c>
      <c r="AX89" s="147" t="s">
        <v>168</v>
      </c>
      <c r="AY89" s="148" t="s">
        <v>698</v>
      </c>
      <c r="AZ89" s="160"/>
      <c r="BA89" s="160"/>
      <c r="BB89" s="149"/>
      <c r="BC89" s="275"/>
      <c r="BD89" s="275"/>
      <c r="BE89" s="276"/>
      <c r="BF89" s="187">
        <f>BF90+BF91</f>
        <v>0</v>
      </c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5" customFormat="1">
      <c r="A90"/>
      <c r="B90" s="31"/>
      <c r="C90" s="30" t="s">
        <v>699</v>
      </c>
      <c r="D90" s="30"/>
      <c r="E90" s="30"/>
      <c r="F90" s="33" t="s">
        <v>813</v>
      </c>
      <c r="G90" s="33">
        <v>311</v>
      </c>
      <c r="H90" s="33"/>
      <c r="I90" s="67">
        <v>1</v>
      </c>
      <c r="J90" s="33"/>
      <c r="K90" s="69" t="e">
        <f>+GETPIVOTDATA("PPEF 2010 ",#REF!,"No. Ramo",15,"IPP","F","PP",2,"UR",311)</f>
        <v>#REF!</v>
      </c>
      <c r="L90" s="69" t="e">
        <f>+GETPIVOTDATA("Ampliación Neta DIP ",#REF!,"No. Ramo",15,"IPP","F","PP",2,"UR",311)</f>
        <v>#REF!</v>
      </c>
      <c r="M90" s="69" t="e">
        <f>+GETPIVOTDATA("Recorte SHCP ",#REF!,"No. Ramo",15,"IPP","F","PP",2,"UR",311)</f>
        <v>#REF!</v>
      </c>
      <c r="N90" s="69" t="e">
        <f>+GETPIVOTDATA("PEF 2010 ",#REF!,"No. Ramo",15,"IPP","F","PP",2,"UR",311)</f>
        <v>#REF!</v>
      </c>
      <c r="O90" s="69" t="e">
        <f>+GETPIVOTDATA("PPEF 2011 ",#REF!,"No. Ramo",15,"IPP","F","PP",2,"UR",311)</f>
        <v>#REF!</v>
      </c>
      <c r="P90" s="69" t="e">
        <f>+GETPIVOTDATA("Reducción ",#REF!,"No. Ramo",15,"IPP","F","PP",2,"UR",311)</f>
        <v>#REF!</v>
      </c>
      <c r="Q90" s="69" t="e">
        <f>+GETPIVOTDATA("Ampliación ",#REF!,"No. Ramo",15,"IPP","F","PP",2,"UR",311)</f>
        <v>#REF!</v>
      </c>
      <c r="R90" s="69" t="e">
        <f t="shared" si="45"/>
        <v>#REF!</v>
      </c>
      <c r="S90" s="69"/>
      <c r="T90" s="69"/>
      <c r="U90" s="69" t="e">
        <f t="shared" ref="U90:X152" si="47">+$I90*O90</f>
        <v>#REF!</v>
      </c>
      <c r="V90" s="69" t="e">
        <f t="shared" si="47"/>
        <v>#REF!</v>
      </c>
      <c r="W90" s="69" t="e">
        <f t="shared" si="47"/>
        <v>#REF!</v>
      </c>
      <c r="X90" s="69" t="e">
        <f t="shared" si="47"/>
        <v>#REF!</v>
      </c>
      <c r="Y90"/>
      <c r="Z90"/>
      <c r="AA90"/>
      <c r="AB90"/>
      <c r="AC90"/>
      <c r="AD90"/>
      <c r="AE90"/>
      <c r="AF90"/>
      <c r="AG90"/>
      <c r="AH90" s="152"/>
      <c r="AI90" s="157" t="s">
        <v>699</v>
      </c>
      <c r="AJ90" s="158"/>
      <c r="AK90" s="158"/>
      <c r="AL90" s="277"/>
      <c r="AM90" s="277"/>
      <c r="AN90" s="277"/>
      <c r="AO90" s="278"/>
      <c r="AP90" s="146"/>
      <c r="AQ90" s="146"/>
      <c r="AR90" s="146"/>
      <c r="AS90" s="245"/>
      <c r="AT90" s="245"/>
      <c r="AU90" s="146"/>
      <c r="AX90" s="152"/>
      <c r="AY90" s="157" t="s">
        <v>699</v>
      </c>
      <c r="AZ90" s="158"/>
      <c r="BA90" s="158"/>
      <c r="BB90" s="275"/>
      <c r="BC90" s="275"/>
      <c r="BD90" s="275"/>
      <c r="BE90" s="276"/>
      <c r="BF90" s="187">
        <f>+AU90</f>
        <v>0</v>
      </c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95" customFormat="1">
      <c r="A91"/>
      <c r="B91" s="31"/>
      <c r="C91" s="30" t="s">
        <v>1034</v>
      </c>
      <c r="D91" s="30"/>
      <c r="E91" s="30"/>
      <c r="F91" s="33"/>
      <c r="G91" s="33"/>
      <c r="H91" s="33"/>
      <c r="I91" s="67"/>
      <c r="J91" s="33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/>
      <c r="Z91"/>
      <c r="AA91"/>
      <c r="AB91"/>
      <c r="AC91"/>
      <c r="AD91"/>
      <c r="AE91"/>
      <c r="AF91"/>
      <c r="AG91"/>
      <c r="AH91" s="152"/>
      <c r="AI91" s="157" t="s">
        <v>1034</v>
      </c>
      <c r="AJ91" s="158"/>
      <c r="AK91" s="158"/>
      <c r="AL91" s="277"/>
      <c r="AM91" s="277"/>
      <c r="AN91" s="277"/>
      <c r="AO91" s="278"/>
      <c r="AP91" s="146"/>
      <c r="AQ91" s="146"/>
      <c r="AR91" s="146"/>
      <c r="AS91" s="245"/>
      <c r="AT91" s="245"/>
      <c r="AU91" s="146"/>
      <c r="AX91" s="152"/>
      <c r="AY91" s="157" t="s">
        <v>1034</v>
      </c>
      <c r="AZ91" s="158"/>
      <c r="BA91" s="158"/>
      <c r="BB91" s="275"/>
      <c r="BC91" s="275"/>
      <c r="BD91" s="275"/>
      <c r="BE91" s="276"/>
      <c r="BF91" s="187">
        <f>+AU91</f>
        <v>0</v>
      </c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5" customFormat="1">
      <c r="A92"/>
      <c r="B92" s="28" t="s">
        <v>168</v>
      </c>
      <c r="C92" s="29" t="s">
        <v>700</v>
      </c>
      <c r="D92" s="29"/>
      <c r="E92" s="29"/>
      <c r="F92" s="28"/>
      <c r="G92" s="28"/>
      <c r="H92" s="28"/>
      <c r="I92" s="65"/>
      <c r="J92" s="28"/>
      <c r="K92" s="66" t="e">
        <f t="shared" ref="K92:Q92" si="48">+K93</f>
        <v>#REF!</v>
      </c>
      <c r="L92" s="66" t="e">
        <f t="shared" si="48"/>
        <v>#REF!</v>
      </c>
      <c r="M92" s="66" t="e">
        <f t="shared" si="48"/>
        <v>#REF!</v>
      </c>
      <c r="N92" s="66" t="e">
        <f t="shared" si="48"/>
        <v>#REF!</v>
      </c>
      <c r="O92" s="66" t="e">
        <f t="shared" si="48"/>
        <v>#REF!</v>
      </c>
      <c r="P92" s="66" t="e">
        <f t="shared" si="48"/>
        <v>#REF!</v>
      </c>
      <c r="Q92" s="66" t="e">
        <f t="shared" si="48"/>
        <v>#REF!</v>
      </c>
      <c r="R92" s="66" t="e">
        <f t="shared" si="45"/>
        <v>#REF!</v>
      </c>
      <c r="S92" s="66"/>
      <c r="T92" s="66"/>
      <c r="U92" s="66" t="e">
        <f>+U93</f>
        <v>#REF!</v>
      </c>
      <c r="V92" s="66" t="e">
        <f>+V93</f>
        <v>#REF!</v>
      </c>
      <c r="W92" s="66" t="e">
        <f>+W93</f>
        <v>#REF!</v>
      </c>
      <c r="X92" s="66" t="e">
        <f>+X93</f>
        <v>#REF!</v>
      </c>
      <c r="Y92"/>
      <c r="Z92"/>
      <c r="AA92"/>
      <c r="AB92"/>
      <c r="AC92"/>
      <c r="AD92"/>
      <c r="AE92"/>
      <c r="AF92"/>
      <c r="AG92"/>
      <c r="AH92" s="147" t="s">
        <v>168</v>
      </c>
      <c r="AI92" s="148" t="s">
        <v>700</v>
      </c>
      <c r="AJ92" s="160"/>
      <c r="AK92" s="160"/>
      <c r="AL92" s="277"/>
      <c r="AM92" s="277"/>
      <c r="AN92" s="277"/>
      <c r="AO92" s="278"/>
      <c r="AP92" s="146">
        <f t="shared" ref="AP92:AU92" si="49">AP93</f>
        <v>0</v>
      </c>
      <c r="AQ92" s="146">
        <f t="shared" si="49"/>
        <v>0</v>
      </c>
      <c r="AR92" s="146">
        <f t="shared" si="49"/>
        <v>0</v>
      </c>
      <c r="AS92" s="245"/>
      <c r="AT92" s="245"/>
      <c r="AU92" s="146">
        <f t="shared" si="49"/>
        <v>0</v>
      </c>
      <c r="AX92" s="147" t="s">
        <v>168</v>
      </c>
      <c r="AY92" s="148" t="s">
        <v>700</v>
      </c>
      <c r="AZ92" s="160"/>
      <c r="BA92" s="160"/>
      <c r="BB92" s="275"/>
      <c r="BC92" s="275"/>
      <c r="BD92" s="275"/>
      <c r="BE92" s="276"/>
      <c r="BF92" s="187">
        <f>BF93</f>
        <v>0</v>
      </c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5" customFormat="1">
      <c r="A93"/>
      <c r="B93" s="31"/>
      <c r="C93" s="30" t="s">
        <v>701</v>
      </c>
      <c r="D93" s="30"/>
      <c r="E93" s="30"/>
      <c r="F93" s="33" t="s">
        <v>814</v>
      </c>
      <c r="G93" s="33" t="s">
        <v>21</v>
      </c>
      <c r="H93" s="33"/>
      <c r="I93" s="67">
        <v>1</v>
      </c>
      <c r="J93" s="33"/>
      <c r="K93" s="69" t="e">
        <f>+GETPIVOTDATA("PPEF 2010 ",#REF!,"No. Ramo",20,"IPP","S","PP",70,"UR","D00")</f>
        <v>#REF!</v>
      </c>
      <c r="L93" s="69" t="e">
        <f>+GETPIVOTDATA("Ampliación Neta DIP ",#REF!,"No. Ramo",20,"IPP","S","PP",70,"UR","D00")</f>
        <v>#REF!</v>
      </c>
      <c r="M93" s="69" t="e">
        <f>+GETPIVOTDATA("Recorte SHCP ",#REF!,"No. Ramo",20,"IPP","S","PP",70,"UR","D00")</f>
        <v>#REF!</v>
      </c>
      <c r="N93" s="69" t="e">
        <f>+GETPIVOTDATA("PEF 2010 ",#REF!,"No. Ramo",20,"IPP","S","PP",70,"UR","D00")</f>
        <v>#REF!</v>
      </c>
      <c r="O93" s="69" t="e">
        <f>+GETPIVOTDATA("PPEF 2011 ",#REF!,"No. Ramo",20,"IPP","S","PP",70,"UR","D00")</f>
        <v>#REF!</v>
      </c>
      <c r="P93" s="69" t="e">
        <f>+GETPIVOTDATA("Reducción ",#REF!,"No. Ramo",20,"IPP","S","PP",70,"UR","D00")</f>
        <v>#REF!</v>
      </c>
      <c r="Q93" s="69" t="e">
        <f>+GETPIVOTDATA("Ampliación ",#REF!,"No. Ramo",20,"IPP","S","PP",70,"UR","D00")</f>
        <v>#REF!</v>
      </c>
      <c r="R93" s="69" t="e">
        <f t="shared" si="45"/>
        <v>#REF!</v>
      </c>
      <c r="S93" s="69"/>
      <c r="T93" s="69"/>
      <c r="U93" s="69" t="e">
        <f t="shared" si="47"/>
        <v>#REF!</v>
      </c>
      <c r="V93" s="69" t="e">
        <f t="shared" si="47"/>
        <v>#REF!</v>
      </c>
      <c r="W93" s="69" t="e">
        <f t="shared" si="47"/>
        <v>#REF!</v>
      </c>
      <c r="X93" s="69" t="e">
        <f t="shared" si="47"/>
        <v>#REF!</v>
      </c>
      <c r="Y93"/>
      <c r="Z93"/>
      <c r="AA93"/>
      <c r="AB93"/>
      <c r="AC93"/>
      <c r="AD93"/>
      <c r="AE93"/>
      <c r="AF93"/>
      <c r="AG93"/>
      <c r="AH93" s="152"/>
      <c r="AI93" s="157" t="s">
        <v>701</v>
      </c>
      <c r="AJ93" s="158"/>
      <c r="AK93" s="158"/>
      <c r="AL93" s="277"/>
      <c r="AM93" s="277"/>
      <c r="AN93" s="277"/>
      <c r="AO93" s="278"/>
      <c r="AP93" s="146"/>
      <c r="AQ93" s="146"/>
      <c r="AR93" s="146"/>
      <c r="AS93" s="245"/>
      <c r="AT93" s="245"/>
      <c r="AU93" s="146"/>
      <c r="AX93" s="152"/>
      <c r="AY93" s="157" t="s">
        <v>701</v>
      </c>
      <c r="AZ93" s="158"/>
      <c r="BA93" s="158"/>
      <c r="BB93" s="275"/>
      <c r="BC93" s="275"/>
      <c r="BD93" s="275"/>
      <c r="BE93" s="276"/>
      <c r="BF93" s="187">
        <f>+AU93</f>
        <v>0</v>
      </c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95" customFormat="1">
      <c r="A94"/>
      <c r="B94" s="28" t="s">
        <v>168</v>
      </c>
      <c r="C94" s="29" t="s">
        <v>702</v>
      </c>
      <c r="D94" s="29"/>
      <c r="E94" s="29"/>
      <c r="F94" s="28"/>
      <c r="G94" s="28"/>
      <c r="H94" s="28"/>
      <c r="I94" s="65"/>
      <c r="J94" s="28"/>
      <c r="K94" s="66" t="e">
        <f t="shared" ref="K94:Q94" si="50">SUM(K95:K96)</f>
        <v>#REF!</v>
      </c>
      <c r="L94" s="66" t="e">
        <f t="shared" si="50"/>
        <v>#REF!</v>
      </c>
      <c r="M94" s="66" t="e">
        <f t="shared" si="50"/>
        <v>#REF!</v>
      </c>
      <c r="N94" s="66" t="e">
        <f t="shared" si="50"/>
        <v>#REF!</v>
      </c>
      <c r="O94" s="66" t="e">
        <f t="shared" si="50"/>
        <v>#REF!</v>
      </c>
      <c r="P94" s="66" t="e">
        <f t="shared" si="50"/>
        <v>#REF!</v>
      </c>
      <c r="Q94" s="66" t="e">
        <f t="shared" si="50"/>
        <v>#REF!</v>
      </c>
      <c r="R94" s="66" t="e">
        <f t="shared" si="45"/>
        <v>#REF!</v>
      </c>
      <c r="S94" s="66"/>
      <c r="T94" s="66"/>
      <c r="U94" s="66" t="e">
        <f>SUM(U95:U96)</f>
        <v>#REF!</v>
      </c>
      <c r="V94" s="66" t="e">
        <f>SUM(V95:V96)</f>
        <v>#REF!</v>
      </c>
      <c r="W94" s="66" t="e">
        <f>SUM(W95:W96)</f>
        <v>#REF!</v>
      </c>
      <c r="X94" s="66" t="e">
        <f>SUM(X95:X96)</f>
        <v>#REF!</v>
      </c>
      <c r="Y94"/>
      <c r="Z94"/>
      <c r="AA94"/>
      <c r="AB94"/>
      <c r="AC94"/>
      <c r="AD94"/>
      <c r="AE94"/>
      <c r="AF94"/>
      <c r="AG94"/>
      <c r="AH94" s="147" t="s">
        <v>168</v>
      </c>
      <c r="AI94" s="148" t="s">
        <v>702</v>
      </c>
      <c r="AJ94" s="160"/>
      <c r="AK94" s="160"/>
      <c r="AL94" s="277"/>
      <c r="AM94" s="277"/>
      <c r="AN94" s="277"/>
      <c r="AO94" s="278"/>
      <c r="AP94" s="146">
        <f t="shared" ref="AP94:AU94" si="51">AP95+AP96</f>
        <v>0</v>
      </c>
      <c r="AQ94" s="146">
        <f t="shared" si="51"/>
        <v>0</v>
      </c>
      <c r="AR94" s="146">
        <f t="shared" si="51"/>
        <v>0</v>
      </c>
      <c r="AS94" s="245"/>
      <c r="AT94" s="245"/>
      <c r="AU94" s="146">
        <f t="shared" si="51"/>
        <v>0</v>
      </c>
      <c r="AX94" s="147" t="s">
        <v>168</v>
      </c>
      <c r="AY94" s="148" t="s">
        <v>702</v>
      </c>
      <c r="AZ94" s="160"/>
      <c r="BA94" s="160"/>
      <c r="BB94" s="275"/>
      <c r="BC94" s="275"/>
      <c r="BD94" s="275"/>
      <c r="BE94" s="276"/>
      <c r="BF94" s="187">
        <f>BF95+BF96</f>
        <v>0</v>
      </c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5" customFormat="1">
      <c r="A95"/>
      <c r="B95" s="31"/>
      <c r="C95" s="30" t="s">
        <v>703</v>
      </c>
      <c r="D95" s="30"/>
      <c r="E95" s="30"/>
      <c r="F95" s="33" t="s">
        <v>815</v>
      </c>
      <c r="G95" s="33">
        <v>100</v>
      </c>
      <c r="H95" s="33"/>
      <c r="I95" s="67">
        <v>1</v>
      </c>
      <c r="J95" s="33"/>
      <c r="K95" s="69" t="e">
        <f>+GETPIVOTDATA("PPEF 2010 ",#REF!,"No. Ramo",40,"IPP","E","PP",2,"UR",100)+GETPIVOTDATA("PPEF 2010 ",#REF!,"No. Ramo",40,"IPP","E","PP",3,"UR",100)</f>
        <v>#REF!</v>
      </c>
      <c r="L95" s="69" t="e">
        <f>+GETPIVOTDATA("Ampliación Neta DIP ",#REF!,"No. Ramo",40,"IPP","E","PP",2,"UR",100)+GETPIVOTDATA("Ampliación Neta DIP ",#REF!,"No. Ramo",40,"IPP","E","PP",3,"UR",100)</f>
        <v>#REF!</v>
      </c>
      <c r="M95" s="69" t="e">
        <f>+GETPIVOTDATA("Recorte SHCP ",#REF!,"No. Ramo",40,"IPP","E","PP",2,"UR",100)+GETPIVOTDATA("Recorte SHCP ",#REF!,"No. Ramo",40,"IPP","E","PP",3,"UR",100)</f>
        <v>#REF!</v>
      </c>
      <c r="N95" s="69" t="e">
        <f>+GETPIVOTDATA("PEF 2010 ",#REF!,"No. Ramo",40,"IPP","E","PP",2,"UR",100)+GETPIVOTDATA("PEF 2010 ",#REF!,"No. Ramo",40,"IPP","E","PP",3,"UR",100)</f>
        <v>#REF!</v>
      </c>
      <c r="O95" s="69" t="e">
        <f>+GETPIVOTDATA("PPEF 2011 ",#REF!,"No. Ramo",40,"IPP","E","PP",2,"UR",100)+GETPIVOTDATA("PPEF 2011 ",#REF!,"No. Ramo",40,"IPP","E","PP",3,"UR",100)</f>
        <v>#REF!</v>
      </c>
      <c r="P95" s="69" t="e">
        <f>+GETPIVOTDATA("Reducción ",#REF!,"No. Ramo",40,"IPP","E","PP",2,"UR",100)+GETPIVOTDATA("Reducción ",#REF!,"No. Ramo",40,"IPP","E","PP",3,"UR",100)</f>
        <v>#REF!</v>
      </c>
      <c r="Q95" s="69" t="e">
        <f>+GETPIVOTDATA("Ampliación ",#REF!,"No. Ramo",40,"IPP","E","PP",2,"UR",100)+GETPIVOTDATA("Ampliación ",#REF!,"No. Ramo",40,"IPP","E","PP",3,"UR",100)</f>
        <v>#REF!</v>
      </c>
      <c r="R95" s="69" t="e">
        <f t="shared" si="45"/>
        <v>#REF!</v>
      </c>
      <c r="S95" s="69"/>
      <c r="T95" s="69"/>
      <c r="U95" s="69" t="e">
        <f t="shared" si="47"/>
        <v>#REF!</v>
      </c>
      <c r="V95" s="69" t="e">
        <f t="shared" si="47"/>
        <v>#REF!</v>
      </c>
      <c r="W95" s="69" t="e">
        <f t="shared" si="47"/>
        <v>#REF!</v>
      </c>
      <c r="X95" s="69" t="e">
        <f t="shared" si="47"/>
        <v>#REF!</v>
      </c>
      <c r="Y95"/>
      <c r="Z95"/>
      <c r="AA95"/>
      <c r="AB95"/>
      <c r="AC95"/>
      <c r="AD95"/>
      <c r="AE95"/>
      <c r="AF95"/>
      <c r="AG95"/>
      <c r="AH95" s="152"/>
      <c r="AI95" s="157" t="s">
        <v>703</v>
      </c>
      <c r="AJ95" s="158"/>
      <c r="AK95" s="158"/>
      <c r="AL95" s="277"/>
      <c r="AM95" s="277"/>
      <c r="AN95" s="277"/>
      <c r="AO95" s="278"/>
      <c r="AP95" s="146"/>
      <c r="AQ95" s="146"/>
      <c r="AR95" s="146"/>
      <c r="AS95" s="245"/>
      <c r="AT95" s="245"/>
      <c r="AU95" s="146"/>
      <c r="AX95" s="152"/>
      <c r="AY95" s="157" t="s">
        <v>703</v>
      </c>
      <c r="AZ95" s="158"/>
      <c r="BA95" s="158"/>
      <c r="BB95" s="275"/>
      <c r="BC95" s="275"/>
      <c r="BD95" s="275"/>
      <c r="BE95" s="276"/>
      <c r="BF95" s="187">
        <f>+AU95</f>
        <v>0</v>
      </c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5" customFormat="1">
      <c r="A96"/>
      <c r="B96" s="31"/>
      <c r="C96" s="30" t="s">
        <v>500</v>
      </c>
      <c r="D96" s="30"/>
      <c r="E96" s="30"/>
      <c r="F96" s="33" t="s">
        <v>816</v>
      </c>
      <c r="G96" s="33">
        <v>100</v>
      </c>
      <c r="H96" s="33"/>
      <c r="I96" s="67">
        <v>1</v>
      </c>
      <c r="J96" s="33"/>
      <c r="K96" s="79" t="e">
        <f>+GETPIVOTDATA("PPEF 2010 ",#REF!,"No. Ramo",40,"IPP","E","PP",1,"UR",100)</f>
        <v>#REF!</v>
      </c>
      <c r="L96" s="79" t="e">
        <f>+GETPIVOTDATA("Ampliación Neta DIP ",#REF!,"No. Ramo",40,"IPP","E","PP",1,"UR",100)</f>
        <v>#REF!</v>
      </c>
      <c r="M96" s="79" t="e">
        <f>+GETPIVOTDATA("Recorte SHCP ",#REF!,"No. Ramo",40,"IPP","E","PP",1,"UR",100)</f>
        <v>#REF!</v>
      </c>
      <c r="N96" s="79" t="e">
        <f>+GETPIVOTDATA("PEF 2010 ",#REF!,"No. Ramo",40,"IPP","E","PP",1,"UR",100)</f>
        <v>#REF!</v>
      </c>
      <c r="O96" s="79" t="e">
        <f>+GETPIVOTDATA("PPEF 2011 ",#REF!,"No. Ramo",40,"IPP","E","PP",1,"UR",100)</f>
        <v>#REF!</v>
      </c>
      <c r="P96" s="79" t="e">
        <f>+GETPIVOTDATA("Reducción ",#REF!,"No. Ramo",40,"IPP","E","PP",1,"UR",100)</f>
        <v>#REF!</v>
      </c>
      <c r="Q96" s="79" t="e">
        <f>+GETPIVOTDATA("Ampliación ",#REF!,"No. Ramo",40,"IPP","E","PP",1,"UR",100)</f>
        <v>#REF!</v>
      </c>
      <c r="R96" s="69" t="e">
        <f t="shared" si="45"/>
        <v>#REF!</v>
      </c>
      <c r="S96" s="69"/>
      <c r="T96" s="69"/>
      <c r="U96" s="69" t="e">
        <f t="shared" si="47"/>
        <v>#REF!</v>
      </c>
      <c r="V96" s="69" t="e">
        <f t="shared" si="47"/>
        <v>#REF!</v>
      </c>
      <c r="W96" s="69" t="e">
        <f t="shared" si="47"/>
        <v>#REF!</v>
      </c>
      <c r="X96" s="79" t="e">
        <f t="shared" si="47"/>
        <v>#REF!</v>
      </c>
      <c r="Y96"/>
      <c r="Z96"/>
      <c r="AA96"/>
      <c r="AB96"/>
      <c r="AC96"/>
      <c r="AD96"/>
      <c r="AE96"/>
      <c r="AF96"/>
      <c r="AG96"/>
      <c r="AH96" s="152"/>
      <c r="AI96" s="157" t="s">
        <v>500</v>
      </c>
      <c r="AJ96" s="158"/>
      <c r="AK96" s="158"/>
      <c r="AL96" s="277"/>
      <c r="AM96" s="277"/>
      <c r="AN96" s="277"/>
      <c r="AO96" s="278"/>
      <c r="AP96" s="146"/>
      <c r="AQ96" s="146"/>
      <c r="AR96" s="146"/>
      <c r="AS96" s="245"/>
      <c r="AT96" s="245"/>
      <c r="AU96" s="146"/>
      <c r="AX96" s="152"/>
      <c r="AY96" s="157" t="s">
        <v>500</v>
      </c>
      <c r="AZ96" s="158"/>
      <c r="BA96" s="158"/>
      <c r="BB96" s="275"/>
      <c r="BC96" s="275"/>
      <c r="BD96" s="275"/>
      <c r="BE96" s="276"/>
      <c r="BF96" s="187">
        <f>+AU96</f>
        <v>0</v>
      </c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5" customFormat="1">
      <c r="A97" s="122">
        <v>1</v>
      </c>
      <c r="B97" s="26"/>
      <c r="C97" s="27" t="s">
        <v>704</v>
      </c>
      <c r="D97" s="34"/>
      <c r="E97" s="34"/>
      <c r="F97" s="85"/>
      <c r="G97" s="85"/>
      <c r="H97" s="85"/>
      <c r="I97" s="86"/>
      <c r="J97" s="85"/>
      <c r="K97" s="63" t="e">
        <f t="shared" ref="K97:Q97" si="52">+K98</f>
        <v>#REF!</v>
      </c>
      <c r="L97" s="63" t="e">
        <f t="shared" si="52"/>
        <v>#REF!</v>
      </c>
      <c r="M97" s="63" t="e">
        <f t="shared" si="52"/>
        <v>#REF!</v>
      </c>
      <c r="N97" s="63" t="e">
        <f t="shared" si="52"/>
        <v>#REF!</v>
      </c>
      <c r="O97" s="63" t="e">
        <f t="shared" si="52"/>
        <v>#REF!</v>
      </c>
      <c r="P97" s="63" t="e">
        <f t="shared" si="52"/>
        <v>#REF!</v>
      </c>
      <c r="Q97" s="63" t="e">
        <f t="shared" si="52"/>
        <v>#REF!</v>
      </c>
      <c r="R97" s="63" t="e">
        <f t="shared" si="45"/>
        <v>#REF!</v>
      </c>
      <c r="S97" s="63"/>
      <c r="T97" s="63"/>
      <c r="U97" s="63" t="e">
        <f>+U98</f>
        <v>#REF!</v>
      </c>
      <c r="V97" s="63" t="e">
        <f>+V98</f>
        <v>#REF!</v>
      </c>
      <c r="W97" s="63" t="e">
        <f>+W98</f>
        <v>#REF!</v>
      </c>
      <c r="X97" s="63" t="e">
        <f>+X98</f>
        <v>#REF!</v>
      </c>
      <c r="Y97"/>
      <c r="Z97"/>
      <c r="AA97"/>
      <c r="AB97"/>
      <c r="AC97"/>
      <c r="AD97"/>
      <c r="AE97"/>
      <c r="AF97"/>
      <c r="AG97"/>
      <c r="AH97" s="147"/>
      <c r="AI97" s="148" t="s">
        <v>704</v>
      </c>
      <c r="AJ97" s="165"/>
      <c r="AK97" s="165"/>
      <c r="AL97" s="166"/>
      <c r="AM97" s="277"/>
      <c r="AN97" s="277"/>
      <c r="AO97" s="278"/>
      <c r="AP97" s="146" t="e">
        <f>AP98</f>
        <v>#REF!</v>
      </c>
      <c r="AQ97" s="146" t="e">
        <f>AQ98</f>
        <v>#REF!</v>
      </c>
      <c r="AR97" s="146" t="e">
        <f>AR98</f>
        <v>#REF!</v>
      </c>
      <c r="AS97" s="245"/>
      <c r="AT97" s="245"/>
      <c r="AU97" s="146" t="e">
        <f>AU98</f>
        <v>#REF!</v>
      </c>
      <c r="AX97" s="147"/>
      <c r="AY97" s="148" t="s">
        <v>704</v>
      </c>
      <c r="AZ97" s="165"/>
      <c r="BA97" s="165"/>
      <c r="BB97" s="166"/>
      <c r="BC97" s="275"/>
      <c r="BD97" s="275"/>
      <c r="BE97" s="276"/>
      <c r="BF97" s="187" t="e">
        <f>BF98</f>
        <v>#REF!</v>
      </c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5" customFormat="1">
      <c r="A98" s="122">
        <v>1</v>
      </c>
      <c r="B98" s="28" t="s">
        <v>168</v>
      </c>
      <c r="C98" s="29" t="s">
        <v>660</v>
      </c>
      <c r="D98" s="29"/>
      <c r="E98" s="29"/>
      <c r="F98" s="28"/>
      <c r="G98" s="28"/>
      <c r="H98" s="28"/>
      <c r="I98" s="65"/>
      <c r="J98" s="28"/>
      <c r="K98" s="66" t="e">
        <f t="shared" ref="K98:Q98" si="53">+K99+K100+K101+K102</f>
        <v>#REF!</v>
      </c>
      <c r="L98" s="66" t="e">
        <f t="shared" si="53"/>
        <v>#REF!</v>
      </c>
      <c r="M98" s="66" t="e">
        <f t="shared" si="53"/>
        <v>#REF!</v>
      </c>
      <c r="N98" s="66" t="e">
        <f t="shared" si="53"/>
        <v>#REF!</v>
      </c>
      <c r="O98" s="66" t="e">
        <f t="shared" si="53"/>
        <v>#REF!</v>
      </c>
      <c r="P98" s="66" t="e">
        <f t="shared" si="53"/>
        <v>#REF!</v>
      </c>
      <c r="Q98" s="66" t="e">
        <f t="shared" si="53"/>
        <v>#REF!</v>
      </c>
      <c r="R98" s="66" t="e">
        <f t="shared" si="45"/>
        <v>#REF!</v>
      </c>
      <c r="S98" s="66"/>
      <c r="T98" s="66"/>
      <c r="U98" s="66" t="e">
        <f>+U99+U100+U101+U102</f>
        <v>#REF!</v>
      </c>
      <c r="V98" s="66" t="e">
        <f>+V99+V100+V101+V102</f>
        <v>#REF!</v>
      </c>
      <c r="W98" s="66" t="e">
        <f>+W99+W100+W101+W102</f>
        <v>#REF!</v>
      </c>
      <c r="X98" s="66" t="e">
        <f>+X99+X100+X101+X102</f>
        <v>#REF!</v>
      </c>
      <c r="Y98"/>
      <c r="Z98"/>
      <c r="AA98"/>
      <c r="AB98"/>
      <c r="AC98"/>
      <c r="AD98"/>
      <c r="AE98"/>
      <c r="AF98"/>
      <c r="AG98"/>
      <c r="AH98" s="147" t="s">
        <v>168</v>
      </c>
      <c r="AI98" s="148" t="s">
        <v>660</v>
      </c>
      <c r="AJ98" s="160"/>
      <c r="AK98" s="160"/>
      <c r="AL98" s="149"/>
      <c r="AM98" s="277"/>
      <c r="AN98" s="277"/>
      <c r="AO98" s="278"/>
      <c r="AP98" s="146" t="e">
        <f>AP99+AP100+AP101+AP102</f>
        <v>#REF!</v>
      </c>
      <c r="AQ98" s="146" t="e">
        <f>AQ99+AQ100+AQ101+AQ102</f>
        <v>#REF!</v>
      </c>
      <c r="AR98" s="146" t="e">
        <f>AR99+AR100+AR101+AR102</f>
        <v>#REF!</v>
      </c>
      <c r="AS98" s="245"/>
      <c r="AT98" s="245"/>
      <c r="AU98" s="146" t="e">
        <f>AU99+AU100+AU101+AU102</f>
        <v>#REF!</v>
      </c>
      <c r="AX98" s="147" t="s">
        <v>168</v>
      </c>
      <c r="AY98" s="148" t="s">
        <v>660</v>
      </c>
      <c r="AZ98" s="160"/>
      <c r="BA98" s="160"/>
      <c r="BB98" s="149"/>
      <c r="BC98" s="275"/>
      <c r="BD98" s="275"/>
      <c r="BE98" s="276"/>
      <c r="BF98" s="187" t="e">
        <f>BF99+BF100+BF101+BF102</f>
        <v>#REF!</v>
      </c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5" customFormat="1">
      <c r="A99" s="122">
        <v>1</v>
      </c>
      <c r="B99" s="31"/>
      <c r="C99" s="30" t="s">
        <v>705</v>
      </c>
      <c r="D99" s="30"/>
      <c r="E99" s="30"/>
      <c r="F99" s="33" t="s">
        <v>817</v>
      </c>
      <c r="G99" s="33" t="s">
        <v>37</v>
      </c>
      <c r="H99" s="33"/>
      <c r="I99" s="67">
        <v>1</v>
      </c>
      <c r="J99" s="33"/>
      <c r="K99" s="69" t="e">
        <f>+GETPIVOTDATA("PPEF 2010 ",#REF!,"No. Ramo",8,"IPP","U","PP",17,"UR","G00")</f>
        <v>#REF!</v>
      </c>
      <c r="L99" s="69" t="e">
        <f>+GETPIVOTDATA("Ampliación Neta DIP ",#REF!,"No. Ramo",8,"IPP","U","PP",17,"UR","G00")</f>
        <v>#REF!</v>
      </c>
      <c r="M99" s="69" t="e">
        <f>+GETPIVOTDATA("Recorte SHCP ",#REF!,"No. Ramo",8,"IPP","U","PP",17,"UR","G00")</f>
        <v>#REF!</v>
      </c>
      <c r="N99" s="69" t="e">
        <f>+GETPIVOTDATA("PEF 2010 ",#REF!,"No. Ramo",8,"IPP","U","PP",17,"UR","G00")</f>
        <v>#REF!</v>
      </c>
      <c r="O99" s="69" t="e">
        <f>+GETPIVOTDATA("PPEF 2011 ",#REF!,"No. Ramo",8,"IPP","U","PP",17,"UR","G00")</f>
        <v>#REF!</v>
      </c>
      <c r="P99" s="69" t="e">
        <f>+GETPIVOTDATA("Reducción ",#REF!,"No. Ramo",8,"IPP","U","PP",17,"UR","G00")</f>
        <v>#REF!</v>
      </c>
      <c r="Q99" s="69" t="e">
        <f>+GETPIVOTDATA("Ampliación ",#REF!,"No. Ramo",8,"IPP","U","PP",17,"UR","G00")</f>
        <v>#REF!</v>
      </c>
      <c r="R99" s="69" t="e">
        <f t="shared" si="45"/>
        <v>#REF!</v>
      </c>
      <c r="S99" s="69"/>
      <c r="T99" s="69"/>
      <c r="U99" s="69" t="e">
        <f t="shared" si="47"/>
        <v>#REF!</v>
      </c>
      <c r="V99" s="69" t="e">
        <f t="shared" si="47"/>
        <v>#REF!</v>
      </c>
      <c r="W99" s="69" t="e">
        <f t="shared" si="47"/>
        <v>#REF!</v>
      </c>
      <c r="X99" s="69" t="e">
        <f t="shared" si="47"/>
        <v>#REF!</v>
      </c>
      <c r="Y99"/>
      <c r="Z99"/>
      <c r="AA99"/>
      <c r="AB99"/>
      <c r="AC99"/>
      <c r="AD99"/>
      <c r="AE99"/>
      <c r="AF99"/>
      <c r="AG99"/>
      <c r="AH99" s="152"/>
      <c r="AI99" s="157" t="s">
        <v>705</v>
      </c>
      <c r="AJ99" s="158"/>
      <c r="AK99" s="158"/>
      <c r="AL99" s="277"/>
      <c r="AM99" s="277"/>
      <c r="AN99" s="277"/>
      <c r="AO99" s="278"/>
      <c r="AP99" s="146"/>
      <c r="AQ99" s="146"/>
      <c r="AR99" s="146"/>
      <c r="AS99" s="245"/>
      <c r="AT99" s="245"/>
      <c r="AU99" s="146"/>
      <c r="AX99" s="152"/>
      <c r="AY99" s="157" t="s">
        <v>705</v>
      </c>
      <c r="AZ99" s="158"/>
      <c r="BA99" s="158"/>
      <c r="BB99" s="275"/>
      <c r="BC99" s="275"/>
      <c r="BD99" s="275"/>
      <c r="BE99" s="276"/>
      <c r="BF99" s="187">
        <f>+AU99</f>
        <v>0</v>
      </c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95" customFormat="1">
      <c r="A100" s="122">
        <v>1</v>
      </c>
      <c r="B100" s="31"/>
      <c r="C100" s="30" t="s">
        <v>706</v>
      </c>
      <c r="D100" s="30"/>
      <c r="E100" s="30"/>
      <c r="F100" s="33" t="s">
        <v>818</v>
      </c>
      <c r="G100" s="33" t="s">
        <v>18</v>
      </c>
      <c r="H100" s="33"/>
      <c r="I100" s="67">
        <v>1</v>
      </c>
      <c r="J100" s="87">
        <v>2.8772611387641089E-2</v>
      </c>
      <c r="K100" s="69" t="e">
        <f>+GETPIVOTDATA("PPEF 2010 ",#REF!,"No. Ramo",8,"IPP","S","PP",232,"UR","F00")*$J100+GETPIVOTDATA("PPEF 2010 ",#REF!,"No. Ramo",8,"IPP","E","PP",8,"UR","F00")</f>
        <v>#REF!</v>
      </c>
      <c r="L100" s="69" t="e">
        <f>+GETPIVOTDATA("Ampliación Neta DIP ",#REF!,"No. Ramo",8,"IPP","S","PP",232,"UR","F00")*$J100+GETPIVOTDATA("Ampliación Neta DIP ",#REF!,"No. Ramo",8,"IPP","E","PP",8,"UR","F00")</f>
        <v>#REF!</v>
      </c>
      <c r="M100" s="69" t="e">
        <f>+GETPIVOTDATA("Recorte SHCP ",#REF!,"No. Ramo",8,"IPP","S","PP",232,"UR","F00")*$J100+GETPIVOTDATA("Recorte SHCP ",#REF!,"No. Ramo",8,"IPP","E","PP",8,"UR","F00")</f>
        <v>#REF!</v>
      </c>
      <c r="N100" s="69" t="e">
        <f>+GETPIVOTDATA("PEF 2010 ",#REF!,"No. Ramo",8,"IPP","S","PP",232,"UR","F00")*$J100+GETPIVOTDATA("PEF 2010 ",#REF!,"No. Ramo",8,"IPP","E","PP",8,"UR","F00")</f>
        <v>#REF!</v>
      </c>
      <c r="O100" s="69" t="e">
        <f>+GETPIVOTDATA("PPEF 2011 ",#REF!,"No. Ramo",8,"IPP","S","PP",232,"UR","F00")*$J100+GETPIVOTDATA("PPEF 2011 ",#REF!,"No. Ramo",8,"IPP","E","PP",8,"UR","F00")</f>
        <v>#REF!</v>
      </c>
      <c r="P100" s="69" t="e">
        <f>+GETPIVOTDATA("Reducción ",#REF!,"No. Ramo",8,"IPP","S","PP",232,"UR","F00")*$J100+GETPIVOTDATA("Reducción ",#REF!,"No. Ramo",8,"IPP","E","PP",8,"UR","F00")</f>
        <v>#REF!</v>
      </c>
      <c r="Q100" s="69" t="e">
        <f>+GETPIVOTDATA("Ampliación ",#REF!,"No. Ramo",8,"IPP","S","PP",232,"UR","F00")*$J100+GETPIVOTDATA("Ampliación ",#REF!,"No. Ramo",8,"IPP","E","PP",8,"UR","F00")</f>
        <v>#REF!</v>
      </c>
      <c r="R100" s="69" t="e">
        <f t="shared" si="45"/>
        <v>#REF!</v>
      </c>
      <c r="S100" s="69"/>
      <c r="T100" s="69"/>
      <c r="U100" s="69" t="e">
        <f t="shared" si="47"/>
        <v>#REF!</v>
      </c>
      <c r="V100" s="69" t="e">
        <f t="shared" si="47"/>
        <v>#REF!</v>
      </c>
      <c r="W100" s="69" t="e">
        <f t="shared" si="47"/>
        <v>#REF!</v>
      </c>
      <c r="X100" s="69" t="e">
        <f t="shared" si="47"/>
        <v>#REF!</v>
      </c>
      <c r="Y100" s="1"/>
      <c r="Z100"/>
      <c r="AA100"/>
      <c r="AB100"/>
      <c r="AC100"/>
      <c r="AD100"/>
      <c r="AE100"/>
      <c r="AF100"/>
      <c r="AG100"/>
      <c r="AH100" s="152"/>
      <c r="AI100" s="157" t="s">
        <v>706</v>
      </c>
      <c r="AJ100" s="158"/>
      <c r="AK100" s="158"/>
      <c r="AL100" s="277"/>
      <c r="AM100" s="277"/>
      <c r="AN100" s="277"/>
      <c r="AO100" s="278"/>
      <c r="AP100" s="146" t="e">
        <f>#REF!+#REF!</f>
        <v>#REF!</v>
      </c>
      <c r="AQ100" s="146" t="e">
        <f>#REF!+#REF!</f>
        <v>#REF!</v>
      </c>
      <c r="AR100" s="146" t="e">
        <f>#REF!+#REF!</f>
        <v>#REF!</v>
      </c>
      <c r="AS100" s="245"/>
      <c r="AT100" s="245"/>
      <c r="AU100" s="146" t="e">
        <f>#REF!+#REF!</f>
        <v>#REF!</v>
      </c>
      <c r="AX100" s="152"/>
      <c r="AY100" s="157" t="s">
        <v>706</v>
      </c>
      <c r="AZ100" s="158"/>
      <c r="BA100" s="158"/>
      <c r="BB100" s="275"/>
      <c r="BC100" s="275"/>
      <c r="BD100" s="275"/>
      <c r="BE100" s="276"/>
      <c r="BF100" s="187" t="e">
        <f>#REF!+#REF!</f>
        <v>#REF!</v>
      </c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5" customFormat="1">
      <c r="A101" s="122">
        <v>1</v>
      </c>
      <c r="B101" s="31"/>
      <c r="C101" s="30" t="s">
        <v>707</v>
      </c>
      <c r="D101" s="30"/>
      <c r="E101" s="30"/>
      <c r="F101" s="33" t="s">
        <v>819</v>
      </c>
      <c r="G101" s="33">
        <v>212</v>
      </c>
      <c r="H101" s="33"/>
      <c r="I101" s="67">
        <v>1</v>
      </c>
      <c r="J101" s="33"/>
      <c r="K101" s="69" t="e">
        <f>+GETPIVOTDATA("PPEF 2010 ",#REF!,"No. Ramo",8,"IPP","E","PP",9,"UR",212)</f>
        <v>#REF!</v>
      </c>
      <c r="L101" s="69" t="e">
        <f>+GETPIVOTDATA("Ampliación Neta DIP ",#REF!,"No. Ramo",8,"IPP","E","PP",9,"UR",212)</f>
        <v>#REF!</v>
      </c>
      <c r="M101" s="69" t="e">
        <f>+GETPIVOTDATA("Recorte SHCP ",#REF!,"No. Ramo",8,"IPP","E","PP",9,"UR",212)</f>
        <v>#REF!</v>
      </c>
      <c r="N101" s="69" t="e">
        <f>+GETPIVOTDATA("PEF 2010 ",#REF!,"No. Ramo",8,"IPP","E","PP",9,"UR",212)</f>
        <v>#REF!</v>
      </c>
      <c r="O101" s="69" t="e">
        <f>+GETPIVOTDATA("PPEF 2011 ",#REF!,"No. Ramo",8,"IPP","E","PP",9,"UR",212)</f>
        <v>#REF!</v>
      </c>
      <c r="P101" s="69" t="e">
        <f>+GETPIVOTDATA("Reducción ",#REF!,"No. Ramo",8,"IPP","E","PP",9,"UR",212)</f>
        <v>#REF!</v>
      </c>
      <c r="Q101" s="69" t="e">
        <f>+GETPIVOTDATA("Ampliación ",#REF!,"No. Ramo",8,"IPP","E","PP",9,"UR",212)</f>
        <v>#REF!</v>
      </c>
      <c r="R101" s="69" t="e">
        <f t="shared" si="45"/>
        <v>#REF!</v>
      </c>
      <c r="S101" s="69"/>
      <c r="T101" s="69"/>
      <c r="U101" s="69" t="e">
        <f t="shared" si="47"/>
        <v>#REF!</v>
      </c>
      <c r="V101" s="69" t="e">
        <f t="shared" si="47"/>
        <v>#REF!</v>
      </c>
      <c r="W101" s="69" t="e">
        <f t="shared" si="47"/>
        <v>#REF!</v>
      </c>
      <c r="X101" s="69" t="e">
        <f t="shared" si="47"/>
        <v>#REF!</v>
      </c>
      <c r="Y101"/>
      <c r="Z101"/>
      <c r="AA101"/>
      <c r="AB101"/>
      <c r="AC101"/>
      <c r="AD101"/>
      <c r="AE101"/>
      <c r="AF101"/>
      <c r="AG101"/>
      <c r="AH101" s="152"/>
      <c r="AI101" s="157" t="s">
        <v>707</v>
      </c>
      <c r="AJ101" s="158"/>
      <c r="AK101" s="158"/>
      <c r="AL101" s="277"/>
      <c r="AM101" s="277"/>
      <c r="AN101" s="277"/>
      <c r="AO101" s="278"/>
      <c r="AP101" s="146" t="e">
        <f>#REF!+#REF!+#REF!</f>
        <v>#REF!</v>
      </c>
      <c r="AQ101" s="146" t="e">
        <f>#REF!+#REF!+#REF!</f>
        <v>#REF!</v>
      </c>
      <c r="AR101" s="146" t="e">
        <f>#REF!+#REF!+#REF!</f>
        <v>#REF!</v>
      </c>
      <c r="AS101" s="245"/>
      <c r="AT101" s="245"/>
      <c r="AU101" s="146" t="e">
        <f>#REF!+#REF!+#REF!</f>
        <v>#REF!</v>
      </c>
      <c r="AX101" s="152"/>
      <c r="AY101" s="157" t="s">
        <v>707</v>
      </c>
      <c r="AZ101" s="158"/>
      <c r="BA101" s="158"/>
      <c r="BB101" s="275"/>
      <c r="BC101" s="275"/>
      <c r="BD101" s="275"/>
      <c r="BE101" s="276"/>
      <c r="BF101" s="187" t="e">
        <f>#REF!+#REF!+#REF!</f>
        <v>#REF!</v>
      </c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5" customFormat="1">
      <c r="A102" s="122">
        <v>1</v>
      </c>
      <c r="B102" s="31"/>
      <c r="C102" s="30" t="s">
        <v>708</v>
      </c>
      <c r="D102" s="30"/>
      <c r="E102" s="30"/>
      <c r="F102" s="33" t="s">
        <v>820</v>
      </c>
      <c r="G102" s="33">
        <v>210</v>
      </c>
      <c r="H102" s="33"/>
      <c r="I102" s="67">
        <v>1</v>
      </c>
      <c r="J102" s="33"/>
      <c r="K102" s="69" t="e">
        <f>+GETPIVOTDATA("PPEF 2010 ",#REF!,"No. Ramo",8,"IPP","E","PP",10,"UR",210)</f>
        <v>#REF!</v>
      </c>
      <c r="L102" s="69" t="e">
        <f>+GETPIVOTDATA("Ampliación Neta DIP ",#REF!,"No. Ramo",8,"IPP","E","PP",10,"UR",210)</f>
        <v>#REF!</v>
      </c>
      <c r="M102" s="69" t="e">
        <f>+GETPIVOTDATA("Recorte SHCP ",#REF!,"No. Ramo",8,"IPP","E","PP",10,"UR",210)</f>
        <v>#REF!</v>
      </c>
      <c r="N102" s="69" t="e">
        <f>+GETPIVOTDATA("PEF 2010 ",#REF!,"No. Ramo",8,"IPP","E","PP",10,"UR",210)</f>
        <v>#REF!</v>
      </c>
      <c r="O102" s="69" t="e">
        <f>+GETPIVOTDATA("PPEF 2011 ",#REF!,"No. Ramo",8,"IPP","E","PP",10,"UR",210)</f>
        <v>#REF!</v>
      </c>
      <c r="P102" s="69" t="e">
        <f>+GETPIVOTDATA("Reducción ",#REF!,"No. Ramo",8,"IPP","E","PP",10,"UR",210)</f>
        <v>#REF!</v>
      </c>
      <c r="Q102" s="69" t="e">
        <f>+GETPIVOTDATA("Ampliación ",#REF!,"No. Ramo",8,"IPP","E","PP",10,"UR",210)</f>
        <v>#REF!</v>
      </c>
      <c r="R102" s="69" t="e">
        <f t="shared" si="45"/>
        <v>#REF!</v>
      </c>
      <c r="S102" s="69"/>
      <c r="T102" s="69"/>
      <c r="U102" s="69" t="e">
        <f t="shared" si="47"/>
        <v>#REF!</v>
      </c>
      <c r="V102" s="69" t="e">
        <f t="shared" si="47"/>
        <v>#REF!</v>
      </c>
      <c r="W102" s="69" t="e">
        <f t="shared" si="47"/>
        <v>#REF!</v>
      </c>
      <c r="X102" s="69" t="e">
        <f t="shared" si="47"/>
        <v>#REF!</v>
      </c>
      <c r="Y102"/>
      <c r="Z102"/>
      <c r="AA102"/>
      <c r="AB102"/>
      <c r="AC102"/>
      <c r="AD102"/>
      <c r="AE102"/>
      <c r="AF102"/>
      <c r="AG102"/>
      <c r="AH102" s="152"/>
      <c r="AI102" s="157" t="s">
        <v>708</v>
      </c>
      <c r="AJ102" s="158"/>
      <c r="AK102" s="158"/>
      <c r="AL102" s="277"/>
      <c r="AM102" s="277"/>
      <c r="AN102" s="277"/>
      <c r="AO102" s="278"/>
      <c r="AP102" s="146" t="e">
        <f>#REF!+#REF!</f>
        <v>#REF!</v>
      </c>
      <c r="AQ102" s="146" t="e">
        <f>#REF!+#REF!</f>
        <v>#REF!</v>
      </c>
      <c r="AR102" s="146" t="e">
        <f>#REF!+#REF!</f>
        <v>#REF!</v>
      </c>
      <c r="AS102" s="245"/>
      <c r="AT102" s="245"/>
      <c r="AU102" s="146" t="e">
        <f>#REF!+#REF!</f>
        <v>#REF!</v>
      </c>
      <c r="AX102" s="152"/>
      <c r="AY102" s="157" t="s">
        <v>708</v>
      </c>
      <c r="AZ102" s="158"/>
      <c r="BA102" s="158"/>
      <c r="BB102" s="275"/>
      <c r="BC102" s="275"/>
      <c r="BD102" s="275"/>
      <c r="BE102" s="276"/>
      <c r="BF102" s="187" t="e">
        <f>#REF!+#REF!</f>
        <v>#REF!</v>
      </c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95" customFormat="1">
      <c r="A103" s="122">
        <v>1</v>
      </c>
      <c r="B103" s="26"/>
      <c r="C103" s="27" t="s">
        <v>709</v>
      </c>
      <c r="D103" s="27"/>
      <c r="E103" s="27"/>
      <c r="F103" s="61"/>
      <c r="G103" s="61"/>
      <c r="H103" s="61"/>
      <c r="I103" s="62"/>
      <c r="J103" s="61"/>
      <c r="K103" s="63" t="e">
        <f t="shared" ref="K103:Q103" si="54">+K104+K117</f>
        <v>#REF!</v>
      </c>
      <c r="L103" s="63" t="e">
        <f t="shared" si="54"/>
        <v>#REF!</v>
      </c>
      <c r="M103" s="63" t="e">
        <f t="shared" si="54"/>
        <v>#REF!</v>
      </c>
      <c r="N103" s="63" t="e">
        <f t="shared" si="54"/>
        <v>#REF!</v>
      </c>
      <c r="O103" s="63" t="e">
        <f t="shared" si="54"/>
        <v>#REF!</v>
      </c>
      <c r="P103" s="63" t="e">
        <f t="shared" si="54"/>
        <v>#REF!</v>
      </c>
      <c r="Q103" s="63" t="e">
        <f t="shared" si="54"/>
        <v>#REF!</v>
      </c>
      <c r="R103" s="63" t="e">
        <f t="shared" si="45"/>
        <v>#REF!</v>
      </c>
      <c r="S103" s="63"/>
      <c r="T103" s="63"/>
      <c r="U103" s="63" t="e">
        <f>+U104+U117</f>
        <v>#REF!</v>
      </c>
      <c r="V103" s="63" t="e">
        <f>+V104+V117</f>
        <v>#REF!</v>
      </c>
      <c r="W103" s="63" t="e">
        <f>+W104+W117</f>
        <v>#REF!</v>
      </c>
      <c r="X103" s="63" t="e">
        <f>+X104+X117</f>
        <v>#REF!</v>
      </c>
      <c r="Y103"/>
      <c r="Z103"/>
      <c r="AA103"/>
      <c r="AB103"/>
      <c r="AC103"/>
      <c r="AD103"/>
      <c r="AE103"/>
      <c r="AF103"/>
      <c r="AG103"/>
      <c r="AH103" s="147"/>
      <c r="AI103" s="148" t="s">
        <v>709</v>
      </c>
      <c r="AJ103" s="160"/>
      <c r="AK103" s="160"/>
      <c r="AL103" s="149"/>
      <c r="AM103" s="277"/>
      <c r="AN103" s="277"/>
      <c r="AO103" s="278"/>
      <c r="AP103" s="146" t="e">
        <f>AP104+AP117</f>
        <v>#REF!</v>
      </c>
      <c r="AQ103" s="146" t="e">
        <f>AQ104+AQ117</f>
        <v>#REF!</v>
      </c>
      <c r="AR103" s="146" t="e">
        <f>AR104+AR117</f>
        <v>#REF!</v>
      </c>
      <c r="AS103" s="245"/>
      <c r="AT103" s="245"/>
      <c r="AU103" s="146" t="e">
        <f>AU104+AU117</f>
        <v>#REF!</v>
      </c>
      <c r="AX103" s="147"/>
      <c r="AY103" s="148" t="s">
        <v>709</v>
      </c>
      <c r="AZ103" s="160"/>
      <c r="BA103" s="160"/>
      <c r="BB103" s="149"/>
      <c r="BC103" s="275"/>
      <c r="BD103" s="275"/>
      <c r="BE103" s="276"/>
      <c r="BF103" s="187" t="e">
        <f>BF104+BF117</f>
        <v>#REF!</v>
      </c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5" customFormat="1">
      <c r="A104" s="122">
        <v>1</v>
      </c>
      <c r="B104" s="28" t="s">
        <v>710</v>
      </c>
      <c r="C104" s="29" t="s">
        <v>660</v>
      </c>
      <c r="D104" s="29"/>
      <c r="E104" s="29"/>
      <c r="F104" s="28"/>
      <c r="G104" s="28"/>
      <c r="H104" s="28"/>
      <c r="I104" s="65"/>
      <c r="J104" s="28"/>
      <c r="K104" s="66" t="e">
        <f t="shared" ref="K104:Q104" si="55">+K105+K111+K112+K113+K114+K115+K116</f>
        <v>#REF!</v>
      </c>
      <c r="L104" s="66" t="e">
        <f t="shared" si="55"/>
        <v>#REF!</v>
      </c>
      <c r="M104" s="66" t="e">
        <f t="shared" si="55"/>
        <v>#REF!</v>
      </c>
      <c r="N104" s="66" t="e">
        <f t="shared" si="55"/>
        <v>#REF!</v>
      </c>
      <c r="O104" s="66" t="e">
        <f t="shared" si="55"/>
        <v>#REF!</v>
      </c>
      <c r="P104" s="66" t="e">
        <f t="shared" si="55"/>
        <v>#REF!</v>
      </c>
      <c r="Q104" s="66" t="e">
        <f t="shared" si="55"/>
        <v>#REF!</v>
      </c>
      <c r="R104" s="66" t="e">
        <f t="shared" si="45"/>
        <v>#REF!</v>
      </c>
      <c r="S104" s="66"/>
      <c r="T104" s="66"/>
      <c r="U104" s="66" t="e">
        <f>+U105+U111+U112+U113+U114+U115+U116</f>
        <v>#REF!</v>
      </c>
      <c r="V104" s="66" t="e">
        <f>+V105+V111+V112+V113+V114+V115+V116</f>
        <v>#REF!</v>
      </c>
      <c r="W104" s="66" t="e">
        <f>+W105+W111+W112+W113+W114+W115+W116</f>
        <v>#REF!</v>
      </c>
      <c r="X104" s="66" t="e">
        <f>+X105+X111+X112+X113+X114+X115+X116</f>
        <v>#REF!</v>
      </c>
      <c r="Y104"/>
      <c r="Z104"/>
      <c r="AA104"/>
      <c r="AB104"/>
      <c r="AC104"/>
      <c r="AD104"/>
      <c r="AE104"/>
      <c r="AF104"/>
      <c r="AG104"/>
      <c r="AH104" s="147" t="s">
        <v>710</v>
      </c>
      <c r="AI104" s="148" t="s">
        <v>660</v>
      </c>
      <c r="AJ104" s="160"/>
      <c r="AK104" s="160"/>
      <c r="AL104" s="149"/>
      <c r="AM104" s="277"/>
      <c r="AN104" s="277"/>
      <c r="AO104" s="278"/>
      <c r="AP104" s="146" t="e">
        <f>AP105+AP111+AP112+AP113+AP114+AP115+AP116</f>
        <v>#REF!</v>
      </c>
      <c r="AQ104" s="146" t="e">
        <f>AQ105+AQ111+AQ112+AQ113+AQ114+AQ115+AQ116</f>
        <v>#REF!</v>
      </c>
      <c r="AR104" s="146" t="e">
        <f>AR105+AR111+AR112+AR113+AR114+AR115+AR116</f>
        <v>#REF!</v>
      </c>
      <c r="AS104" s="245"/>
      <c r="AT104" s="245"/>
      <c r="AU104" s="146" t="e">
        <f>AU105+AU111+AU112+AU113+AU114+AU115+AU116</f>
        <v>#REF!</v>
      </c>
      <c r="AX104" s="147" t="s">
        <v>710</v>
      </c>
      <c r="AY104" s="148" t="s">
        <v>660</v>
      </c>
      <c r="AZ104" s="160"/>
      <c r="BA104" s="160"/>
      <c r="BB104" s="149"/>
      <c r="BC104" s="275"/>
      <c r="BD104" s="275"/>
      <c r="BE104" s="276"/>
      <c r="BF104" s="187" t="e">
        <f>BF105+BF111+BF112+BF113+BF114+BF115+BF116</f>
        <v>#REF!</v>
      </c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5" customFormat="1">
      <c r="A105" s="122">
        <v>1</v>
      </c>
      <c r="B105" s="31"/>
      <c r="C105" s="30" t="s">
        <v>711</v>
      </c>
      <c r="D105" s="30"/>
      <c r="E105" s="30"/>
      <c r="F105" s="33"/>
      <c r="G105" s="33"/>
      <c r="H105" s="33"/>
      <c r="I105" s="67"/>
      <c r="J105" s="33"/>
      <c r="K105" s="69" t="e">
        <f t="shared" ref="K105:Q105" si="56">SUM(K106:K110)</f>
        <v>#REF!</v>
      </c>
      <c r="L105" s="69" t="e">
        <f t="shared" si="56"/>
        <v>#REF!</v>
      </c>
      <c r="M105" s="69" t="e">
        <f t="shared" si="56"/>
        <v>#REF!</v>
      </c>
      <c r="N105" s="69" t="e">
        <f t="shared" si="56"/>
        <v>#REF!</v>
      </c>
      <c r="O105" s="69" t="e">
        <f t="shared" si="56"/>
        <v>#REF!</v>
      </c>
      <c r="P105" s="69" t="e">
        <f t="shared" si="56"/>
        <v>#REF!</v>
      </c>
      <c r="Q105" s="69" t="e">
        <f t="shared" si="56"/>
        <v>#REF!</v>
      </c>
      <c r="R105" s="69" t="e">
        <f t="shared" si="45"/>
        <v>#REF!</v>
      </c>
      <c r="S105" s="69"/>
      <c r="T105" s="69"/>
      <c r="U105" s="69" t="e">
        <f>SUM(U106:U110)</f>
        <v>#REF!</v>
      </c>
      <c r="V105" s="69" t="e">
        <f>SUM(V106:V110)</f>
        <v>#REF!</v>
      </c>
      <c r="W105" s="69" t="e">
        <f>SUM(W106:W110)</f>
        <v>#REF!</v>
      </c>
      <c r="X105" s="69" t="e">
        <f>SUM(X106:X110)</f>
        <v>#REF!</v>
      </c>
      <c r="Y105"/>
      <c r="Z105"/>
      <c r="AA105"/>
      <c r="AB105"/>
      <c r="AC105"/>
      <c r="AD105"/>
      <c r="AE105"/>
      <c r="AF105"/>
      <c r="AG105"/>
      <c r="AH105" s="152"/>
      <c r="AI105" s="157" t="s">
        <v>711</v>
      </c>
      <c r="AJ105" s="158"/>
      <c r="AK105" s="158"/>
      <c r="AL105" s="155"/>
      <c r="AM105" s="277"/>
      <c r="AN105" s="277"/>
      <c r="AO105" s="278"/>
      <c r="AP105" s="146">
        <f>SUM(AP106:AP110)</f>
        <v>0</v>
      </c>
      <c r="AQ105" s="146">
        <f>SUM(AQ106:AQ110)</f>
        <v>0</v>
      </c>
      <c r="AR105" s="146">
        <f>SUM(AR106:AR110)</f>
        <v>0</v>
      </c>
      <c r="AS105" s="245"/>
      <c r="AT105" s="245"/>
      <c r="AU105" s="146">
        <f>SUM(AU106:AU110)</f>
        <v>0</v>
      </c>
      <c r="AX105" s="152"/>
      <c r="AY105" s="157" t="s">
        <v>711</v>
      </c>
      <c r="AZ105" s="158"/>
      <c r="BA105" s="158"/>
      <c r="BB105" s="155"/>
      <c r="BC105" s="275"/>
      <c r="BD105" s="275"/>
      <c r="BE105" s="276"/>
      <c r="BF105" s="187">
        <f>SUM(BF106:BF110)</f>
        <v>0</v>
      </c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5" customFormat="1">
      <c r="A106" s="122">
        <v>1</v>
      </c>
      <c r="B106" s="31"/>
      <c r="C106" s="30"/>
      <c r="D106" s="30" t="s">
        <v>985</v>
      </c>
      <c r="E106" s="30"/>
      <c r="F106" s="33" t="s">
        <v>821</v>
      </c>
      <c r="G106" s="33">
        <v>410</v>
      </c>
      <c r="H106" s="33"/>
      <c r="I106" s="67">
        <v>1</v>
      </c>
      <c r="J106" s="67">
        <v>0.20981087470449172</v>
      </c>
      <c r="K106" s="69" t="e">
        <f>+GETPIVOTDATA("PPEF 2010 ",#REF!,"No. Ramo",8,"IPP","S","PP",234,"UR",410)*$J106</f>
        <v>#REF!</v>
      </c>
      <c r="L106" s="69" t="e">
        <f>+GETPIVOTDATA("Ampliación Neta DIP ",#REF!,"No. Ramo",8,"IPP","S","PP",234,"UR",410)*$J106</f>
        <v>#REF!</v>
      </c>
      <c r="M106" s="69" t="e">
        <f>+GETPIVOTDATA("Recorte SHCP ",#REF!,"No. Ramo",8,"IPP","S","PP",234,"UR",410)*$J106</f>
        <v>#REF!</v>
      </c>
      <c r="N106" s="69" t="e">
        <f>+GETPIVOTDATA("PEF 2010 ",#REF!,"No. Ramo",8,"IPP","S","PP",234,"UR",410)*$J106</f>
        <v>#REF!</v>
      </c>
      <c r="O106" s="69" t="e">
        <f>+GETPIVOTDATA("PPEF 2011 ",#REF!,"No. Ramo",8,"IPP","S","PP",234,"UR",410)*$J106</f>
        <v>#REF!</v>
      </c>
      <c r="P106" s="69" t="e">
        <f>+GETPIVOTDATA("Reducción ",#REF!,"No. Ramo",8,"IPP","S","PP",234,"UR",410)*$J106</f>
        <v>#REF!</v>
      </c>
      <c r="Q106" s="69" t="e">
        <f>+GETPIVOTDATA("Ampliación ",#REF!,"No. Ramo",8,"IPP","S","PP",234,"UR",410)*$J106</f>
        <v>#REF!</v>
      </c>
      <c r="R106" s="69" t="e">
        <f t="shared" si="45"/>
        <v>#REF!</v>
      </c>
      <c r="S106" s="69"/>
      <c r="T106" s="69"/>
      <c r="U106" s="69" t="e">
        <f t="shared" si="47"/>
        <v>#REF!</v>
      </c>
      <c r="V106" s="69" t="e">
        <f t="shared" si="47"/>
        <v>#REF!</v>
      </c>
      <c r="W106" s="69" t="e">
        <f t="shared" si="47"/>
        <v>#REF!</v>
      </c>
      <c r="X106" s="69" t="e">
        <f t="shared" si="47"/>
        <v>#REF!</v>
      </c>
      <c r="Y106"/>
      <c r="Z106"/>
      <c r="AA106"/>
      <c r="AB106"/>
      <c r="AC106"/>
      <c r="AD106"/>
      <c r="AE106"/>
      <c r="AF106"/>
      <c r="AG106"/>
      <c r="AH106" s="152"/>
      <c r="AI106" s="157"/>
      <c r="AJ106" s="158" t="s">
        <v>985</v>
      </c>
      <c r="AK106" s="158"/>
      <c r="AL106" s="277"/>
      <c r="AM106" s="277"/>
      <c r="AN106" s="277"/>
      <c r="AO106" s="278"/>
      <c r="AP106" s="146"/>
      <c r="AQ106" s="146"/>
      <c r="AR106" s="146"/>
      <c r="AS106" s="245"/>
      <c r="AT106" s="245"/>
      <c r="AU106" s="146"/>
      <c r="AX106" s="152"/>
      <c r="AY106" s="157"/>
      <c r="AZ106" s="158" t="s">
        <v>985</v>
      </c>
      <c r="BA106" s="158"/>
      <c r="BB106" s="275"/>
      <c r="BC106" s="275"/>
      <c r="BD106" s="275"/>
      <c r="BE106" s="276"/>
      <c r="BF106" s="187">
        <f>+AU106</f>
        <v>0</v>
      </c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>
      <c r="A107" s="122">
        <v>1</v>
      </c>
      <c r="B107" s="31"/>
      <c r="C107" s="30"/>
      <c r="D107" s="30" t="s">
        <v>694</v>
      </c>
      <c r="E107" s="30"/>
      <c r="F107" s="33" t="s">
        <v>821</v>
      </c>
      <c r="G107" s="33">
        <v>410</v>
      </c>
      <c r="H107" s="33"/>
      <c r="I107" s="67">
        <v>1</v>
      </c>
      <c r="J107" s="67">
        <v>0.26595744680851063</v>
      </c>
      <c r="K107" s="69" t="e">
        <f>+GETPIVOTDATA("PPEF 2010 ",#REF!,"No. Ramo",8,"IPP","S","PP",234,"UR",410)*$J107</f>
        <v>#REF!</v>
      </c>
      <c r="L107" s="69" t="e">
        <f>+GETPIVOTDATA("Ampliación Neta DIP ",#REF!,"No. Ramo",8,"IPP","S","PP",234,"UR",410)*$J107</f>
        <v>#REF!</v>
      </c>
      <c r="M107" s="69" t="e">
        <f>+GETPIVOTDATA("Recorte SHCP ",#REF!,"No. Ramo",8,"IPP","S","PP",234,"UR",410)*$J107</f>
        <v>#REF!</v>
      </c>
      <c r="N107" s="69" t="e">
        <f>+GETPIVOTDATA("PEF 2010 ",#REF!,"No. Ramo",8,"IPP","S","PP",234,"UR",410)*$J107</f>
        <v>#REF!</v>
      </c>
      <c r="O107" s="69" t="e">
        <f>+GETPIVOTDATA("PPEF 2011 ",#REF!,"No. Ramo",8,"IPP","S","PP",234,"UR",410)*$J107</f>
        <v>#REF!</v>
      </c>
      <c r="P107" s="69" t="e">
        <f>+GETPIVOTDATA("Reducción ",#REF!,"No. Ramo",8,"IPP","S","PP",234,"UR",410)*$J107</f>
        <v>#REF!</v>
      </c>
      <c r="Q107" s="69" t="e">
        <f>+GETPIVOTDATA("Ampliación ",#REF!,"No. Ramo",8,"IPP","S","PP",234,"UR",410)*$J107</f>
        <v>#REF!</v>
      </c>
      <c r="R107" s="69" t="e">
        <f t="shared" si="45"/>
        <v>#REF!</v>
      </c>
      <c r="S107" s="69"/>
      <c r="T107" s="69"/>
      <c r="U107" s="69" t="e">
        <f t="shared" si="47"/>
        <v>#REF!</v>
      </c>
      <c r="V107" s="69" t="e">
        <f t="shared" si="47"/>
        <v>#REF!</v>
      </c>
      <c r="W107" s="69" t="e">
        <f t="shared" si="47"/>
        <v>#REF!</v>
      </c>
      <c r="X107" s="69" t="e">
        <f t="shared" si="47"/>
        <v>#REF!</v>
      </c>
      <c r="AH107" s="168"/>
      <c r="AI107" s="169"/>
      <c r="AJ107" s="170" t="s">
        <v>694</v>
      </c>
      <c r="AK107" s="170"/>
      <c r="AL107" s="277"/>
      <c r="AM107" s="277"/>
      <c r="AN107" s="277"/>
      <c r="AO107" s="278"/>
      <c r="AP107" s="146"/>
      <c r="AQ107" s="146"/>
      <c r="AR107" s="146"/>
      <c r="AS107" s="245"/>
      <c r="AT107" s="245"/>
      <c r="AU107" s="146"/>
      <c r="AX107" s="152"/>
      <c r="AY107" s="157"/>
      <c r="AZ107" s="158" t="s">
        <v>694</v>
      </c>
      <c r="BA107" s="158"/>
      <c r="BB107" s="275"/>
      <c r="BC107" s="275"/>
      <c r="BD107" s="275"/>
      <c r="BE107" s="276"/>
      <c r="BF107" s="187">
        <f>+AU107</f>
        <v>0</v>
      </c>
    </row>
    <row r="108" spans="1:75">
      <c r="A108" s="122">
        <v>1</v>
      </c>
      <c r="B108" s="31"/>
      <c r="C108" s="30"/>
      <c r="D108" s="30" t="s">
        <v>663</v>
      </c>
      <c r="E108" s="30"/>
      <c r="F108" s="33" t="s">
        <v>821</v>
      </c>
      <c r="G108" s="33">
        <v>410</v>
      </c>
      <c r="H108" s="33"/>
      <c r="I108" s="67">
        <v>1</v>
      </c>
      <c r="J108" s="67">
        <v>5.1418439716312055E-2</v>
      </c>
      <c r="K108" s="69" t="e">
        <f>+GETPIVOTDATA("PPEF 2010 ",#REF!,"No. Ramo",8,"IPP","S","PP",234,"UR",410)*$J108</f>
        <v>#REF!</v>
      </c>
      <c r="L108" s="69" t="e">
        <f>+GETPIVOTDATA("Ampliación Neta DIP ",#REF!,"No. Ramo",8,"IPP","S","PP",234,"UR",410)*$J108</f>
        <v>#REF!</v>
      </c>
      <c r="M108" s="69" t="e">
        <f>+GETPIVOTDATA("Recorte SHCP ",#REF!,"No. Ramo",8,"IPP","S","PP",234,"UR",410)*$J108</f>
        <v>#REF!</v>
      </c>
      <c r="N108" s="69" t="e">
        <f>+GETPIVOTDATA("PEF 2010 ",#REF!,"No. Ramo",8,"IPP","S","PP",234,"UR",410)*$J108</f>
        <v>#REF!</v>
      </c>
      <c r="O108" s="69" t="e">
        <f>+GETPIVOTDATA("PPEF 2011 ",#REF!,"No. Ramo",8,"IPP","S","PP",234,"UR",410)*$J108</f>
        <v>#REF!</v>
      </c>
      <c r="P108" s="69" t="e">
        <f>+GETPIVOTDATA("Reducción ",#REF!,"No. Ramo",8,"IPP","S","PP",234,"UR",410)*$J108</f>
        <v>#REF!</v>
      </c>
      <c r="Q108" s="69" t="e">
        <f>+GETPIVOTDATA("Ampliación ",#REF!,"No. Ramo",8,"IPP","S","PP",234,"UR",410)*$J108</f>
        <v>#REF!</v>
      </c>
      <c r="R108" s="69" t="e">
        <f t="shared" si="45"/>
        <v>#REF!</v>
      </c>
      <c r="S108" s="69"/>
      <c r="T108" s="69"/>
      <c r="U108" s="69" t="e">
        <f t="shared" si="47"/>
        <v>#REF!</v>
      </c>
      <c r="V108" s="69" t="e">
        <f t="shared" si="47"/>
        <v>#REF!</v>
      </c>
      <c r="W108" s="69" t="e">
        <f t="shared" si="47"/>
        <v>#REF!</v>
      </c>
      <c r="X108" s="69" t="e">
        <f t="shared" si="47"/>
        <v>#REF!</v>
      </c>
      <c r="AH108" s="152"/>
      <c r="AI108" s="157"/>
      <c r="AJ108" s="158" t="s">
        <v>663</v>
      </c>
      <c r="AK108" s="158"/>
      <c r="AL108" s="277"/>
      <c r="AM108" s="277"/>
      <c r="AN108" s="277"/>
      <c r="AO108" s="278"/>
      <c r="AP108" s="146"/>
      <c r="AQ108" s="146"/>
      <c r="AR108" s="146"/>
      <c r="AS108" s="245"/>
      <c r="AT108" s="245"/>
      <c r="AU108" s="146"/>
      <c r="AX108" s="152"/>
      <c r="AY108" s="157"/>
      <c r="AZ108" s="158" t="s">
        <v>663</v>
      </c>
      <c r="BA108" s="158"/>
      <c r="BB108" s="275"/>
      <c r="BC108" s="275"/>
      <c r="BD108" s="275"/>
      <c r="BE108" s="276"/>
      <c r="BF108" s="187">
        <f>+AU108</f>
        <v>0</v>
      </c>
    </row>
    <row r="109" spans="1:75">
      <c r="A109" s="122">
        <v>1</v>
      </c>
      <c r="B109" s="31"/>
      <c r="C109" s="30"/>
      <c r="D109" s="30" t="s">
        <v>668</v>
      </c>
      <c r="E109" s="30"/>
      <c r="F109" s="33" t="s">
        <v>821</v>
      </c>
      <c r="G109" s="33">
        <v>410</v>
      </c>
      <c r="H109" s="33"/>
      <c r="I109" s="67">
        <v>1</v>
      </c>
      <c r="J109" s="67">
        <v>0.2364066193853428</v>
      </c>
      <c r="K109" s="69" t="e">
        <f>+GETPIVOTDATA("PPEF 2010 ",#REF!,"No. Ramo",8,"IPP","S","PP",234,"UR",410)*$J109</f>
        <v>#REF!</v>
      </c>
      <c r="L109" s="69" t="e">
        <f>+GETPIVOTDATA("Ampliación Neta DIP ",#REF!,"No. Ramo",8,"IPP","S","PP",234,"UR",410)*$J109</f>
        <v>#REF!</v>
      </c>
      <c r="M109" s="69" t="e">
        <f>+GETPIVOTDATA("Recorte SHCP ",#REF!,"No. Ramo",8,"IPP","S","PP",234,"UR",410)*$J109</f>
        <v>#REF!</v>
      </c>
      <c r="N109" s="69" t="e">
        <f>+GETPIVOTDATA("PEF 2010 ",#REF!,"No. Ramo",8,"IPP","S","PP",234,"UR",410)*$J109</f>
        <v>#REF!</v>
      </c>
      <c r="O109" s="69" t="e">
        <f>+GETPIVOTDATA("PPEF 2011 ",#REF!,"No. Ramo",8,"IPP","S","PP",234,"UR",410)*$J109</f>
        <v>#REF!</v>
      </c>
      <c r="P109" s="69" t="e">
        <f>+GETPIVOTDATA("Reducción ",#REF!,"No. Ramo",8,"IPP","S","PP",234,"UR",410)*$J109</f>
        <v>#REF!</v>
      </c>
      <c r="Q109" s="69" t="e">
        <f>+GETPIVOTDATA("Ampliación ",#REF!,"No. Ramo",8,"IPP","S","PP",234,"UR",410)*$J109</f>
        <v>#REF!</v>
      </c>
      <c r="R109" s="69" t="e">
        <f t="shared" si="45"/>
        <v>#REF!</v>
      </c>
      <c r="S109" s="69"/>
      <c r="T109" s="69"/>
      <c r="U109" s="69" t="e">
        <f t="shared" si="47"/>
        <v>#REF!</v>
      </c>
      <c r="V109" s="69" t="e">
        <f t="shared" si="47"/>
        <v>#REF!</v>
      </c>
      <c r="W109" s="69" t="e">
        <f t="shared" si="47"/>
        <v>#REF!</v>
      </c>
      <c r="X109" s="69" t="e">
        <f t="shared" si="47"/>
        <v>#REF!</v>
      </c>
      <c r="AH109" s="152"/>
      <c r="AI109" s="157"/>
      <c r="AJ109" s="158" t="s">
        <v>668</v>
      </c>
      <c r="AK109" s="158"/>
      <c r="AL109" s="277"/>
      <c r="AM109" s="277"/>
      <c r="AN109" s="277"/>
      <c r="AO109" s="278"/>
      <c r="AP109" s="146"/>
      <c r="AQ109" s="146"/>
      <c r="AR109" s="146"/>
      <c r="AS109" s="245"/>
      <c r="AT109" s="245"/>
      <c r="AU109" s="146"/>
      <c r="AX109" s="152"/>
      <c r="AY109" s="157"/>
      <c r="AZ109" s="158" t="s">
        <v>668</v>
      </c>
      <c r="BA109" s="158"/>
      <c r="BB109" s="275"/>
      <c r="BC109" s="275"/>
      <c r="BD109" s="275"/>
      <c r="BE109" s="276"/>
      <c r="BF109" s="187">
        <f>+AU109</f>
        <v>0</v>
      </c>
    </row>
    <row r="110" spans="1:75">
      <c r="A110" s="122">
        <v>1</v>
      </c>
      <c r="B110" s="31"/>
      <c r="C110" s="30"/>
      <c r="D110" s="30" t="s">
        <v>712</v>
      </c>
      <c r="E110" s="30"/>
      <c r="F110" s="33" t="s">
        <v>821</v>
      </c>
      <c r="G110" s="33">
        <v>410</v>
      </c>
      <c r="H110" s="33"/>
      <c r="I110" s="67">
        <v>1</v>
      </c>
      <c r="J110" s="67">
        <v>0.2364066193853428</v>
      </c>
      <c r="K110" s="69" t="e">
        <f>+GETPIVOTDATA("PPEF 2010 ",#REF!,"No. Ramo",8,"IPP","S","PP",234,"UR",410)*$J110</f>
        <v>#REF!</v>
      </c>
      <c r="L110" s="69" t="e">
        <f>+GETPIVOTDATA("Ampliación Neta DIP ",#REF!,"No. Ramo",8,"IPP","S","PP",234,"UR",410)*$J110</f>
        <v>#REF!</v>
      </c>
      <c r="M110" s="69" t="e">
        <f>+GETPIVOTDATA("Recorte SHCP ",#REF!,"No. Ramo",8,"IPP","S","PP",234,"UR",410)*$J110</f>
        <v>#REF!</v>
      </c>
      <c r="N110" s="69" t="e">
        <f>+GETPIVOTDATA("PEF 2010 ",#REF!,"No. Ramo",8,"IPP","S","PP",234,"UR",410)*$J110</f>
        <v>#REF!</v>
      </c>
      <c r="O110" s="69" t="e">
        <f>+GETPIVOTDATA("PPEF 2011 ",#REF!,"No. Ramo",8,"IPP","S","PP",234,"UR",410)*$J110</f>
        <v>#REF!</v>
      </c>
      <c r="P110" s="69" t="e">
        <f>+GETPIVOTDATA("Reducción ",#REF!,"No. Ramo",8,"IPP","S","PP",234,"UR",410)*$J110</f>
        <v>#REF!</v>
      </c>
      <c r="Q110" s="69" t="e">
        <f>+GETPIVOTDATA("Ampliación ",#REF!,"No. Ramo",8,"IPP","S","PP",234,"UR",410)*$J110</f>
        <v>#REF!</v>
      </c>
      <c r="R110" s="69" t="e">
        <f t="shared" si="45"/>
        <v>#REF!</v>
      </c>
      <c r="S110" s="69"/>
      <c r="T110" s="69"/>
      <c r="U110" s="69" t="e">
        <f t="shared" si="47"/>
        <v>#REF!</v>
      </c>
      <c r="V110" s="69" t="e">
        <f t="shared" si="47"/>
        <v>#REF!</v>
      </c>
      <c r="W110" s="69" t="e">
        <f t="shared" si="47"/>
        <v>#REF!</v>
      </c>
      <c r="X110" s="69" t="e">
        <f t="shared" si="47"/>
        <v>#REF!</v>
      </c>
      <c r="AH110" s="152"/>
      <c r="AI110" s="157"/>
      <c r="AJ110" s="158" t="s">
        <v>712</v>
      </c>
      <c r="AK110" s="158"/>
      <c r="AL110" s="277"/>
      <c r="AM110" s="277"/>
      <c r="AN110" s="277"/>
      <c r="AO110" s="278"/>
      <c r="AP110" s="146"/>
      <c r="AQ110" s="146"/>
      <c r="AR110" s="146"/>
      <c r="AS110" s="245"/>
      <c r="AT110" s="245"/>
      <c r="AU110" s="146"/>
      <c r="AX110" s="152"/>
      <c r="AY110" s="157"/>
      <c r="AZ110" s="158" t="s">
        <v>712</v>
      </c>
      <c r="BA110" s="158"/>
      <c r="BB110" s="275"/>
      <c r="BC110" s="275"/>
      <c r="BD110" s="275"/>
      <c r="BE110" s="276"/>
      <c r="BF110" s="187">
        <f>+AU110</f>
        <v>0</v>
      </c>
    </row>
    <row r="111" spans="1:75">
      <c r="A111" s="122">
        <v>1</v>
      </c>
      <c r="B111" s="31"/>
      <c r="C111" s="30" t="s">
        <v>713</v>
      </c>
      <c r="D111" s="30"/>
      <c r="E111" s="30"/>
      <c r="F111" s="33" t="s">
        <v>821</v>
      </c>
      <c r="G111" s="33">
        <v>116</v>
      </c>
      <c r="H111" s="33"/>
      <c r="I111" s="67">
        <v>1</v>
      </c>
      <c r="J111" s="33"/>
      <c r="K111" s="69" t="e">
        <f>+GETPIVOTDATA("PPEF 2010 ",#REF!,"No. Ramo",8,"IPP","S","PP",234,"UR",116)</f>
        <v>#REF!</v>
      </c>
      <c r="L111" s="69" t="e">
        <f>+GETPIVOTDATA("Ampliación Neta DIP ",#REF!,"No. Ramo",8,"IPP","S","PP",234,"UR",116)</f>
        <v>#REF!</v>
      </c>
      <c r="M111" s="69" t="e">
        <f>+GETPIVOTDATA("Recorte SHCP ",#REF!,"No. Ramo",8,"IPP","S","PP",234,"UR",116)</f>
        <v>#REF!</v>
      </c>
      <c r="N111" s="69" t="e">
        <f>+GETPIVOTDATA("PEF 2010 ",#REF!,"No. Ramo",8,"IPP","S","PP",234,"UR",116)</f>
        <v>#REF!</v>
      </c>
      <c r="O111" s="69" t="e">
        <f>+GETPIVOTDATA("PPEF 2011 ",#REF!,"No. Ramo",8,"IPP","S","PP",234,"UR",116)</f>
        <v>#REF!</v>
      </c>
      <c r="P111" s="69" t="e">
        <f>+GETPIVOTDATA("Reducción ",#REF!,"No. Ramo",8,"IPP","S","PP",234,"UR",116)</f>
        <v>#REF!</v>
      </c>
      <c r="Q111" s="69" t="e">
        <f>+GETPIVOTDATA("Ampliación ",#REF!,"No. Ramo",8,"IPP","S","PP",234,"UR",116)</f>
        <v>#REF!</v>
      </c>
      <c r="R111" s="69" t="e">
        <f t="shared" si="45"/>
        <v>#REF!</v>
      </c>
      <c r="S111" s="69"/>
      <c r="T111" s="69"/>
      <c r="U111" s="69" t="e">
        <f t="shared" si="47"/>
        <v>#REF!</v>
      </c>
      <c r="V111" s="69" t="e">
        <f t="shared" si="47"/>
        <v>#REF!</v>
      </c>
      <c r="W111" s="69" t="e">
        <f t="shared" si="47"/>
        <v>#REF!</v>
      </c>
      <c r="X111" s="69" t="e">
        <f t="shared" si="47"/>
        <v>#REF!</v>
      </c>
      <c r="AH111" s="152"/>
      <c r="AI111" s="157" t="s">
        <v>713</v>
      </c>
      <c r="AJ111" s="158"/>
      <c r="AK111" s="158"/>
      <c r="AL111" s="277"/>
      <c r="AM111" s="277"/>
      <c r="AN111" s="277"/>
      <c r="AO111" s="278"/>
      <c r="AP111" s="146" t="e">
        <f>SUM(#REF!)</f>
        <v>#REF!</v>
      </c>
      <c r="AQ111" s="146" t="e">
        <f>SUM(#REF!)</f>
        <v>#REF!</v>
      </c>
      <c r="AR111" s="146" t="e">
        <f>SUM(#REF!)</f>
        <v>#REF!</v>
      </c>
      <c r="AS111" s="245"/>
      <c r="AT111" s="245"/>
      <c r="AU111" s="146" t="e">
        <f>SUM(#REF!)</f>
        <v>#REF!</v>
      </c>
      <c r="AX111" s="152"/>
      <c r="AY111" s="157" t="s">
        <v>713</v>
      </c>
      <c r="AZ111" s="158"/>
      <c r="BA111" s="158"/>
      <c r="BB111" s="275"/>
      <c r="BC111" s="275"/>
      <c r="BD111" s="275"/>
      <c r="BE111" s="276"/>
      <c r="BF111" s="187" t="e">
        <f>SUM(#REF!)</f>
        <v>#REF!</v>
      </c>
    </row>
    <row r="112" spans="1:75">
      <c r="A112" s="122">
        <v>1</v>
      </c>
      <c r="B112" s="31"/>
      <c r="C112" s="30" t="s">
        <v>714</v>
      </c>
      <c r="D112" s="30"/>
      <c r="E112" s="30"/>
      <c r="F112" s="33" t="s">
        <v>821</v>
      </c>
      <c r="G112" s="33">
        <v>311</v>
      </c>
      <c r="H112" s="33"/>
      <c r="I112" s="67">
        <v>1</v>
      </c>
      <c r="J112" s="33"/>
      <c r="K112" s="69" t="e">
        <f>+GETPIVOTDATA("PPEF 2010 ",#REF!,"No. Ramo",8,"IPP","S","PP",234,"UR",311)</f>
        <v>#REF!</v>
      </c>
      <c r="L112" s="69" t="e">
        <f>+GETPIVOTDATA("Ampliación Neta DIP ",#REF!,"No. Ramo",8,"IPP","S","PP",234,"UR",311)</f>
        <v>#REF!</v>
      </c>
      <c r="M112" s="69" t="e">
        <f>+GETPIVOTDATA("Recorte SHCP ",#REF!,"No. Ramo",8,"IPP","S","PP",234,"UR",311)</f>
        <v>#REF!</v>
      </c>
      <c r="N112" s="69" t="e">
        <f>+GETPIVOTDATA("PEF 2010 ",#REF!,"No. Ramo",8,"IPP","S","PP",234,"UR",311)</f>
        <v>#REF!</v>
      </c>
      <c r="O112" s="69" t="e">
        <f>+GETPIVOTDATA("PPEF 2011 ",#REF!,"No. Ramo",8,"IPP","S","PP",234,"UR",311)</f>
        <v>#REF!</v>
      </c>
      <c r="P112" s="69" t="e">
        <f>+GETPIVOTDATA("Reducción ",#REF!,"No. Ramo",8,"IPP","S","PP",234,"UR",311)</f>
        <v>#REF!</v>
      </c>
      <c r="Q112" s="69" t="e">
        <f>+GETPIVOTDATA("Ampliación ",#REF!,"No. Ramo",8,"IPP","S","PP",234,"UR",311)</f>
        <v>#REF!</v>
      </c>
      <c r="R112" s="69" t="e">
        <f t="shared" si="45"/>
        <v>#REF!</v>
      </c>
      <c r="S112" s="69"/>
      <c r="T112" s="69"/>
      <c r="U112" s="69" t="e">
        <f t="shared" si="47"/>
        <v>#REF!</v>
      </c>
      <c r="V112" s="69" t="e">
        <f t="shared" si="47"/>
        <v>#REF!</v>
      </c>
      <c r="W112" s="69" t="e">
        <f t="shared" si="47"/>
        <v>#REF!</v>
      </c>
      <c r="X112" s="69" t="e">
        <f t="shared" si="47"/>
        <v>#REF!</v>
      </c>
      <c r="AH112" s="152"/>
      <c r="AI112" s="157" t="s">
        <v>714</v>
      </c>
      <c r="AJ112" s="158"/>
      <c r="AK112" s="158"/>
      <c r="AL112" s="277"/>
      <c r="AM112" s="277"/>
      <c r="AN112" s="277"/>
      <c r="AO112" s="278"/>
      <c r="AP112" s="146"/>
      <c r="AQ112" s="146"/>
      <c r="AR112" s="146"/>
      <c r="AS112" s="245"/>
      <c r="AT112" s="245"/>
      <c r="AU112" s="146"/>
      <c r="AX112" s="152"/>
      <c r="AY112" s="157" t="s">
        <v>714</v>
      </c>
      <c r="AZ112" s="158"/>
      <c r="BA112" s="158"/>
      <c r="BB112" s="275"/>
      <c r="BC112" s="275"/>
      <c r="BD112" s="275"/>
      <c r="BE112" s="276"/>
      <c r="BF112" s="187">
        <f>+AU112</f>
        <v>0</v>
      </c>
    </row>
    <row r="113" spans="1:75">
      <c r="A113" s="122">
        <v>1</v>
      </c>
      <c r="B113" s="31"/>
      <c r="C113" s="30" t="s">
        <v>715</v>
      </c>
      <c r="D113" s="30"/>
      <c r="E113" s="30"/>
      <c r="F113" s="33" t="s">
        <v>821</v>
      </c>
      <c r="G113" s="33">
        <v>310</v>
      </c>
      <c r="H113" s="33"/>
      <c r="I113" s="67">
        <v>1</v>
      </c>
      <c r="J113" s="33"/>
      <c r="K113" s="69" t="e">
        <f>+GETPIVOTDATA("PPEF 2010 ",#REF!,"No. Ramo",8,"IPP","S","PP",234,"UR",310)</f>
        <v>#REF!</v>
      </c>
      <c r="L113" s="69" t="e">
        <f>+GETPIVOTDATA("Ampliación Neta DIP ",#REF!,"No. Ramo",8,"IPP","S","PP",234,"UR",310)</f>
        <v>#REF!</v>
      </c>
      <c r="M113" s="69" t="e">
        <f>+GETPIVOTDATA("Recorte SHCP ",#REF!,"No. Ramo",8,"IPP","S","PP",234,"UR",310)</f>
        <v>#REF!</v>
      </c>
      <c r="N113" s="69" t="e">
        <f>+GETPIVOTDATA("PEF 2010 ",#REF!,"No. Ramo",8,"IPP","S","PP",234,"UR",310)</f>
        <v>#REF!</v>
      </c>
      <c r="O113" s="69" t="e">
        <f>+GETPIVOTDATA("PPEF 2011 ",#REF!,"No. Ramo",8,"IPP","S","PP",234,"UR",310)</f>
        <v>#REF!</v>
      </c>
      <c r="P113" s="69" t="e">
        <f>+GETPIVOTDATA("Reducción ",#REF!,"No. Ramo",8,"IPP","S","PP",234,"UR",310)</f>
        <v>#REF!</v>
      </c>
      <c r="Q113" s="69" t="e">
        <f>+GETPIVOTDATA("Ampliación ",#REF!,"No. Ramo",8,"IPP","S","PP",234,"UR",310)</f>
        <v>#REF!</v>
      </c>
      <c r="R113" s="69" t="e">
        <f t="shared" si="45"/>
        <v>#REF!</v>
      </c>
      <c r="S113" s="69"/>
      <c r="T113" s="69"/>
      <c r="U113" s="69" t="e">
        <f t="shared" si="47"/>
        <v>#REF!</v>
      </c>
      <c r="V113" s="69" t="e">
        <f t="shared" si="47"/>
        <v>#REF!</v>
      </c>
      <c r="W113" s="69" t="e">
        <f t="shared" si="47"/>
        <v>#REF!</v>
      </c>
      <c r="X113" s="69" t="e">
        <f t="shared" si="47"/>
        <v>#REF!</v>
      </c>
      <c r="AH113" s="152"/>
      <c r="AI113" s="157" t="s">
        <v>715</v>
      </c>
      <c r="AJ113" s="158"/>
      <c r="AK113" s="158"/>
      <c r="AL113" s="277"/>
      <c r="AM113" s="277"/>
      <c r="AN113" s="277"/>
      <c r="AO113" s="278"/>
      <c r="AP113" s="146" t="e">
        <f>SUM(#REF!)</f>
        <v>#REF!</v>
      </c>
      <c r="AQ113" s="146" t="e">
        <f>SUM(#REF!)</f>
        <v>#REF!</v>
      </c>
      <c r="AR113" s="146" t="e">
        <f>SUM(#REF!)</f>
        <v>#REF!</v>
      </c>
      <c r="AS113" s="245"/>
      <c r="AT113" s="245"/>
      <c r="AU113" s="146" t="e">
        <f>SUM(#REF!)</f>
        <v>#REF!</v>
      </c>
      <c r="AX113" s="152"/>
      <c r="AY113" s="157" t="s">
        <v>715</v>
      </c>
      <c r="AZ113" s="158"/>
      <c r="BA113" s="158"/>
      <c r="BB113" s="275"/>
      <c r="BC113" s="275"/>
      <c r="BD113" s="275"/>
      <c r="BE113" s="276"/>
      <c r="BF113" s="187" t="e">
        <f>SUM(#REF!)</f>
        <v>#REF!</v>
      </c>
    </row>
    <row r="114" spans="1:75" s="195" customFormat="1">
      <c r="A114" s="122">
        <v>1</v>
      </c>
      <c r="B114" s="31"/>
      <c r="C114" s="30" t="s">
        <v>716</v>
      </c>
      <c r="D114" s="30"/>
      <c r="E114" s="30"/>
      <c r="F114" s="33" t="s">
        <v>821</v>
      </c>
      <c r="G114" s="33" t="s">
        <v>12</v>
      </c>
      <c r="H114" s="33"/>
      <c r="I114" s="67">
        <v>1</v>
      </c>
      <c r="J114" s="67">
        <v>0.39473684210526316</v>
      </c>
      <c r="K114" s="69" t="e">
        <f>+GETPIVOTDATA("PPEF 2010 ",#REF!,"No. Ramo",8,"IPP","S","PP",234,"UR","I00")*$J114</f>
        <v>#REF!</v>
      </c>
      <c r="L114" s="69" t="e">
        <f>+GETPIVOTDATA("Ampliación Neta DIP ",#REF!,"No. Ramo",8,"IPP","S","PP",234,"UR","I00")*$J114</f>
        <v>#REF!</v>
      </c>
      <c r="M114" s="69" t="e">
        <f>+GETPIVOTDATA("Recorte SHCP ",#REF!,"No. Ramo",8,"IPP","S","PP",234,"UR","I00")*$J114</f>
        <v>#REF!</v>
      </c>
      <c r="N114" s="69" t="e">
        <f>+GETPIVOTDATA("PEF 2010 ",#REF!,"No. Ramo",8,"IPP","S","PP",234,"UR","I00")*$J114</f>
        <v>#REF!</v>
      </c>
      <c r="O114" s="69" t="e">
        <f>+GETPIVOTDATA("PPEF 2011 ",#REF!,"No. Ramo",8,"IPP","S","PP",234,"UR","I00")*$J114</f>
        <v>#REF!</v>
      </c>
      <c r="P114" s="69" t="e">
        <f>+GETPIVOTDATA("Reducción ",#REF!,"No. Ramo",8,"IPP","S","PP",234,"UR","I00")*$J114</f>
        <v>#REF!</v>
      </c>
      <c r="Q114" s="69" t="e">
        <f>+GETPIVOTDATA("Ampliación ",#REF!,"No. Ramo",8,"IPP","S","PP",234,"UR","I00")*$J114</f>
        <v>#REF!</v>
      </c>
      <c r="R114" s="69" t="e">
        <f t="shared" si="45"/>
        <v>#REF!</v>
      </c>
      <c r="S114" s="69"/>
      <c r="T114" s="69"/>
      <c r="U114" s="69" t="e">
        <f t="shared" si="47"/>
        <v>#REF!</v>
      </c>
      <c r="V114" s="69" t="e">
        <f t="shared" si="47"/>
        <v>#REF!</v>
      </c>
      <c r="W114" s="69" t="e">
        <f t="shared" si="47"/>
        <v>#REF!</v>
      </c>
      <c r="X114" s="69" t="e">
        <f t="shared" si="47"/>
        <v>#REF!</v>
      </c>
      <c r="Y114"/>
      <c r="Z114"/>
      <c r="AA114"/>
      <c r="AB114"/>
      <c r="AC114"/>
      <c r="AD114"/>
      <c r="AE114"/>
      <c r="AF114"/>
      <c r="AG114"/>
      <c r="AH114" s="171"/>
      <c r="AI114" s="172" t="s">
        <v>716</v>
      </c>
      <c r="AJ114" s="173"/>
      <c r="AK114" s="173"/>
      <c r="AL114" s="277"/>
      <c r="AM114" s="277"/>
      <c r="AN114" s="277"/>
      <c r="AO114" s="278"/>
      <c r="AP114" s="146"/>
      <c r="AQ114" s="146"/>
      <c r="AR114" s="146"/>
      <c r="AS114" s="245"/>
      <c r="AT114" s="245"/>
      <c r="AU114" s="146"/>
      <c r="AX114" s="152"/>
      <c r="AY114" s="157" t="s">
        <v>716</v>
      </c>
      <c r="AZ114" s="158"/>
      <c r="BA114" s="158"/>
      <c r="BB114" s="275"/>
      <c r="BC114" s="275"/>
      <c r="BD114" s="275"/>
      <c r="BE114" s="276"/>
      <c r="BF114" s="187">
        <f>+AU114</f>
        <v>0</v>
      </c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5" customFormat="1">
      <c r="A115" s="122">
        <v>1</v>
      </c>
      <c r="B115" s="31"/>
      <c r="C115" s="30" t="s">
        <v>121</v>
      </c>
      <c r="D115" s="30"/>
      <c r="E115" s="30"/>
      <c r="F115" s="33" t="s">
        <v>821</v>
      </c>
      <c r="G115" s="33" t="s">
        <v>12</v>
      </c>
      <c r="H115" s="33"/>
      <c r="I115" s="67">
        <v>1</v>
      </c>
      <c r="J115" s="67">
        <v>0.21052631578947367</v>
      </c>
      <c r="K115" s="69" t="e">
        <f>+GETPIVOTDATA("PPEF 2010 ",#REF!,"No. Ramo",8,"IPP","S","PP",234,"UR","I00")*$J115</f>
        <v>#REF!</v>
      </c>
      <c r="L115" s="69" t="e">
        <f>+GETPIVOTDATA("Ampliación Neta DIP ",#REF!,"No. Ramo",8,"IPP","S","PP",234,"UR","I00")*$J115</f>
        <v>#REF!</v>
      </c>
      <c r="M115" s="69" t="e">
        <f>+GETPIVOTDATA("Recorte SHCP ",#REF!,"No. Ramo",8,"IPP","S","PP",234,"UR","I00")*$J115</f>
        <v>#REF!</v>
      </c>
      <c r="N115" s="69" t="e">
        <f>+GETPIVOTDATA("PEF 2010 ",#REF!,"No. Ramo",8,"IPP","S","PP",234,"UR","I00")*$J115</f>
        <v>#REF!</v>
      </c>
      <c r="O115" s="69" t="e">
        <f>+GETPIVOTDATA("PPEF 2011 ",#REF!,"No. Ramo",8,"IPP","S","PP",234,"UR","I00")*$J115</f>
        <v>#REF!</v>
      </c>
      <c r="P115" s="69" t="e">
        <f>+GETPIVOTDATA("Reducción ",#REF!,"No. Ramo",8,"IPP","S","PP",234,"UR","I00")*$J115</f>
        <v>#REF!</v>
      </c>
      <c r="Q115" s="69" t="e">
        <f>+GETPIVOTDATA("Ampliación ",#REF!,"No. Ramo",8,"IPP","S","PP",234,"UR","I00")*$J115</f>
        <v>#REF!</v>
      </c>
      <c r="R115" s="69" t="e">
        <f t="shared" si="45"/>
        <v>#REF!</v>
      </c>
      <c r="S115" s="69"/>
      <c r="T115" s="69"/>
      <c r="U115" s="69" t="e">
        <f t="shared" si="47"/>
        <v>#REF!</v>
      </c>
      <c r="V115" s="69" t="e">
        <f t="shared" si="47"/>
        <v>#REF!</v>
      </c>
      <c r="W115" s="69" t="e">
        <f t="shared" si="47"/>
        <v>#REF!</v>
      </c>
      <c r="X115" s="69" t="e">
        <f t="shared" si="47"/>
        <v>#REF!</v>
      </c>
      <c r="Y115"/>
      <c r="Z115"/>
      <c r="AA115"/>
      <c r="AB115"/>
      <c r="AC115"/>
      <c r="AD115"/>
      <c r="AE115"/>
      <c r="AF115"/>
      <c r="AG115"/>
      <c r="AH115" s="171"/>
      <c r="AI115" s="172" t="s">
        <v>121</v>
      </c>
      <c r="AJ115" s="173"/>
      <c r="AK115" s="173"/>
      <c r="AL115" s="277"/>
      <c r="AM115" s="277"/>
      <c r="AN115" s="277"/>
      <c r="AO115" s="278"/>
      <c r="AP115" s="146"/>
      <c r="AQ115" s="146"/>
      <c r="AR115" s="146"/>
      <c r="AS115" s="245"/>
      <c r="AT115" s="245"/>
      <c r="AU115" s="146"/>
      <c r="AX115" s="152"/>
      <c r="AY115" s="157" t="s">
        <v>121</v>
      </c>
      <c r="AZ115" s="158"/>
      <c r="BA115" s="158"/>
      <c r="BB115" s="275"/>
      <c r="BC115" s="275"/>
      <c r="BD115" s="275"/>
      <c r="BE115" s="276"/>
      <c r="BF115" s="187">
        <f>+AU115</f>
        <v>0</v>
      </c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5" customFormat="1">
      <c r="A116" s="122">
        <v>1</v>
      </c>
      <c r="B116" s="31"/>
      <c r="C116" s="30" t="s">
        <v>717</v>
      </c>
      <c r="D116" s="30"/>
      <c r="E116" s="30"/>
      <c r="F116" s="33" t="s">
        <v>821</v>
      </c>
      <c r="G116" s="33" t="s">
        <v>12</v>
      </c>
      <c r="H116" s="33"/>
      <c r="I116" s="67">
        <v>1</v>
      </c>
      <c r="J116" s="67">
        <v>0.39473684210526316</v>
      </c>
      <c r="K116" s="69" t="e">
        <f>+GETPIVOTDATA("PPEF 2010 ",#REF!,"No. Ramo",8,"IPP","S","PP",234,"UR","I00")*$J116</f>
        <v>#REF!</v>
      </c>
      <c r="L116" s="69" t="e">
        <f>+GETPIVOTDATA("Ampliación Neta DIP ",#REF!,"No. Ramo",8,"IPP","S","PP",234,"UR","I00")*$J116</f>
        <v>#REF!</v>
      </c>
      <c r="M116" s="69" t="e">
        <f>+GETPIVOTDATA("Recorte SHCP ",#REF!,"No. Ramo",8,"IPP","S","PP",234,"UR","I00")*$J116</f>
        <v>#REF!</v>
      </c>
      <c r="N116" s="69" t="e">
        <f>+GETPIVOTDATA("PEF 2010 ",#REF!,"No. Ramo",8,"IPP","S","PP",234,"UR","I00")*$J116</f>
        <v>#REF!</v>
      </c>
      <c r="O116" s="69" t="e">
        <f>+GETPIVOTDATA("PPEF 2011 ",#REF!,"No. Ramo",8,"IPP","S","PP",234,"UR","I00")*$J116</f>
        <v>#REF!</v>
      </c>
      <c r="P116" s="69" t="e">
        <f>+GETPIVOTDATA("Reducción ",#REF!,"No. Ramo",8,"IPP","S","PP",234,"UR","I00")*$J116</f>
        <v>#REF!</v>
      </c>
      <c r="Q116" s="69" t="e">
        <f>+GETPIVOTDATA("Ampliación ",#REF!,"No. Ramo",8,"IPP","S","PP",234,"UR","I00")*$J116</f>
        <v>#REF!</v>
      </c>
      <c r="R116" s="69" t="e">
        <f t="shared" si="45"/>
        <v>#REF!</v>
      </c>
      <c r="S116" s="69"/>
      <c r="T116" s="69"/>
      <c r="U116" s="69" t="e">
        <f t="shared" si="47"/>
        <v>#REF!</v>
      </c>
      <c r="V116" s="69" t="e">
        <f t="shared" si="47"/>
        <v>#REF!</v>
      </c>
      <c r="W116" s="69" t="e">
        <f t="shared" si="47"/>
        <v>#REF!</v>
      </c>
      <c r="X116" s="69" t="e">
        <f t="shared" si="47"/>
        <v>#REF!</v>
      </c>
      <c r="Y116"/>
      <c r="Z116"/>
      <c r="AA116"/>
      <c r="AB116"/>
      <c r="AC116"/>
      <c r="AD116"/>
      <c r="AE116"/>
      <c r="AF116"/>
      <c r="AG116"/>
      <c r="AH116" s="171"/>
      <c r="AI116" s="172" t="s">
        <v>717</v>
      </c>
      <c r="AJ116" s="173"/>
      <c r="AK116" s="173"/>
      <c r="AL116" s="277"/>
      <c r="AM116" s="277"/>
      <c r="AN116" s="277"/>
      <c r="AO116" s="278"/>
      <c r="AP116" s="146"/>
      <c r="AQ116" s="146"/>
      <c r="AR116" s="146"/>
      <c r="AS116" s="245"/>
      <c r="AT116" s="245"/>
      <c r="AU116" s="146"/>
      <c r="AX116" s="152"/>
      <c r="AY116" s="157" t="s">
        <v>717</v>
      </c>
      <c r="AZ116" s="158"/>
      <c r="BA116" s="158"/>
      <c r="BB116" s="275"/>
      <c r="BC116" s="275"/>
      <c r="BD116" s="275"/>
      <c r="BE116" s="276"/>
      <c r="BF116" s="187">
        <f>+AU116</f>
        <v>0</v>
      </c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5" customFormat="1">
      <c r="A117"/>
      <c r="B117" s="28" t="s">
        <v>710</v>
      </c>
      <c r="C117" s="29" t="s">
        <v>718</v>
      </c>
      <c r="D117" s="29"/>
      <c r="E117" s="29"/>
      <c r="F117" s="28"/>
      <c r="G117" s="28"/>
      <c r="H117" s="28"/>
      <c r="I117" s="65"/>
      <c r="J117" s="28"/>
      <c r="K117" s="66" t="e">
        <f t="shared" ref="K117:Q117" si="57">+K118+K125</f>
        <v>#REF!</v>
      </c>
      <c r="L117" s="66" t="e">
        <f t="shared" si="57"/>
        <v>#REF!</v>
      </c>
      <c r="M117" s="66" t="e">
        <f t="shared" si="57"/>
        <v>#REF!</v>
      </c>
      <c r="N117" s="66" t="e">
        <f t="shared" si="57"/>
        <v>#REF!</v>
      </c>
      <c r="O117" s="66" t="e">
        <f t="shared" si="57"/>
        <v>#REF!</v>
      </c>
      <c r="P117" s="66" t="e">
        <f t="shared" si="57"/>
        <v>#REF!</v>
      </c>
      <c r="Q117" s="66" t="e">
        <f t="shared" si="57"/>
        <v>#REF!</v>
      </c>
      <c r="R117" s="66" t="e">
        <f t="shared" si="45"/>
        <v>#REF!</v>
      </c>
      <c r="S117" s="66"/>
      <c r="T117" s="66"/>
      <c r="U117" s="66" t="e">
        <f>+U118+U125</f>
        <v>#REF!</v>
      </c>
      <c r="V117" s="66" t="e">
        <f>+V118+V125</f>
        <v>#REF!</v>
      </c>
      <c r="W117" s="66" t="e">
        <f>+W118+W125</f>
        <v>#REF!</v>
      </c>
      <c r="X117" s="66" t="e">
        <f>+X118+X125</f>
        <v>#REF!</v>
      </c>
      <c r="Y117"/>
      <c r="Z117"/>
      <c r="AA117"/>
      <c r="AB117"/>
      <c r="AC117"/>
      <c r="AD117"/>
      <c r="AE117"/>
      <c r="AF117"/>
      <c r="AG117"/>
      <c r="AH117" s="147" t="s">
        <v>710</v>
      </c>
      <c r="AI117" s="148" t="s">
        <v>718</v>
      </c>
      <c r="AJ117" s="160"/>
      <c r="AK117" s="160"/>
      <c r="AL117" s="149"/>
      <c r="AM117" s="277"/>
      <c r="AN117" s="277"/>
      <c r="AO117" s="278"/>
      <c r="AP117" s="146">
        <f t="shared" ref="AP117:AU117" si="58">AP118+AP125</f>
        <v>0</v>
      </c>
      <c r="AQ117" s="146">
        <f t="shared" si="58"/>
        <v>0</v>
      </c>
      <c r="AR117" s="146">
        <f t="shared" si="58"/>
        <v>0</v>
      </c>
      <c r="AS117" s="245"/>
      <c r="AT117" s="245"/>
      <c r="AU117" s="146">
        <f t="shared" si="58"/>
        <v>0</v>
      </c>
      <c r="AX117" s="147" t="s">
        <v>710</v>
      </c>
      <c r="AY117" s="148" t="s">
        <v>718</v>
      </c>
      <c r="AZ117" s="160"/>
      <c r="BA117" s="160"/>
      <c r="BB117" s="149"/>
      <c r="BC117" s="275"/>
      <c r="BD117" s="275"/>
      <c r="BE117" s="276"/>
      <c r="BF117" s="187">
        <f>BF118+BF125</f>
        <v>0</v>
      </c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95" customFormat="1">
      <c r="A118"/>
      <c r="B118" s="31"/>
      <c r="C118" s="30" t="s">
        <v>719</v>
      </c>
      <c r="D118" s="30"/>
      <c r="E118" s="30"/>
      <c r="F118" s="33"/>
      <c r="G118" s="33"/>
      <c r="H118" s="33"/>
      <c r="I118" s="67"/>
      <c r="J118" s="33"/>
      <c r="K118" s="69" t="e">
        <f t="shared" ref="K118:Q118" si="59">SUM(K119:K124)</f>
        <v>#REF!</v>
      </c>
      <c r="L118" s="69" t="e">
        <f t="shared" si="59"/>
        <v>#REF!</v>
      </c>
      <c r="M118" s="69" t="e">
        <f t="shared" si="59"/>
        <v>#REF!</v>
      </c>
      <c r="N118" s="69" t="e">
        <f t="shared" si="59"/>
        <v>#REF!</v>
      </c>
      <c r="O118" s="69" t="e">
        <f t="shared" si="59"/>
        <v>#REF!</v>
      </c>
      <c r="P118" s="69" t="e">
        <f t="shared" si="59"/>
        <v>#REF!</v>
      </c>
      <c r="Q118" s="69" t="e">
        <f t="shared" si="59"/>
        <v>#REF!</v>
      </c>
      <c r="R118" s="69" t="e">
        <f t="shared" si="45"/>
        <v>#REF!</v>
      </c>
      <c r="S118" s="69"/>
      <c r="T118" s="69"/>
      <c r="U118" s="69" t="e">
        <f>SUM(U119:U124)</f>
        <v>#REF!</v>
      </c>
      <c r="V118" s="69" t="e">
        <f>SUM(V119:V124)</f>
        <v>#REF!</v>
      </c>
      <c r="W118" s="69" t="e">
        <f>SUM(W119:W124)</f>
        <v>#REF!</v>
      </c>
      <c r="X118" s="69" t="e">
        <f>SUM(X119:X124)</f>
        <v>#REF!</v>
      </c>
      <c r="Y118"/>
      <c r="Z118"/>
      <c r="AA118"/>
      <c r="AB118"/>
      <c r="AC118"/>
      <c r="AD118"/>
      <c r="AE118"/>
      <c r="AF118"/>
      <c r="AG118"/>
      <c r="AH118" s="152"/>
      <c r="AI118" s="157" t="s">
        <v>719</v>
      </c>
      <c r="AJ118" s="158"/>
      <c r="AK118" s="158"/>
      <c r="AL118" s="155"/>
      <c r="AM118" s="277"/>
      <c r="AN118" s="277"/>
      <c r="AO118" s="278"/>
      <c r="AP118" s="146">
        <f t="shared" ref="AP118:AU118" si="60">SUM(AP119:AP124)</f>
        <v>0</v>
      </c>
      <c r="AQ118" s="146">
        <f t="shared" si="60"/>
        <v>0</v>
      </c>
      <c r="AR118" s="146">
        <f t="shared" si="60"/>
        <v>0</v>
      </c>
      <c r="AS118" s="245"/>
      <c r="AT118" s="245"/>
      <c r="AU118" s="146">
        <f t="shared" si="60"/>
        <v>0</v>
      </c>
      <c r="AX118" s="152"/>
      <c r="AY118" s="157" t="s">
        <v>719</v>
      </c>
      <c r="AZ118" s="158"/>
      <c r="BA118" s="158"/>
      <c r="BB118" s="155"/>
      <c r="BC118" s="275"/>
      <c r="BD118" s="275"/>
      <c r="BE118" s="276"/>
      <c r="BF118" s="187">
        <f>SUM(BF119:BF124)</f>
        <v>0</v>
      </c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95" customFormat="1">
      <c r="A119"/>
      <c r="B119" s="31"/>
      <c r="C119" s="30"/>
      <c r="D119" s="30" t="s">
        <v>720</v>
      </c>
      <c r="E119" s="30"/>
      <c r="F119" s="33" t="s">
        <v>809</v>
      </c>
      <c r="G119" s="33" t="s">
        <v>18</v>
      </c>
      <c r="H119" s="33"/>
      <c r="I119" s="67">
        <v>1</v>
      </c>
      <c r="J119" s="33"/>
      <c r="K119" s="69" t="e">
        <f>+GETPIVOTDATA("PPEF 2010 ",#REF!,"No. Ramo",16,"IPP","G","PP",13,"UR","F00")+GETPIVOTDATA("PPEF 2010 ",#REF!,"No. Ramo",16,"IPP","K","PP",25,"UR","F00")+GETPIVOTDATA("PPEF 2010 ",#REF!,"No. Ramo",16,"IPP","K","PP",138,"UR","F00")+GETPIVOTDATA("PPEF 2010 ",#REF!,"No. Ramo",16,"IPP","M","PP",1,"UR","F00")+GETPIVOTDATA("PPEF 2010 ",#REF!,"No. Ramo",16,"IPP","R","PP",14,"UR","F00")+GETPIVOTDATA("PPEF 2010 ",#REF!,"No. Ramo",16,"IPP","U","PP",9,"UR","F00")+GETPIVOTDATA("PPEF 2010 ",#REF!,"No. Ramo",16,"IPP","U","PP",24,"UR","F00")+GETPIVOTDATA("PPEF 2010 ",#REF!,"No. Ramo",16,"IPP","U","PP",25,"UR","F00")+GETPIVOTDATA("PPEF 2010 ",#REF!,"No. Ramo",16,"IPP","U","PP",29,"UR","F00")</f>
        <v>#REF!</v>
      </c>
      <c r="L119" s="69" t="e">
        <f>+GETPIVOTDATA("Ampliación Neta DIP ",#REF!,"No. Ramo",16,"IPP","G","PP",13,"UR","F00")+GETPIVOTDATA("Ampliación Neta DIP ",#REF!,"No. Ramo",16,"IPP","K","PP",25,"UR","F00")+GETPIVOTDATA("Ampliación Neta DIP ",#REF!,"No. Ramo",16,"IPP","K","PP",138,"UR","F00")+GETPIVOTDATA("Ampliación Neta DIP ",#REF!,"No. Ramo",16,"IPP","M","PP",1,"UR","F00")+GETPIVOTDATA("Ampliación Neta DIP ",#REF!,"No. Ramo",16,"IPP","R","PP",14,"UR","F00")+GETPIVOTDATA("Ampliación Neta DIP ",#REF!,"No. Ramo",16,"IPP","U","PP",9,"UR","F00")+GETPIVOTDATA("Ampliación Neta DIP ",#REF!,"No. Ramo",16,"IPP","U","PP",24,"UR","F00")+GETPIVOTDATA("Ampliación Neta DIP ",#REF!,"No. Ramo",16,"IPP","U","PP",25,"UR","F00")+GETPIVOTDATA("Ampliación Neta DIP ",#REF!,"No. Ramo",16,"IPP","U","PP",29,"UR","F00")</f>
        <v>#REF!</v>
      </c>
      <c r="M119" s="69" t="e">
        <f>+GETPIVOTDATA("Recorte SHCP ",#REF!,"No. Ramo",16,"IPP","G","PP",13,"UR","F00")+GETPIVOTDATA("Recorte SHCP ",#REF!,"No. Ramo",16,"IPP","K","PP",25,"UR","F00")+GETPIVOTDATA("Recorte SHCP ",#REF!,"No. Ramo",16,"IPP","K","PP",138,"UR","F00")+GETPIVOTDATA("Recorte SHCP ",#REF!,"No. Ramo",16,"IPP","M","PP",1,"UR","F00")+GETPIVOTDATA("Recorte SHCP ",#REF!,"No. Ramo",16,"IPP","R","PP",14,"UR","F00")+GETPIVOTDATA("Recorte SHCP ",#REF!,"No. Ramo",16,"IPP","U","PP",9,"UR","F00")+GETPIVOTDATA("Recorte SHCP ",#REF!,"No. Ramo",16,"IPP","U","PP",24,"UR","F00")+GETPIVOTDATA("Recorte SHCP ",#REF!,"No. Ramo",16,"IPP","U","PP",25,"UR","F00")+GETPIVOTDATA("Recorte SHCP ",#REF!,"No. Ramo",16,"IPP","U","PP",29,"UR","F00")</f>
        <v>#REF!</v>
      </c>
      <c r="N119" s="69" t="e">
        <f>+GETPIVOTDATA("PEF 2010 ",#REF!,"No. Ramo",16,"IPP","G","PP",13,"UR","F00")+GETPIVOTDATA("PEF 2010 ",#REF!,"No. Ramo",16,"IPP","K","PP",25,"UR","F00")+GETPIVOTDATA("PEF 2010 ",#REF!,"No. Ramo",16,"IPP","K","PP",138,"UR","F00")+GETPIVOTDATA("PEF 2010 ",#REF!,"No. Ramo",16,"IPP","M","PP",1,"UR","F00")+GETPIVOTDATA("PEF 2010 ",#REF!,"No. Ramo",16,"IPP","R","PP",14,"UR","F00")+GETPIVOTDATA("PEF 2010 ",#REF!,"No. Ramo",16,"IPP","U","PP",9,"UR","F00")+GETPIVOTDATA("PEF 2010 ",#REF!,"No. Ramo",16,"IPP","U","PP",24,"UR","F00")+GETPIVOTDATA("PEF 2010 ",#REF!,"No. Ramo",16,"IPP","U","PP",25,"UR","F00")+GETPIVOTDATA("PEF 2010 ",#REF!,"No. Ramo",16,"IPP","U","PP",29,"UR","F00")</f>
        <v>#REF!</v>
      </c>
      <c r="O119" s="69" t="e">
        <f>+GETPIVOTDATA("PPEF 2011 ",#REF!,"No. Ramo",16,"IPP","G","PP",13,"UR","F00")+GETPIVOTDATA("PPEF 2011 ",#REF!,"No. Ramo",16,"IPP","K","PP",25,"UR","F00")+GETPIVOTDATA("PPEF 2011 ",#REF!,"No. Ramo",16,"IPP","K","PP",138,"UR","F00")+GETPIVOTDATA("PPEF 2011 ",#REF!,"No. Ramo",16,"IPP","M","PP",1,"UR","F00")+GETPIVOTDATA("PPEF 2011 ",#REF!,"No. Ramo",16,"IPP","R","PP",14,"UR","F00")+GETPIVOTDATA("PPEF 2011 ",#REF!,"No. Ramo",16,"IPP","U","PP",9,"UR","F00")+GETPIVOTDATA("PPEF 2011 ",#REF!,"No. Ramo",16,"IPP","U","PP",24,"UR","F00")+GETPIVOTDATA("PPEF 2011 ",#REF!,"No. Ramo",16,"IPP","U","PP",25,"UR","F00")+GETPIVOTDATA("PPEF 2011 ",#REF!,"No. Ramo",16,"IPP","U","PP",29,"UR","F00")</f>
        <v>#REF!</v>
      </c>
      <c r="P119" s="69" t="e">
        <f>+GETPIVOTDATA("Reducción ",#REF!,"No. Ramo",16,"IPP","G","PP",13,"UR","F00")+GETPIVOTDATA("Reducción ",#REF!,"No. Ramo",16,"IPP","K","PP",25,"UR","F00")+GETPIVOTDATA("Reducción ",#REF!,"No. Ramo",16,"IPP","K","PP",138,"UR","F00")+GETPIVOTDATA("Reducción ",#REF!,"No. Ramo",16,"IPP","M","PP",1,"UR","F00")+GETPIVOTDATA("Reducción ",#REF!,"No. Ramo",16,"IPP","R","PP",14,"UR","F00")+GETPIVOTDATA("Reducción ",#REF!,"No. Ramo",16,"IPP","U","PP",9,"UR","F00")+GETPIVOTDATA("Reducción ",#REF!,"No. Ramo",16,"IPP","U","PP",24,"UR","F00")+GETPIVOTDATA("Reducción ",#REF!,"No. Ramo",16,"IPP","U","PP",25,"UR","F00")+GETPIVOTDATA("Reducción ",#REF!,"No. Ramo",16,"IPP","U","PP",29,"UR","F00")</f>
        <v>#REF!</v>
      </c>
      <c r="Q119" s="69" t="e">
        <f>+GETPIVOTDATA("Ampliación ",#REF!,"No. Ramo",16,"IPP","G","PP",13,"UR","F00")+GETPIVOTDATA("Ampliación ",#REF!,"No. Ramo",16,"IPP","K","PP",25,"UR","F00")+GETPIVOTDATA("Ampliación ",#REF!,"No. Ramo",16,"IPP","K","PP",138,"UR","F00")+GETPIVOTDATA("Ampliación ",#REF!,"No. Ramo",16,"IPP","M","PP",1,"UR","F00")+GETPIVOTDATA("Ampliación ",#REF!,"No. Ramo",16,"IPP","R","PP",14,"UR","F00")+GETPIVOTDATA("Ampliación ",#REF!,"No. Ramo",16,"IPP","U","PP",9,"UR","F00")+GETPIVOTDATA("Ampliación ",#REF!,"No. Ramo",16,"IPP","U","PP",24,"UR","F00")+GETPIVOTDATA("Ampliación ",#REF!,"No. Ramo",16,"IPP","U","PP",25,"UR","F00")+GETPIVOTDATA("Ampliación ",#REF!,"No. Ramo",16,"IPP","U","PP",29,"UR","F00")</f>
        <v>#REF!</v>
      </c>
      <c r="R119" s="69" t="e">
        <f t="shared" si="45"/>
        <v>#REF!</v>
      </c>
      <c r="S119" s="69"/>
      <c r="T119" s="69"/>
      <c r="U119" s="69" t="e">
        <f t="shared" si="47"/>
        <v>#REF!</v>
      </c>
      <c r="V119" s="69" t="e">
        <f t="shared" si="47"/>
        <v>#REF!</v>
      </c>
      <c r="W119" s="69" t="e">
        <f t="shared" si="47"/>
        <v>#REF!</v>
      </c>
      <c r="X119" s="69" t="e">
        <f t="shared" si="47"/>
        <v>#REF!</v>
      </c>
      <c r="Y119"/>
      <c r="Z119"/>
      <c r="AA119"/>
      <c r="AB119"/>
      <c r="AC119"/>
      <c r="AD119"/>
      <c r="AE119"/>
      <c r="AF119"/>
      <c r="AG119"/>
      <c r="AH119" s="152"/>
      <c r="AI119" s="157"/>
      <c r="AJ119" s="158" t="s">
        <v>720</v>
      </c>
      <c r="AK119" s="158"/>
      <c r="AL119" s="277"/>
      <c r="AM119" s="277"/>
      <c r="AN119" s="277"/>
      <c r="AO119" s="278"/>
      <c r="AP119" s="146"/>
      <c r="AQ119" s="146"/>
      <c r="AR119" s="146"/>
      <c r="AS119" s="245"/>
      <c r="AT119" s="245"/>
      <c r="AU119" s="146"/>
      <c r="AX119" s="152"/>
      <c r="AY119" s="157"/>
      <c r="AZ119" s="158" t="s">
        <v>720</v>
      </c>
      <c r="BA119" s="158"/>
      <c r="BB119" s="275"/>
      <c r="BC119" s="275"/>
      <c r="BD119" s="275"/>
      <c r="BE119" s="276"/>
      <c r="BF119" s="187">
        <f t="shared" ref="BF119:BF125" si="61">+AU119</f>
        <v>0</v>
      </c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5" customFormat="1">
      <c r="A120"/>
      <c r="B120" s="31"/>
      <c r="C120" s="30"/>
      <c r="D120" s="30" t="s">
        <v>721</v>
      </c>
      <c r="E120" s="30"/>
      <c r="F120" s="33" t="s">
        <v>822</v>
      </c>
      <c r="G120" s="33" t="s">
        <v>51</v>
      </c>
      <c r="H120" s="33"/>
      <c r="I120" s="67">
        <v>1</v>
      </c>
      <c r="J120" s="33"/>
      <c r="K120" s="69" t="e">
        <f>+GETPIVOTDATA("PPEF 2010 ",#REF!,"No. Ramo",16,"IPP","G","PP",5,"UR","E00")*0.199999999473309+GETPIVOTDATA("PPEF 2010 ",#REF!,"No. Ramo",16,"IPP","K","PP",138,"UR","E00")*0.28+GETPIVOTDATA("PPEF 2010 ",#REF!,"No. Ramo",16,"IPP","M","PP",1,"UR","E00")*0.200018201656351</f>
        <v>#REF!</v>
      </c>
      <c r="L120" s="69" t="e">
        <f>+GETPIVOTDATA("Ampliación Neta DIP ",#REF!,"No. Ramo",16,"IPP","G","PP",5,"UR","E00")*0.199999999473309+GETPIVOTDATA("Ampliación Neta DIP ",#REF!,"No. Ramo",16,"IPP","K","PP",138,"UR","E00")*0.28+GETPIVOTDATA("Ampliación Neta DIP ",#REF!,"No. Ramo",16,"IPP","M","PP",1,"UR","E00")*0.200018201656351</f>
        <v>#REF!</v>
      </c>
      <c r="M120" s="69" t="e">
        <f>+GETPIVOTDATA("Recorte SHCP ",#REF!,"No. Ramo",16,"IPP","G","PP",5,"UR","E00")*0.199999999473309+GETPIVOTDATA("Recorte SHCP ",#REF!,"No. Ramo",16,"IPP","K","PP",138,"UR","E00")*0.28+GETPIVOTDATA("Recorte SHCP ",#REF!,"No. Ramo",16,"IPP","M","PP",1,"UR","E00")*0.200018201656351</f>
        <v>#REF!</v>
      </c>
      <c r="N120" s="69" t="e">
        <f>+GETPIVOTDATA("PEF 2010 ",#REF!,"No. Ramo",16,"IPP","G","PP",5,"UR","E00")*0.199999999473309+GETPIVOTDATA("PEF 2010 ",#REF!,"No. Ramo",16,"IPP","K","PP",138,"UR","E00")*0.28+GETPIVOTDATA("PEF 2010 ",#REF!,"No. Ramo",16,"IPP","M","PP",1,"UR","E00")*0.200018201656351</f>
        <v>#REF!</v>
      </c>
      <c r="O120" s="69" t="e">
        <f>+GETPIVOTDATA("PPEF 2011 ",#REF!,"No. Ramo",16,"IPP","G","PP",5,"UR","E00")*0.199999999473309+GETPIVOTDATA("PPEF 2011 ",#REF!,"No. Ramo",16,"IPP","K","PP",138,"UR","E00")*0.28+GETPIVOTDATA("PPEF 2011 ",#REF!,"No. Ramo",16,"IPP","M","PP",1,"UR","E00")*0.200018201656351</f>
        <v>#REF!</v>
      </c>
      <c r="P120" s="69" t="e">
        <f>+GETPIVOTDATA("Reducción ",#REF!,"No. Ramo",16,"IPP","G","PP",5,"UR","E00")*0.199999999473309+GETPIVOTDATA("Reducción ",#REF!,"No. Ramo",16,"IPP","K","PP",138,"UR","E00")*0.28+GETPIVOTDATA("Reducción ",#REF!,"No. Ramo",16,"IPP","M","PP",1,"UR","E00")*0.200018201656351</f>
        <v>#REF!</v>
      </c>
      <c r="Q120" s="69" t="e">
        <f>+GETPIVOTDATA("Ampliación ",#REF!,"No. Ramo",16,"IPP","G","PP",5,"UR","E00")*0.199999999473309+GETPIVOTDATA("Ampliación ",#REF!,"No. Ramo",16,"IPP","K","PP",138,"UR","E00")*0.28+GETPIVOTDATA("Ampliación ",#REF!,"No. Ramo",16,"IPP","M","PP",1,"UR","E00")*0.200018201656351</f>
        <v>#REF!</v>
      </c>
      <c r="R120" s="69" t="e">
        <f t="shared" si="45"/>
        <v>#REF!</v>
      </c>
      <c r="S120" s="69"/>
      <c r="T120" s="69"/>
      <c r="U120" s="69" t="e">
        <f t="shared" si="47"/>
        <v>#REF!</v>
      </c>
      <c r="V120" s="69" t="e">
        <f t="shared" si="47"/>
        <v>#REF!</v>
      </c>
      <c r="W120" s="69" t="e">
        <f t="shared" si="47"/>
        <v>#REF!</v>
      </c>
      <c r="X120" s="69" t="e">
        <f t="shared" si="47"/>
        <v>#REF!</v>
      </c>
      <c r="Y120"/>
      <c r="Z120"/>
      <c r="AA120"/>
      <c r="AB120"/>
      <c r="AC120"/>
      <c r="AD120"/>
      <c r="AE120"/>
      <c r="AF120"/>
      <c r="AG120"/>
      <c r="AH120" s="152"/>
      <c r="AI120" s="157"/>
      <c r="AJ120" s="158" t="s">
        <v>721</v>
      </c>
      <c r="AK120" s="158"/>
      <c r="AL120" s="277"/>
      <c r="AM120" s="277"/>
      <c r="AN120" s="277"/>
      <c r="AO120" s="278"/>
      <c r="AP120" s="146"/>
      <c r="AQ120" s="146"/>
      <c r="AR120" s="146"/>
      <c r="AS120" s="245"/>
      <c r="AT120" s="245"/>
      <c r="AU120" s="146"/>
      <c r="AX120" s="152"/>
      <c r="AY120" s="157"/>
      <c r="AZ120" s="158" t="s">
        <v>721</v>
      </c>
      <c r="BA120" s="158"/>
      <c r="BB120" s="275"/>
      <c r="BC120" s="275"/>
      <c r="BD120" s="275"/>
      <c r="BE120" s="276"/>
      <c r="BF120" s="187">
        <f t="shared" si="61"/>
        <v>0</v>
      </c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5" customFormat="1">
      <c r="A121"/>
      <c r="B121" s="31"/>
      <c r="C121" s="30"/>
      <c r="D121" s="30" t="s">
        <v>722</v>
      </c>
      <c r="E121" s="30"/>
      <c r="F121" s="33" t="s">
        <v>823</v>
      </c>
      <c r="G121" s="33">
        <v>713</v>
      </c>
      <c r="H121" s="33"/>
      <c r="I121" s="67">
        <v>1</v>
      </c>
      <c r="J121" s="33"/>
      <c r="K121" s="69" t="e">
        <f>+GETPIVOTDATA("PPEF 2010 ",#REF!,"No. Ramo",16,"IPP","G","PP",3,"UR",713)+GETPIVOTDATA("PPEF 2010 ",#REF!,"No. Ramo",16,"IPP","U","PP",20,"UR",713)</f>
        <v>#REF!</v>
      </c>
      <c r="L121" s="69" t="e">
        <f>+GETPIVOTDATA("Ampliación Neta DIP ",#REF!,"No. Ramo",16,"IPP","G","PP",3,"UR",713)+GETPIVOTDATA("Ampliación Neta DIP ",#REF!,"No. Ramo",16,"IPP","U","PP",20,"UR",713)</f>
        <v>#REF!</v>
      </c>
      <c r="M121" s="69" t="e">
        <f>+GETPIVOTDATA("Recorte SHCP ",#REF!,"No. Ramo",16,"IPP","G","PP",3,"UR",713)+GETPIVOTDATA("Recorte SHCP ",#REF!,"No. Ramo",16,"IPP","U","PP",20,"UR",713)</f>
        <v>#REF!</v>
      </c>
      <c r="N121" s="69" t="e">
        <f>+GETPIVOTDATA("PEF 2010 ",#REF!,"No. Ramo",16,"IPP","G","PP",3,"UR",713)+GETPIVOTDATA("PEF 2010 ",#REF!,"No. Ramo",16,"IPP","U","PP",20,"UR",713)</f>
        <v>#REF!</v>
      </c>
      <c r="O121" s="69" t="e">
        <f>+GETPIVOTDATA("PPEF 2011 ",#REF!,"No. Ramo",16,"IPP","G","PP",3,"UR",713)+GETPIVOTDATA("PPEF 2011 ",#REF!,"No. Ramo",16,"IPP","U","PP",20,"UR",713)</f>
        <v>#REF!</v>
      </c>
      <c r="P121" s="69" t="e">
        <f>+GETPIVOTDATA("Reducción ",#REF!,"No. Ramo",16,"IPP","G","PP",3,"UR",713)+GETPIVOTDATA("Reducción ",#REF!,"No. Ramo",16,"IPP","U","PP",20,"UR",713)</f>
        <v>#REF!</v>
      </c>
      <c r="Q121" s="69" t="e">
        <f>+GETPIVOTDATA("Ampliación ",#REF!,"No. Ramo",16,"IPP","G","PP",3,"UR",713)+GETPIVOTDATA("Ampliación ",#REF!,"No. Ramo",16,"IPP","U","PP",20,"UR",713)</f>
        <v>#REF!</v>
      </c>
      <c r="R121" s="69" t="e">
        <f t="shared" si="45"/>
        <v>#REF!</v>
      </c>
      <c r="S121" s="69"/>
      <c r="T121" s="69"/>
      <c r="U121" s="69" t="e">
        <f t="shared" si="47"/>
        <v>#REF!</v>
      </c>
      <c r="V121" s="69" t="e">
        <f t="shared" si="47"/>
        <v>#REF!</v>
      </c>
      <c r="W121" s="69" t="e">
        <f t="shared" si="47"/>
        <v>#REF!</v>
      </c>
      <c r="X121" s="69" t="e">
        <f t="shared" si="47"/>
        <v>#REF!</v>
      </c>
      <c r="Y121"/>
      <c r="Z121"/>
      <c r="AA121"/>
      <c r="AB121"/>
      <c r="AC121"/>
      <c r="AD121"/>
      <c r="AE121"/>
      <c r="AF121"/>
      <c r="AG121"/>
      <c r="AH121" s="152"/>
      <c r="AI121" s="157"/>
      <c r="AJ121" s="158" t="s">
        <v>722</v>
      </c>
      <c r="AK121" s="158"/>
      <c r="AL121" s="277"/>
      <c r="AM121" s="277"/>
      <c r="AN121" s="277"/>
      <c r="AO121" s="278"/>
      <c r="AP121" s="146"/>
      <c r="AQ121" s="146"/>
      <c r="AR121" s="146"/>
      <c r="AS121" s="245"/>
      <c r="AT121" s="245"/>
      <c r="AU121" s="146"/>
      <c r="AX121" s="152"/>
      <c r="AY121" s="157"/>
      <c r="AZ121" s="158" t="s">
        <v>722</v>
      </c>
      <c r="BA121" s="158"/>
      <c r="BB121" s="275"/>
      <c r="BC121" s="275"/>
      <c r="BD121" s="275"/>
      <c r="BE121" s="276"/>
      <c r="BF121" s="187">
        <f t="shared" si="61"/>
        <v>0</v>
      </c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5" customFormat="1">
      <c r="A122"/>
      <c r="B122" s="31"/>
      <c r="C122" s="30"/>
      <c r="D122" s="30" t="s">
        <v>723</v>
      </c>
      <c r="E122" s="30"/>
      <c r="F122" s="33" t="s">
        <v>824</v>
      </c>
      <c r="G122" s="33" t="s">
        <v>18</v>
      </c>
      <c r="H122" s="33"/>
      <c r="I122" s="67">
        <v>1</v>
      </c>
      <c r="J122" s="33"/>
      <c r="K122" s="69" t="e">
        <f>+GETPIVOTDATA("PPEF 2010 ",#REF!,"No. Ramo",16,"IPP","S","PP",46,"UR","F00")</f>
        <v>#REF!</v>
      </c>
      <c r="L122" s="69" t="e">
        <f>+GETPIVOTDATA("Ampliación Neta DIP ",#REF!,"No. Ramo",16,"IPP","S","PP",46,"UR","F00")</f>
        <v>#REF!</v>
      </c>
      <c r="M122" s="69" t="e">
        <f>+GETPIVOTDATA("Recorte SHCP ",#REF!,"No. Ramo",16,"IPP","S","PP",46,"UR","F00")</f>
        <v>#REF!</v>
      </c>
      <c r="N122" s="69" t="e">
        <f>+GETPIVOTDATA("PEF 2010 ",#REF!,"No. Ramo",16,"IPP","S","PP",46,"UR","F00")</f>
        <v>#REF!</v>
      </c>
      <c r="O122" s="69" t="e">
        <f>+GETPIVOTDATA("PPEF 2011 ",#REF!,"No. Ramo",16,"IPP","S","PP",46,"UR","F00")</f>
        <v>#REF!</v>
      </c>
      <c r="P122" s="69" t="e">
        <f>+GETPIVOTDATA("Reducción ",#REF!,"No. Ramo",16,"IPP","S","PP",46,"UR","F00")</f>
        <v>#REF!</v>
      </c>
      <c r="Q122" s="69" t="e">
        <f>+GETPIVOTDATA("Ampliación ",#REF!,"No. Ramo",16,"IPP","S","PP",46,"UR","F00")</f>
        <v>#REF!</v>
      </c>
      <c r="R122" s="69" t="e">
        <f t="shared" si="45"/>
        <v>#REF!</v>
      </c>
      <c r="S122" s="69"/>
      <c r="T122" s="69"/>
      <c r="U122" s="69" t="e">
        <f t="shared" si="47"/>
        <v>#REF!</v>
      </c>
      <c r="V122" s="69" t="e">
        <f t="shared" si="47"/>
        <v>#REF!</v>
      </c>
      <c r="W122" s="69" t="e">
        <f t="shared" si="47"/>
        <v>#REF!</v>
      </c>
      <c r="X122" s="69" t="e">
        <f t="shared" si="47"/>
        <v>#REF!</v>
      </c>
      <c r="Y122"/>
      <c r="Z122"/>
      <c r="AA122"/>
      <c r="AB122"/>
      <c r="AC122"/>
      <c r="AD122"/>
      <c r="AE122"/>
      <c r="AF122"/>
      <c r="AG122"/>
      <c r="AH122" s="152"/>
      <c r="AI122" s="157"/>
      <c r="AJ122" s="158" t="s">
        <v>723</v>
      </c>
      <c r="AK122" s="158"/>
      <c r="AL122" s="277"/>
      <c r="AM122" s="277"/>
      <c r="AN122" s="277"/>
      <c r="AO122" s="278"/>
      <c r="AP122" s="146"/>
      <c r="AQ122" s="146"/>
      <c r="AR122" s="146"/>
      <c r="AS122" s="245"/>
      <c r="AT122" s="245"/>
      <c r="AU122" s="146"/>
      <c r="AX122" s="152"/>
      <c r="AY122" s="157"/>
      <c r="AZ122" s="158" t="s">
        <v>723</v>
      </c>
      <c r="BA122" s="158"/>
      <c r="BB122" s="275"/>
      <c r="BC122" s="275"/>
      <c r="BD122" s="275"/>
      <c r="BE122" s="276"/>
      <c r="BF122" s="187">
        <f t="shared" si="61"/>
        <v>0</v>
      </c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5" customFormat="1">
      <c r="A123"/>
      <c r="B123" s="31"/>
      <c r="C123" s="30"/>
      <c r="D123" s="30" t="s">
        <v>724</v>
      </c>
      <c r="E123" s="30"/>
      <c r="F123" s="33" t="s">
        <v>825</v>
      </c>
      <c r="G123" s="33" t="s">
        <v>826</v>
      </c>
      <c r="H123" s="33"/>
      <c r="I123" s="67">
        <v>1</v>
      </c>
      <c r="J123" s="33"/>
      <c r="K123" s="69" t="e">
        <f>+GETPIVOTDATA("PPEF 2010 ",#REF!,"No. Ramo",16,"IPP","S","PP",71,"UR",413)+GETPIVOTDATA("PPEF 2010 ",#REF!,"No. Ramo",16,"IPP","S","PP",71,"UR","B20")+GETPIVOTDATA("PPEF 2010 ",#REF!,"No. Ramo",16,"IPP","S","PP",71,"UR","B23")+GETPIVOTDATA("PPEF 2010 ",#REF!,"No. Ramo",16,"IPP","S","PP",71,"UR","B24")+GETPIVOTDATA("PPEF 2010 ",#REF!,"No. Ramo",16,"IPP","S","PP",71,"UR","B29")+GETPIVOTDATA("PPEF 2010 ",#REF!,"No. Ramo",16,"IPP","S","PP",71,"UR","B41")+GETPIVOTDATA("PPEF 2010 ",#REF!,"No. Ramo",16,"IPP","S","PP",71,"UR","B42")+GETPIVOTDATA("PPEF 2010 ",#REF!,"No. Ramo",16,"IPP","S","PP",71,"UR","B44")+GETPIVOTDATA("PPEF 2010 ",#REF!,"No. Ramo",16,"IPP","S","PP",71,"UR","B46")</f>
        <v>#REF!</v>
      </c>
      <c r="L123" s="69" t="e">
        <f>+GETPIVOTDATA("Ampliación Neta DIP ",#REF!,"No. Ramo",16,"IPP","S","PP",71,"UR",413)+GETPIVOTDATA("Ampliación Neta DIP ",#REF!,"No. Ramo",16,"IPP","S","PP",71,"UR","B20")+GETPIVOTDATA("Ampliación Neta DIP ",#REF!,"No. Ramo",16,"IPP","S","PP",71,"UR","B23")+GETPIVOTDATA("Ampliación Neta DIP ",#REF!,"No. Ramo",16,"IPP","S","PP",71,"UR","B24")+GETPIVOTDATA("Ampliación Neta DIP ",#REF!,"No. Ramo",16,"IPP","S","PP",71,"UR","B29")+GETPIVOTDATA("Ampliación Neta DIP ",#REF!,"No. Ramo",16,"IPP","S","PP",71,"UR","B41")+GETPIVOTDATA("Ampliación Neta DIP ",#REF!,"No. Ramo",16,"IPP","S","PP",71,"UR","B42")+GETPIVOTDATA("Ampliación Neta DIP ",#REF!,"No. Ramo",16,"IPP","S","PP",71,"UR","B44")+GETPIVOTDATA("Ampliación Neta DIP ",#REF!,"No. Ramo",16,"IPP","S","PP",71,"UR","B46")</f>
        <v>#REF!</v>
      </c>
      <c r="M123" s="69" t="e">
        <f>+GETPIVOTDATA("Recorte SHCP ",#REF!,"No. Ramo",16,"IPP","S","PP",71,"UR",413)+GETPIVOTDATA("Recorte SHCP ",#REF!,"No. Ramo",16,"IPP","S","PP",71,"UR","B20")+GETPIVOTDATA("Recorte SHCP ",#REF!,"No. Ramo",16,"IPP","S","PP",71,"UR","B23")+GETPIVOTDATA("Recorte SHCP ",#REF!,"No. Ramo",16,"IPP","S","PP",71,"UR","B24")+GETPIVOTDATA("Recorte SHCP ",#REF!,"No. Ramo",16,"IPP","S","PP",71,"UR","B29")+GETPIVOTDATA("Recorte SHCP ",#REF!,"No. Ramo",16,"IPP","S","PP",71,"UR","B41")+GETPIVOTDATA("Recorte SHCP ",#REF!,"No. Ramo",16,"IPP","S","PP",71,"UR","B42")+GETPIVOTDATA("Recorte SHCP ",#REF!,"No. Ramo",16,"IPP","S","PP",71,"UR","B44")+GETPIVOTDATA("Recorte SHCP ",#REF!,"No. Ramo",16,"IPP","S","PP",71,"UR","B46")</f>
        <v>#REF!</v>
      </c>
      <c r="N123" s="69" t="e">
        <f>+GETPIVOTDATA("PEF 2010 ",#REF!,"No. Ramo",16,"IPP","S","PP",71,"UR",413)+GETPIVOTDATA("PEF 2010 ",#REF!,"No. Ramo",16,"IPP","S","PP",71,"UR","B20")+GETPIVOTDATA("PEF 2010 ",#REF!,"No. Ramo",16,"IPP","S","PP",71,"UR","B23")+GETPIVOTDATA("PEF 2010 ",#REF!,"No. Ramo",16,"IPP","S","PP",71,"UR","B24")+GETPIVOTDATA("PEF 2010 ",#REF!,"No. Ramo",16,"IPP","S","PP",71,"UR","B29")+GETPIVOTDATA("PEF 2010 ",#REF!,"No. Ramo",16,"IPP","S","PP",71,"UR","B41")+GETPIVOTDATA("PEF 2010 ",#REF!,"No. Ramo",16,"IPP","S","PP",71,"UR","B42")+GETPIVOTDATA("PEF 2010 ",#REF!,"No. Ramo",16,"IPP","S","PP",71,"UR","B44")+GETPIVOTDATA("PEF 2010 ",#REF!,"No. Ramo",16,"IPP","S","PP",71,"UR","B46")</f>
        <v>#REF!</v>
      </c>
      <c r="O123" s="69" t="e">
        <f>+GETPIVOTDATA("PPEF 2011 ",#REF!,"No. Ramo",16,"IPP","S","PP",71,"UR",413)+GETPIVOTDATA("PPEF 2011 ",#REF!,"No. Ramo",16,"IPP","S","PP",71,"UR","B20")+GETPIVOTDATA("PPEF 2011 ",#REF!,"No. Ramo",16,"IPP","S","PP",71,"UR","B23")+GETPIVOTDATA("PPEF 2011 ",#REF!,"No. Ramo",16,"IPP","S","PP",71,"UR","B24")+GETPIVOTDATA("PPEF 2011 ",#REF!,"No. Ramo",16,"IPP","S","PP",71,"UR","B29")+GETPIVOTDATA("PPEF 2011 ",#REF!,"No. Ramo",16,"IPP","S","PP",71,"UR","B41")+GETPIVOTDATA("PPEF 2011 ",#REF!,"No. Ramo",16,"IPP","S","PP",71,"UR","B42")+GETPIVOTDATA("PPEF 2011 ",#REF!,"No. Ramo",16,"IPP","S","PP",71,"UR","B44")+GETPIVOTDATA("PPEF 2011 ",#REF!,"No. Ramo",16,"IPP","S","PP",71,"UR","B46")</f>
        <v>#REF!</v>
      </c>
      <c r="P123" s="69" t="e">
        <f>+GETPIVOTDATA("Reducción ",#REF!,"No. Ramo",16,"IPP","S","PP",71,"UR",413)+GETPIVOTDATA("Reducción ",#REF!,"No. Ramo",16,"IPP","S","PP",71,"UR","B20")+GETPIVOTDATA("Reducción ",#REF!,"No. Ramo",16,"IPP","S","PP",71,"UR","B23")+GETPIVOTDATA("Reducción ",#REF!,"No. Ramo",16,"IPP","S","PP",71,"UR","B24")+GETPIVOTDATA("Reducción ",#REF!,"No. Ramo",16,"IPP","S","PP",71,"UR","B29")+GETPIVOTDATA("Reducción ",#REF!,"No. Ramo",16,"IPP","S","PP",71,"UR","B41")+GETPIVOTDATA("Reducción ",#REF!,"No. Ramo",16,"IPP","S","PP",71,"UR","B42")+GETPIVOTDATA("Reducción ",#REF!,"No. Ramo",16,"IPP","S","PP",71,"UR","B44")+GETPIVOTDATA("Reducción ",#REF!,"No. Ramo",16,"IPP","S","PP",71,"UR","B46")</f>
        <v>#REF!</v>
      </c>
      <c r="Q123" s="69" t="e">
        <f>+GETPIVOTDATA("Ampliación ",#REF!,"No. Ramo",16,"IPP","S","PP",71,"UR",413)+GETPIVOTDATA("Ampliación ",#REF!,"No. Ramo",16,"IPP","S","PP",71,"UR","B20")+GETPIVOTDATA("Ampliación ",#REF!,"No. Ramo",16,"IPP","S","PP",71,"UR","B23")+GETPIVOTDATA("Ampliación ",#REF!,"No. Ramo",16,"IPP","S","PP",71,"UR","B24")+GETPIVOTDATA("Ampliación ",#REF!,"No. Ramo",16,"IPP","S","PP",71,"UR","B29")+GETPIVOTDATA("Ampliación ",#REF!,"No. Ramo",16,"IPP","S","PP",71,"UR","B41")+GETPIVOTDATA("Ampliación ",#REF!,"No. Ramo",16,"IPP","S","PP",71,"UR","B42")+GETPIVOTDATA("Ampliación ",#REF!,"No. Ramo",16,"IPP","S","PP",71,"UR","B44")+GETPIVOTDATA("Ampliación ",#REF!,"No. Ramo",16,"IPP","S","PP",71,"UR","B46")</f>
        <v>#REF!</v>
      </c>
      <c r="R123" s="69" t="e">
        <f t="shared" si="45"/>
        <v>#REF!</v>
      </c>
      <c r="S123" s="69"/>
      <c r="T123" s="69"/>
      <c r="U123" s="69" t="e">
        <f t="shared" si="47"/>
        <v>#REF!</v>
      </c>
      <c r="V123" s="69" t="e">
        <f t="shared" si="47"/>
        <v>#REF!</v>
      </c>
      <c r="W123" s="69" t="e">
        <f t="shared" si="47"/>
        <v>#REF!</v>
      </c>
      <c r="X123" s="69" t="e">
        <f t="shared" si="47"/>
        <v>#REF!</v>
      </c>
      <c r="Y123"/>
      <c r="Z123"/>
      <c r="AA123"/>
      <c r="AB123"/>
      <c r="AC123"/>
      <c r="AD123"/>
      <c r="AE123"/>
      <c r="AF123"/>
      <c r="AG123"/>
      <c r="AH123" s="152"/>
      <c r="AI123" s="157"/>
      <c r="AJ123" s="158" t="s">
        <v>724</v>
      </c>
      <c r="AK123" s="158"/>
      <c r="AL123" s="277"/>
      <c r="AM123" s="277"/>
      <c r="AN123" s="277"/>
      <c r="AO123" s="278"/>
      <c r="AP123" s="146"/>
      <c r="AQ123" s="146"/>
      <c r="AR123" s="146"/>
      <c r="AS123" s="245"/>
      <c r="AT123" s="245"/>
      <c r="AU123" s="146"/>
      <c r="AX123" s="152"/>
      <c r="AY123" s="157"/>
      <c r="AZ123" s="158" t="s">
        <v>724</v>
      </c>
      <c r="BA123" s="158"/>
      <c r="BB123" s="275"/>
      <c r="BC123" s="275"/>
      <c r="BD123" s="275"/>
      <c r="BE123" s="276"/>
      <c r="BF123" s="187">
        <f t="shared" si="61"/>
        <v>0</v>
      </c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5" customFormat="1">
      <c r="A124"/>
      <c r="B124" s="31"/>
      <c r="C124" s="30"/>
      <c r="D124" s="30" t="s">
        <v>725</v>
      </c>
      <c r="E124" s="30"/>
      <c r="F124" s="33" t="s">
        <v>825</v>
      </c>
      <c r="G124" s="33" t="s">
        <v>827</v>
      </c>
      <c r="H124" s="33"/>
      <c r="I124" s="67">
        <v>1</v>
      </c>
      <c r="J124" s="33"/>
      <c r="K124" s="43" t="e">
        <f>+GETPIVOTDATA("PPEF 2010 ",#REF!,"No. Ramo",16,"IPP","G","PP",3)-GETPIVOTDATA("PPEF 2010 ",#REF!,"No. Ramo",16,"IPP","G","PP",3,"UR",713)+GETPIVOTDATA("PPEF 2010 ",#REF!,"No. Ramo",16,"IPP","M","PP",1)-GETPIVOTDATA("PPEF 2010 ",#REF!,"No. Ramo",16,"IPP","M","PP",1,"UR","RJE")-GETPIVOTDATA("PPEF 2010 ",#REF!,"No. Ramo",16,"IPP","M","PP",1,"UR","RHQ")-GETPIVOTDATA("PPEF 2010 ",#REF!,"No. Ramo",16,"IPP","M","PP",1,"UR","F00")-GETPIVOTDATA("PPEF 2010 ",#REF!,"No. Ramo",16,"IPP","M","PP",1,"UR","E00")-GETPIVOTDATA("PPEF 2010 ",#REF!,"No. Ramo",16,"IPP","M","PP",1,"UR","D00")-GETPIVOTDATA("PPEF 2010 ",#REF!,"No. Ramo",16,"IPP","M","PP",1,"UR","B03")-GETPIVOTDATA("PPEF 2010 ",#REF!,"No. Ramo",16,"IPP","M","PP",1,"UR",513)-GETPIVOTDATA("PPEF 2010 ",#REF!,"No. Ramo",16,"IPP","M","PP",1,"UR",512)-GETPIVOTDATA("PPEF 2010 ",#REF!,"No. Ramo",16,"IPP","M","PP",1,"UR",511)-GETPIVOTDATA("PPEF 2010 ",#REF!,"No. Ramo",16,"IPP","M","PP",1,"UR",510)-GETPIVOTDATA("PPEF 2010 ",#REF!,"No. Ramo",16,"IPP","M","PP",1,"UR",500)+GETPIVOTDATA("PPEF 2010 ",#REF!,"No. Ramo",16,"IPP","P","PP",2)+GETPIVOTDATA("PPEF 2010 ",#REF!,"No. Ramo",16,"IPP","U","PP",21)+GETPIVOTDATA("PPEF 2010 ",#REF!,"No. Ramo",16,"IPP","U","PP",22)</f>
        <v>#REF!</v>
      </c>
      <c r="L124" s="43" t="e">
        <f>+GETPIVOTDATA("Ampliación Neta DIP ",#REF!,"No. Ramo",16,"IPP","G","PP",3)-GETPIVOTDATA("Ampliación Neta DIP ",#REF!,"No. Ramo",16,"IPP","G","PP",3,"UR",713)+GETPIVOTDATA("Ampliación Neta DIP ",#REF!,"No. Ramo",16,"IPP","M","PP",1)-GETPIVOTDATA("Ampliación Neta DIP ",#REF!,"No. Ramo",16,"IPP","M","PP",1,"UR","RJE")-GETPIVOTDATA("Ampliación Neta DIP ",#REF!,"No. Ramo",16,"IPP","M","PP",1,"UR","RHQ")-GETPIVOTDATA("Ampliación Neta DIP ",#REF!,"No. Ramo",16,"IPP","M","PP",1,"UR","F00")-GETPIVOTDATA("Ampliación Neta DIP ",#REF!,"No. Ramo",16,"IPP","M","PP",1,"UR","E00")-GETPIVOTDATA("Ampliación Neta DIP ",#REF!,"No. Ramo",16,"IPP","M","PP",1,"UR","D00")-GETPIVOTDATA("Ampliación Neta DIP ",#REF!,"No. Ramo",16,"IPP","M","PP",1,"UR","B03")-GETPIVOTDATA("Ampliación Neta DIP ",#REF!,"No. Ramo",16,"IPP","M","PP",1,"UR",513)-GETPIVOTDATA("Ampliación Neta DIP ",#REF!,"No. Ramo",16,"IPP","M","PP",1,"UR",512)-GETPIVOTDATA("Ampliación Neta DIP ",#REF!,"No. Ramo",16,"IPP","M","PP",1,"UR",511)-GETPIVOTDATA("Ampliación Neta DIP ",#REF!,"No. Ramo",16,"IPP","M","PP",1,"UR",510)-GETPIVOTDATA("Ampliación Neta DIP ",#REF!,"No. Ramo",16,"IPP","M","PP",1,"UR",500)+GETPIVOTDATA("Ampliación Neta DIP ",#REF!,"No. Ramo",16,"IPP","P","PP",2)+GETPIVOTDATA("Ampliación Neta DIP ",#REF!,"No. Ramo",16,"IPP","U","PP",21)+GETPIVOTDATA("Ampliación Neta DIP ",#REF!,"No. Ramo",16,"IPP","U","PP",22)</f>
        <v>#REF!</v>
      </c>
      <c r="M124" s="43" t="e">
        <f>+GETPIVOTDATA("Recorte SHCP ",#REF!,"No. Ramo",16,"IPP","G","PP",3)-GETPIVOTDATA("Recorte SHCP ",#REF!,"No. Ramo",16,"IPP","G","PP",3,"UR",713)+GETPIVOTDATA("Recorte SHCP ",#REF!,"No. Ramo",16,"IPP","M","PP",1)-GETPIVOTDATA("Recorte SHCP ",#REF!,"No. Ramo",16,"IPP","M","PP",1,"UR","RJE")-GETPIVOTDATA("Recorte SHCP ",#REF!,"No. Ramo",16,"IPP","M","PP",1,"UR","RHQ")-GETPIVOTDATA("Recorte SHCP ",#REF!,"No. Ramo",16,"IPP","M","PP",1,"UR","F00")-GETPIVOTDATA("Recorte SHCP ",#REF!,"No. Ramo",16,"IPP","M","PP",1,"UR","E00")-GETPIVOTDATA("Recorte SHCP ",#REF!,"No. Ramo",16,"IPP","M","PP",1,"UR","D00")-GETPIVOTDATA("Recorte SHCP ",#REF!,"No. Ramo",16,"IPP","M","PP",1,"UR","B03")-GETPIVOTDATA("Recorte SHCP ",#REF!,"No. Ramo",16,"IPP","M","PP",1,"UR",513)-GETPIVOTDATA("Recorte SHCP ",#REF!,"No. Ramo",16,"IPP","M","PP",1,"UR",512)-GETPIVOTDATA("Recorte SHCP ",#REF!,"No. Ramo",16,"IPP","M","PP",1,"UR",511)-GETPIVOTDATA("Recorte SHCP ",#REF!,"No. Ramo",16,"IPP","M","PP",1,"UR",510)-GETPIVOTDATA("Recorte SHCP ",#REF!,"No. Ramo",16,"IPP","M","PP",1,"UR",500)+GETPIVOTDATA("Recorte SHCP ",#REF!,"No. Ramo",16,"IPP","P","PP",2)+GETPIVOTDATA("Recorte SHCP ",#REF!,"No. Ramo",16,"IPP","U","PP",21)+GETPIVOTDATA("Recorte SHCP ",#REF!,"No. Ramo",16,"IPP","U","PP",22)</f>
        <v>#REF!</v>
      </c>
      <c r="N124" s="43" t="e">
        <f>+GETPIVOTDATA("PEF 2010 ",#REF!,"No. Ramo",16,"IPP","G","PP",3)-GETPIVOTDATA("PEF 2010 ",#REF!,"No. Ramo",16,"IPP","G","PP",3,"UR",713)+GETPIVOTDATA("PEF 2010 ",#REF!,"No. Ramo",16,"IPP","M","PP",1)-GETPIVOTDATA("PEF 2010 ",#REF!,"No. Ramo",16,"IPP","M","PP",1,"UR","RJE")-GETPIVOTDATA("PEF 2010 ",#REF!,"No. Ramo",16,"IPP","M","PP",1,"UR","RHQ")-GETPIVOTDATA("PEF 2010 ",#REF!,"No. Ramo",16,"IPP","M","PP",1,"UR","F00")-GETPIVOTDATA("PEF 2010 ",#REF!,"No. Ramo",16,"IPP","M","PP",1,"UR","E00")-GETPIVOTDATA("PEF 2010 ",#REF!,"No. Ramo",16,"IPP","M","PP",1,"UR","D00")-GETPIVOTDATA("PEF 2010 ",#REF!,"No. Ramo",16,"IPP","M","PP",1,"UR","B03")-GETPIVOTDATA("PEF 2010 ",#REF!,"No. Ramo",16,"IPP","M","PP",1,"UR",513)-GETPIVOTDATA("PEF 2010 ",#REF!,"No. Ramo",16,"IPP","M","PP",1,"UR",512)-GETPIVOTDATA("PEF 2010 ",#REF!,"No. Ramo",16,"IPP","M","PP",1,"UR",511)-GETPIVOTDATA("PEF 2010 ",#REF!,"No. Ramo",16,"IPP","M","PP",1,"UR",510)-GETPIVOTDATA("PEF 2010 ",#REF!,"No. Ramo",16,"IPP","M","PP",1,"UR",500)+GETPIVOTDATA("PEF 2010 ",#REF!,"No. Ramo",16,"IPP","P","PP",2)+GETPIVOTDATA("PEF 2010 ",#REF!,"No. Ramo",16,"IPP","U","PP",21)+GETPIVOTDATA("PEF 2010 ",#REF!,"No. Ramo",16,"IPP","U","PP",22)</f>
        <v>#REF!</v>
      </c>
      <c r="O124" s="43" t="e">
        <f>+GETPIVOTDATA("PPEF 2011 ",#REF!,"No. Ramo",16,"IPP","G","PP",3)-GETPIVOTDATA("PPEF 2011 ",#REF!,"No. Ramo",16,"IPP","G","PP",3,"UR",713)+GETPIVOTDATA("PPEF 2011 ",#REF!,"No. Ramo",16,"IPP","M","PP",1)-GETPIVOTDATA("PPEF 2011 ",#REF!,"No. Ramo",16,"IPP","M","PP",1,"UR","RJE")-GETPIVOTDATA("PPEF 2011 ",#REF!,"No. Ramo",16,"IPP","M","PP",1,"UR","RHQ")-GETPIVOTDATA("PPEF 2011 ",#REF!,"No. Ramo",16,"IPP","M","PP",1,"UR","F00")-GETPIVOTDATA("PPEF 2011 ",#REF!,"No. Ramo",16,"IPP","M","PP",1,"UR","E00")-GETPIVOTDATA("PPEF 2011 ",#REF!,"No. Ramo",16,"IPP","M","PP",1,"UR","D00")-GETPIVOTDATA("PPEF 2011 ",#REF!,"No. Ramo",16,"IPP","M","PP",1,"UR","B03")-GETPIVOTDATA("PPEF 2011 ",#REF!,"No. Ramo",16,"IPP","M","PP",1,"UR",513)-GETPIVOTDATA("PPEF 2011 ",#REF!,"No. Ramo",16,"IPP","M","PP",1,"UR",512)-GETPIVOTDATA("PPEF 2011 ",#REF!,"No. Ramo",16,"IPP","M","PP",1,"UR",511)-GETPIVOTDATA("PPEF 2011 ",#REF!,"No. Ramo",16,"IPP","M","PP",1,"UR",510)-GETPIVOTDATA("PPEF 2011 ",#REF!,"No. Ramo",16,"IPP","M","PP",1,"UR",500)+GETPIVOTDATA("PPEF 2011 ",#REF!,"No. Ramo",16,"IPP","P","PP",2)+GETPIVOTDATA("PPEF 2011 ",#REF!,"No. Ramo",16,"IPP","U","PP",21)+GETPIVOTDATA("PPEF 2011 ",#REF!,"No. Ramo",16,"IPP","U","PP",22)</f>
        <v>#REF!</v>
      </c>
      <c r="P124" s="43" t="e">
        <f>+GETPIVOTDATA("Reducción ",#REF!,"No. Ramo",16,"IPP","G","PP",3)-GETPIVOTDATA("Reducción ",#REF!,"No. Ramo",16,"IPP","G","PP",3,"UR",713)+GETPIVOTDATA("Reducción ",#REF!,"No. Ramo",16,"IPP","M","PP",1)-GETPIVOTDATA("Reducción ",#REF!,"No. Ramo",16,"IPP","M","PP",1,"UR","RJE")-GETPIVOTDATA("Reducción ",#REF!,"No. Ramo",16,"IPP","M","PP",1,"UR","RHQ")-GETPIVOTDATA("Reducción ",#REF!,"No. Ramo",16,"IPP","M","PP",1,"UR","F00")-GETPIVOTDATA("Reducción ",#REF!,"No. Ramo",16,"IPP","M","PP",1,"UR","E00")-GETPIVOTDATA("Reducción ",#REF!,"No. Ramo",16,"IPP","M","PP",1,"UR","D00")-GETPIVOTDATA("Reducción ",#REF!,"No. Ramo",16,"IPP","M","PP",1,"UR","B03")-GETPIVOTDATA("Reducción ",#REF!,"No. Ramo",16,"IPP","M","PP",1,"UR",513)-GETPIVOTDATA("Reducción ",#REF!,"No. Ramo",16,"IPP","M","PP",1,"UR",512)-GETPIVOTDATA("Reducción ",#REF!,"No. Ramo",16,"IPP","M","PP",1,"UR",511)-GETPIVOTDATA("Reducción ",#REF!,"No. Ramo",16,"IPP","M","PP",1,"UR",510)-GETPIVOTDATA("Reducción ",#REF!,"No. Ramo",16,"IPP","M","PP",1,"UR",500)+GETPIVOTDATA("Reducción ",#REF!,"No. Ramo",16,"IPP","P","PP",2)+GETPIVOTDATA("Reducción ",#REF!,"No. Ramo",16,"IPP","U","PP",21)+GETPIVOTDATA("Reducción ",#REF!,"No. Ramo",16,"IPP","U","PP",22)</f>
        <v>#REF!</v>
      </c>
      <c r="Q124" s="43" t="e">
        <f>+GETPIVOTDATA("Ampliación ",#REF!,"No. Ramo",16,"IPP","G","PP",3)-GETPIVOTDATA("Ampliación ",#REF!,"No. Ramo",16,"IPP","G","PP",3,"UR",713)+GETPIVOTDATA("Ampliación ",#REF!,"No. Ramo",16,"IPP","M","PP",1)-GETPIVOTDATA("Ampliación ",#REF!,"No. Ramo",16,"IPP","M","PP",1,"UR","RJE")-GETPIVOTDATA("Ampliación ",#REF!,"No. Ramo",16,"IPP","M","PP",1,"UR","RHQ")-GETPIVOTDATA("Ampliación ",#REF!,"No. Ramo",16,"IPP","M","PP",1,"UR","F00")-GETPIVOTDATA("Ampliación ",#REF!,"No. Ramo",16,"IPP","M","PP",1,"UR","E00")-GETPIVOTDATA("Ampliación ",#REF!,"No. Ramo",16,"IPP","M","PP",1,"UR","D00")-GETPIVOTDATA("Ampliación ",#REF!,"No. Ramo",16,"IPP","M","PP",1,"UR","B03")-GETPIVOTDATA("Ampliación ",#REF!,"No. Ramo",16,"IPP","M","PP",1,"UR",513)-GETPIVOTDATA("Ampliación ",#REF!,"No. Ramo",16,"IPP","M","PP",1,"UR",512)-GETPIVOTDATA("Ampliación ",#REF!,"No. Ramo",16,"IPP","M","PP",1,"UR",511)-GETPIVOTDATA("Ampliación ",#REF!,"No. Ramo",16,"IPP","M","PP",1,"UR",510)-GETPIVOTDATA("Ampliación ",#REF!,"No. Ramo",16,"IPP","M","PP",1,"UR",500)+GETPIVOTDATA("Ampliación ",#REF!,"No. Ramo",16,"IPP","P","PP",2)+GETPIVOTDATA("Ampliación ",#REF!,"No. Ramo",16,"IPP","U","PP",21)+GETPIVOTDATA("Ampliación ",#REF!,"No. Ramo",16,"IPP","U","PP",22)</f>
        <v>#REF!</v>
      </c>
      <c r="R124" s="69" t="e">
        <f t="shared" si="45"/>
        <v>#REF!</v>
      </c>
      <c r="S124" s="69"/>
      <c r="T124" s="69"/>
      <c r="U124" s="69" t="e">
        <f t="shared" si="47"/>
        <v>#REF!</v>
      </c>
      <c r="V124" s="69" t="e">
        <f t="shared" si="47"/>
        <v>#REF!</v>
      </c>
      <c r="W124" s="69" t="e">
        <f t="shared" si="47"/>
        <v>#REF!</v>
      </c>
      <c r="X124" s="69" t="e">
        <f t="shared" si="47"/>
        <v>#REF!</v>
      </c>
      <c r="Y124"/>
      <c r="Z124"/>
      <c r="AA124"/>
      <c r="AB124"/>
      <c r="AC124"/>
      <c r="AD124"/>
      <c r="AE124"/>
      <c r="AF124"/>
      <c r="AG124"/>
      <c r="AH124" s="152"/>
      <c r="AI124" s="157"/>
      <c r="AJ124" s="158" t="s">
        <v>725</v>
      </c>
      <c r="AK124" s="158"/>
      <c r="AL124" s="277"/>
      <c r="AM124" s="277"/>
      <c r="AN124" s="277"/>
      <c r="AO124" s="278"/>
      <c r="AP124" s="146"/>
      <c r="AQ124" s="146"/>
      <c r="AR124" s="146"/>
      <c r="AS124" s="245"/>
      <c r="AT124" s="245"/>
      <c r="AU124" s="146"/>
      <c r="AX124" s="152"/>
      <c r="AY124" s="157"/>
      <c r="AZ124" s="158" t="s">
        <v>725</v>
      </c>
      <c r="BA124" s="158"/>
      <c r="BB124" s="275"/>
      <c r="BC124" s="275"/>
      <c r="BD124" s="275"/>
      <c r="BE124" s="276"/>
      <c r="BF124" s="187">
        <f t="shared" si="61"/>
        <v>0</v>
      </c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95" customFormat="1">
      <c r="A125"/>
      <c r="B125" s="31"/>
      <c r="C125" s="30" t="s">
        <v>301</v>
      </c>
      <c r="D125" s="30"/>
      <c r="E125" s="30"/>
      <c r="F125" s="33"/>
      <c r="G125" s="33" t="s">
        <v>299</v>
      </c>
      <c r="H125" s="33"/>
      <c r="I125" s="67">
        <v>1</v>
      </c>
      <c r="J125" s="33"/>
      <c r="K125" s="69" t="e">
        <f>+GETPIVOTDATA("PPEF 2010 ",#REF!,"No. Ramo",16,"IPP","E","PP",5,"UR","RHQ")+GETPIVOTDATA("PPEF 2010 ",#REF!,"No. Ramo",16,"IPP","E","PP",13,"UR","RHQ")+GETPIVOTDATA("PPEF 2010 ",#REF!,"No. Ramo",16,"IPP","G","PP",17,"UR","RHQ")+GETPIVOTDATA("PPEF 2010 ",#REF!,"No. Ramo",16,"IPP","K","PP",25,"UR","RHQ")+GETPIVOTDATA("PPEF 2010 ",#REF!,"No. Ramo",16,"IPP","K","PP",138,"UR","RHQ")+GETPIVOTDATA("PPEF 2010 ",#REF!,"No. Ramo",16,"IPP","M","PP",1,"UR","RHQ")+GETPIVOTDATA("PPEF 2010 ",#REF!,"No. Ramo",16,"IPP","O","PP",1,"UR","RHQ")+GETPIVOTDATA("PPEF 2010 ",#REF!,"No. Ramo",16,"IPP","R","PP",14,"UR","RHQ")+GETPIVOTDATA("PPEF 2010 ",#REF!,"No. Ramo",16,"IPP","S","PP",44,"UR","RHQ")+GETPIVOTDATA("PPEF 2010 ",#REF!,"No. Ramo",16,"IPP","S","PP",110,"UR","RHQ")+GETPIVOTDATA("PPEF 2010 ",#REF!,"No. Ramo",16,"IPP","S","PP",122,"UR","RHQ")+GETPIVOTDATA("PPEF 2010 ",#REF!,"No. Ramo",16,"IPP","U","PP",3,"UR","RHQ")+GETPIVOTDATA("PPEF 2010 ",#REF!,"No. Ramo",16,"IPP","U","PP",5,"UR","RHQ")</f>
        <v>#REF!</v>
      </c>
      <c r="L125" s="69" t="e">
        <f>+GETPIVOTDATA("Ampliación Neta DIP ",#REF!,"No. Ramo",16,"IPP","E","PP",5,"UR","RHQ")+GETPIVOTDATA("Ampliación Neta DIP ",#REF!,"No. Ramo",16,"IPP","E","PP",13,"UR","RHQ")+GETPIVOTDATA("Ampliación Neta DIP ",#REF!,"No. Ramo",16,"IPP","G","PP",17,"UR","RHQ")+GETPIVOTDATA("Ampliación Neta DIP ",#REF!,"No. Ramo",16,"IPP","K","PP",25,"UR","RHQ")+GETPIVOTDATA("Ampliación Neta DIP ",#REF!,"No. Ramo",16,"IPP","K","PP",138,"UR","RHQ")+GETPIVOTDATA("Ampliación Neta DIP ",#REF!,"No. Ramo",16,"IPP","M","PP",1,"UR","RHQ")+GETPIVOTDATA("Ampliación Neta DIP ",#REF!,"No. Ramo",16,"IPP","O","PP",1,"UR","RHQ")+GETPIVOTDATA("Ampliación Neta DIP ",#REF!,"No. Ramo",16,"IPP","R","PP",14,"UR","RHQ")+GETPIVOTDATA("Ampliación Neta DIP ",#REF!,"No. Ramo",16,"IPP","S","PP",44,"UR","RHQ")+GETPIVOTDATA("Ampliación Neta DIP ",#REF!,"No. Ramo",16,"IPP","S","PP",110,"UR","RHQ")+GETPIVOTDATA("Ampliación Neta DIP ",#REF!,"No. Ramo",16,"IPP","S","PP",122,"UR","RHQ")+GETPIVOTDATA("Ampliación Neta DIP ",#REF!,"No. Ramo",16,"IPP","U","PP",3,"UR","RHQ")+GETPIVOTDATA("Ampliación Neta DIP ",#REF!,"No. Ramo",16,"IPP","U","PP",5,"UR","RHQ")</f>
        <v>#REF!</v>
      </c>
      <c r="M125" s="69" t="e">
        <f>+GETPIVOTDATA("Recorte SHCP ",#REF!,"No. Ramo",16,"IPP","E","PP",5,"UR","RHQ")+GETPIVOTDATA("Recorte SHCP ",#REF!,"No. Ramo",16,"IPP","E","PP",13,"UR","RHQ")+GETPIVOTDATA("Recorte SHCP ",#REF!,"No. Ramo",16,"IPP","G","PP",17,"UR","RHQ")+GETPIVOTDATA("Recorte SHCP ",#REF!,"No. Ramo",16,"IPP","K","PP",25,"UR","RHQ")+GETPIVOTDATA("Recorte SHCP ",#REF!,"No. Ramo",16,"IPP","K","PP",138,"UR","RHQ")+GETPIVOTDATA("Recorte SHCP ",#REF!,"No. Ramo",16,"IPP","M","PP",1,"UR","RHQ")+GETPIVOTDATA("Recorte SHCP ",#REF!,"No. Ramo",16,"IPP","O","PP",1,"UR","RHQ")+GETPIVOTDATA("Recorte SHCP ",#REF!,"No. Ramo",16,"IPP","R","PP",14,"UR","RHQ")+GETPIVOTDATA("Recorte SHCP ",#REF!,"No. Ramo",16,"IPP","S","PP",44,"UR","RHQ")+GETPIVOTDATA("Recorte SHCP ",#REF!,"No. Ramo",16,"IPP","S","PP",110,"UR","RHQ")+GETPIVOTDATA("Recorte SHCP ",#REF!,"No. Ramo",16,"IPP","S","PP",122,"UR","RHQ")+GETPIVOTDATA("Recorte SHCP ",#REF!,"No. Ramo",16,"IPP","U","PP",3,"UR","RHQ")+GETPIVOTDATA("Recorte SHCP ",#REF!,"No. Ramo",16,"IPP","U","PP",5,"UR","RHQ")</f>
        <v>#REF!</v>
      </c>
      <c r="N125" s="69" t="e">
        <f>+GETPIVOTDATA("PEF 2010 ",#REF!,"No. Ramo",16,"IPP","E","PP",5,"UR","RHQ")+GETPIVOTDATA("PEF 2010 ",#REF!,"No. Ramo",16,"IPP","E","PP",13,"UR","RHQ")+GETPIVOTDATA("PEF 2010 ",#REF!,"No. Ramo",16,"IPP","G","PP",17,"UR","RHQ")+GETPIVOTDATA("PEF 2010 ",#REF!,"No. Ramo",16,"IPP","K","PP",25,"UR","RHQ")+GETPIVOTDATA("PEF 2010 ",#REF!,"No. Ramo",16,"IPP","K","PP",138,"UR","RHQ")+GETPIVOTDATA("PEF 2010 ",#REF!,"No. Ramo",16,"IPP","M","PP",1,"UR","RHQ")+GETPIVOTDATA("PEF 2010 ",#REF!,"No. Ramo",16,"IPP","O","PP",1,"UR","RHQ")+GETPIVOTDATA("PEF 2010 ",#REF!,"No. Ramo",16,"IPP","R","PP",14,"UR","RHQ")+GETPIVOTDATA("PEF 2010 ",#REF!,"No. Ramo",16,"IPP","S","PP",44,"UR","RHQ")+GETPIVOTDATA("PEF 2010 ",#REF!,"No. Ramo",16,"IPP","S","PP",110,"UR","RHQ")+GETPIVOTDATA("PEF 2010 ",#REF!,"No. Ramo",16,"IPP","S","PP",122,"UR","RHQ")+GETPIVOTDATA("PEF 2010 ",#REF!,"No. Ramo",16,"IPP","U","PP",3,"UR","RHQ")+GETPIVOTDATA("PEF 2010 ",#REF!,"No. Ramo",16,"IPP","U","PP",5,"UR","RHQ")</f>
        <v>#REF!</v>
      </c>
      <c r="O125" s="69" t="e">
        <f>+GETPIVOTDATA("PPEF 2011 ",#REF!,"No. Ramo",16,"IPP","E","PP",5,"UR","RHQ")+GETPIVOTDATA("PPEF 2011 ",#REF!,"No. Ramo",16,"IPP","E","PP",13,"UR","RHQ")+GETPIVOTDATA("PPEF 2011 ",#REF!,"No. Ramo",16,"IPP","G","PP",17,"UR","RHQ")+GETPIVOTDATA("PPEF 2011 ",#REF!,"No. Ramo",16,"IPP","K","PP",25,"UR","RHQ")+GETPIVOTDATA("PPEF 2011 ",#REF!,"No. Ramo",16,"IPP","K","PP",138,"UR","RHQ")+GETPIVOTDATA("PPEF 2011 ",#REF!,"No. Ramo",16,"IPP","M","PP",1,"UR","RHQ")+GETPIVOTDATA("PPEF 2011 ",#REF!,"No. Ramo",16,"IPP","O","PP",1,"UR","RHQ")+GETPIVOTDATA("PPEF 2011 ",#REF!,"No. Ramo",16,"IPP","R","PP",14,"UR","RHQ")+GETPIVOTDATA("PPEF 2011 ",#REF!,"No. Ramo",16,"IPP","S","PP",44,"UR","RHQ")+GETPIVOTDATA("PPEF 2011 ",#REF!,"No. Ramo",16,"IPP","S","PP",110,"UR","RHQ")+GETPIVOTDATA("PPEF 2011 ",#REF!,"No. Ramo",16,"IPP","S","PP",122,"UR","RHQ")+GETPIVOTDATA("PPEF 2011 ",#REF!,"No. Ramo",16,"IPP","U","PP",3,"UR","RHQ")+GETPIVOTDATA("PPEF 2011 ",#REF!,"No. Ramo",16,"IPP","U","PP",5,"UR","RHQ")</f>
        <v>#REF!</v>
      </c>
      <c r="P125" s="69" t="e">
        <f>+GETPIVOTDATA("Reducción ",#REF!,"No. Ramo",16,"IPP","E","PP",5,"UR","RHQ")+GETPIVOTDATA("Reducción ",#REF!,"No. Ramo",16,"IPP","E","PP",13,"UR","RHQ")+GETPIVOTDATA("Reducción ",#REF!,"No. Ramo",16,"IPP","G","PP",17,"UR","RHQ")+GETPIVOTDATA("Reducción ",#REF!,"No. Ramo",16,"IPP","K","PP",25,"UR","RHQ")+GETPIVOTDATA("Reducción ",#REF!,"No. Ramo",16,"IPP","K","PP",138,"UR","RHQ")+GETPIVOTDATA("Reducción ",#REF!,"No. Ramo",16,"IPP","M","PP",1,"UR","RHQ")+GETPIVOTDATA("Reducción ",#REF!,"No. Ramo",16,"IPP","O","PP",1,"UR","RHQ")+GETPIVOTDATA("Reducción ",#REF!,"No. Ramo",16,"IPP","R","PP",14,"UR","RHQ")+GETPIVOTDATA("Reducción ",#REF!,"No. Ramo",16,"IPP","S","PP",44,"UR","RHQ")+GETPIVOTDATA("Reducción ",#REF!,"No. Ramo",16,"IPP","S","PP",110,"UR","RHQ")+GETPIVOTDATA("Reducción ",#REF!,"No. Ramo",16,"IPP","S","PP",122,"UR","RHQ")+GETPIVOTDATA("Reducción ",#REF!,"No. Ramo",16,"IPP","U","PP",3,"UR","RHQ")+GETPIVOTDATA("Reducción ",#REF!,"No. Ramo",16,"IPP","U","PP",5,"UR","RHQ")</f>
        <v>#REF!</v>
      </c>
      <c r="Q125" s="69" t="e">
        <f>+GETPIVOTDATA("Ampliación ",#REF!,"No. Ramo",16,"IPP","E","PP",5,"UR","RHQ")+GETPIVOTDATA("Ampliación ",#REF!,"No. Ramo",16,"IPP","E","PP",13,"UR","RHQ")+GETPIVOTDATA("Ampliación ",#REF!,"No. Ramo",16,"IPP","G","PP",17,"UR","RHQ")+GETPIVOTDATA("Ampliación ",#REF!,"No. Ramo",16,"IPP","K","PP",25,"UR","RHQ")+GETPIVOTDATA("Ampliación ",#REF!,"No. Ramo",16,"IPP","K","PP",138,"UR","RHQ")+GETPIVOTDATA("Ampliación ",#REF!,"No. Ramo",16,"IPP","M","PP",1,"UR","RHQ")+GETPIVOTDATA("Ampliación ",#REF!,"No. Ramo",16,"IPP","O","PP",1,"UR","RHQ")+GETPIVOTDATA("Ampliación ",#REF!,"No. Ramo",16,"IPP","R","PP",14,"UR","RHQ")+GETPIVOTDATA("Ampliación ",#REF!,"No. Ramo",16,"IPP","S","PP",44,"UR","RHQ")+GETPIVOTDATA("Ampliación ",#REF!,"No. Ramo",16,"IPP","S","PP",110,"UR","RHQ")+GETPIVOTDATA("Ampliación ",#REF!,"No. Ramo",16,"IPP","S","PP",122,"UR","RHQ")+GETPIVOTDATA("Ampliación ",#REF!,"No. Ramo",16,"IPP","U","PP",3,"UR","RHQ")+GETPIVOTDATA("Ampliación ",#REF!,"No. Ramo",16,"IPP","U","PP",5,"UR","RHQ")</f>
        <v>#REF!</v>
      </c>
      <c r="R125" s="69" t="e">
        <f t="shared" si="45"/>
        <v>#REF!</v>
      </c>
      <c r="S125" s="69"/>
      <c r="T125" s="69"/>
      <c r="U125" s="69" t="e">
        <f t="shared" si="47"/>
        <v>#REF!</v>
      </c>
      <c r="V125" s="69" t="e">
        <f t="shared" si="47"/>
        <v>#REF!</v>
      </c>
      <c r="W125" s="69" t="e">
        <f t="shared" si="47"/>
        <v>#REF!</v>
      </c>
      <c r="X125" s="69" t="e">
        <f t="shared" si="47"/>
        <v>#REF!</v>
      </c>
      <c r="Y125"/>
      <c r="Z125"/>
      <c r="AA125"/>
      <c r="AB125"/>
      <c r="AC125"/>
      <c r="AD125"/>
      <c r="AE125"/>
      <c r="AF125"/>
      <c r="AG125"/>
      <c r="AH125" s="152"/>
      <c r="AI125" s="157" t="s">
        <v>301</v>
      </c>
      <c r="AJ125" s="158"/>
      <c r="AK125" s="158"/>
      <c r="AL125" s="155"/>
      <c r="AM125" s="277"/>
      <c r="AN125" s="277"/>
      <c r="AO125" s="278"/>
      <c r="AP125" s="146"/>
      <c r="AQ125" s="146"/>
      <c r="AR125" s="146"/>
      <c r="AS125" s="245"/>
      <c r="AT125" s="245"/>
      <c r="AU125" s="146"/>
      <c r="AX125" s="152"/>
      <c r="AY125" s="157" t="s">
        <v>301</v>
      </c>
      <c r="AZ125" s="158"/>
      <c r="BA125" s="158"/>
      <c r="BB125" s="155"/>
      <c r="BC125" s="275"/>
      <c r="BD125" s="275"/>
      <c r="BE125" s="276"/>
      <c r="BF125" s="187">
        <f t="shared" si="61"/>
        <v>0</v>
      </c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>
      <c r="A126" s="122">
        <v>1</v>
      </c>
      <c r="B126" s="26"/>
      <c r="C126" s="27" t="s">
        <v>726</v>
      </c>
      <c r="D126" s="34"/>
      <c r="E126" s="34"/>
      <c r="F126" s="85"/>
      <c r="G126" s="85"/>
      <c r="H126" s="85"/>
      <c r="I126" s="86"/>
      <c r="J126" s="85"/>
      <c r="K126" s="63" t="e">
        <f t="shared" ref="K126:Q126" si="62">+K127+K133</f>
        <v>#REF!</v>
      </c>
      <c r="L126" s="63" t="e">
        <f t="shared" si="62"/>
        <v>#REF!</v>
      </c>
      <c r="M126" s="63" t="e">
        <f t="shared" si="62"/>
        <v>#REF!</v>
      </c>
      <c r="N126" s="63" t="e">
        <f t="shared" si="62"/>
        <v>#REF!</v>
      </c>
      <c r="O126" s="63" t="e">
        <f t="shared" si="62"/>
        <v>#REF!</v>
      </c>
      <c r="P126" s="63" t="e">
        <f t="shared" si="62"/>
        <v>#REF!</v>
      </c>
      <c r="Q126" s="63" t="e">
        <f t="shared" si="62"/>
        <v>#REF!</v>
      </c>
      <c r="R126" s="63" t="e">
        <f t="shared" si="45"/>
        <v>#REF!</v>
      </c>
      <c r="S126" s="63"/>
      <c r="T126" s="63"/>
      <c r="U126" s="63" t="e">
        <f>+U127+U133</f>
        <v>#REF!</v>
      </c>
      <c r="V126" s="63" t="e">
        <f>+V127+V133</f>
        <v>#REF!</v>
      </c>
      <c r="W126" s="63" t="e">
        <f>+W127+W133</f>
        <v>#REF!</v>
      </c>
      <c r="X126" s="63" t="e">
        <f>+X127+X133</f>
        <v>#REF!</v>
      </c>
      <c r="Y126" s="72"/>
      <c r="AH126" s="147"/>
      <c r="AI126" s="148" t="s">
        <v>726</v>
      </c>
      <c r="AJ126" s="165"/>
      <c r="AK126" s="165"/>
      <c r="AL126" s="166"/>
      <c r="AM126" s="277"/>
      <c r="AN126" s="277"/>
      <c r="AO126" s="278"/>
      <c r="AP126" s="146" t="e">
        <f>AP127+AP133</f>
        <v>#REF!</v>
      </c>
      <c r="AQ126" s="146" t="e">
        <f>AQ127+AQ133</f>
        <v>#REF!</v>
      </c>
      <c r="AR126" s="146" t="e">
        <f>AR127+AR133</f>
        <v>#REF!</v>
      </c>
      <c r="AS126" s="245"/>
      <c r="AT126" s="245"/>
      <c r="AU126" s="146" t="e">
        <f>AU127+AU133</f>
        <v>#REF!</v>
      </c>
      <c r="AX126" s="147"/>
      <c r="AY126" s="148" t="s">
        <v>726</v>
      </c>
      <c r="AZ126" s="165"/>
      <c r="BA126" s="165"/>
      <c r="BB126" s="166"/>
      <c r="BC126" s="275"/>
      <c r="BD126" s="275"/>
      <c r="BE126" s="276"/>
      <c r="BF126" s="187" t="e">
        <f>BF127+BF133</f>
        <v>#REF!</v>
      </c>
    </row>
    <row r="127" spans="1:75">
      <c r="A127" s="122">
        <v>1</v>
      </c>
      <c r="B127" s="28" t="s">
        <v>727</v>
      </c>
      <c r="C127" s="29" t="s">
        <v>660</v>
      </c>
      <c r="D127" s="29"/>
      <c r="E127" s="29"/>
      <c r="F127" s="28"/>
      <c r="G127" s="28"/>
      <c r="H127" s="28"/>
      <c r="I127" s="65"/>
      <c r="J127" s="28"/>
      <c r="K127" s="66" t="e">
        <f t="shared" ref="K127:Q127" si="63">SUM(K128:K132)</f>
        <v>#REF!</v>
      </c>
      <c r="L127" s="66" t="e">
        <f t="shared" si="63"/>
        <v>#REF!</v>
      </c>
      <c r="M127" s="66" t="e">
        <f t="shared" si="63"/>
        <v>#REF!</v>
      </c>
      <c r="N127" s="66" t="e">
        <f t="shared" si="63"/>
        <v>#REF!</v>
      </c>
      <c r="O127" s="66" t="e">
        <f t="shared" si="63"/>
        <v>#REF!</v>
      </c>
      <c r="P127" s="66" t="e">
        <f t="shared" si="63"/>
        <v>#REF!</v>
      </c>
      <c r="Q127" s="66" t="e">
        <f t="shared" si="63"/>
        <v>#REF!</v>
      </c>
      <c r="R127" s="66" t="e">
        <f t="shared" si="45"/>
        <v>#REF!</v>
      </c>
      <c r="S127" s="66"/>
      <c r="T127" s="66"/>
      <c r="U127" s="66" t="e">
        <f>SUM(U128:U132)</f>
        <v>#REF!</v>
      </c>
      <c r="V127" s="66" t="e">
        <f>SUM(V128:V132)</f>
        <v>#REF!</v>
      </c>
      <c r="W127" s="66" t="e">
        <f>SUM(W128:W132)</f>
        <v>#REF!</v>
      </c>
      <c r="X127" s="66" t="e">
        <f>SUM(X128:X132)</f>
        <v>#REF!</v>
      </c>
      <c r="Y127" s="73"/>
      <c r="AH127" s="147" t="s">
        <v>727</v>
      </c>
      <c r="AI127" s="148" t="s">
        <v>660</v>
      </c>
      <c r="AJ127" s="160"/>
      <c r="AK127" s="160"/>
      <c r="AL127" s="149"/>
      <c r="AM127" s="277"/>
      <c r="AN127" s="277"/>
      <c r="AO127" s="278"/>
      <c r="AP127" s="146" t="e">
        <f>AP128+AP129+AP130+AP131+AP132</f>
        <v>#REF!</v>
      </c>
      <c r="AQ127" s="146" t="e">
        <f>AQ128+AQ129+AQ130+AQ131+AQ132</f>
        <v>#REF!</v>
      </c>
      <c r="AR127" s="146" t="e">
        <f>AR128+AR129+AR130+AR131+AR132</f>
        <v>#REF!</v>
      </c>
      <c r="AS127" s="245"/>
      <c r="AT127" s="245"/>
      <c r="AU127" s="146" t="e">
        <f>AU128+AU129+AU130+AU131+AU132</f>
        <v>#REF!</v>
      </c>
      <c r="AX127" s="147" t="s">
        <v>727</v>
      </c>
      <c r="AY127" s="148" t="s">
        <v>660</v>
      </c>
      <c r="AZ127" s="160"/>
      <c r="BA127" s="160"/>
      <c r="BB127" s="149"/>
      <c r="BC127" s="275"/>
      <c r="BD127" s="275"/>
      <c r="BE127" s="276"/>
      <c r="BF127" s="187" t="e">
        <f>BF128+BF129+BF130+BF131+BF132</f>
        <v>#REF!</v>
      </c>
    </row>
    <row r="128" spans="1:75">
      <c r="A128" s="122">
        <v>1</v>
      </c>
      <c r="B128" s="31"/>
      <c r="C128" s="30" t="s">
        <v>728</v>
      </c>
      <c r="D128" s="30"/>
      <c r="E128" s="30"/>
      <c r="F128" s="33"/>
      <c r="G128" s="33" t="s">
        <v>21</v>
      </c>
      <c r="H128" s="33"/>
      <c r="I128" s="67">
        <v>1</v>
      </c>
      <c r="J128" s="33"/>
      <c r="K128" s="69" t="e">
        <f>+GETPIVOTDATA("PPEF 2010 ",#REF!,"No. Ramo",8,"IPP","E","PP",1,"UR","D00")+GETPIVOTDATA("PPEF 2010 ",#REF!,"No. Ramo",8,"IPP","E","PP",2,"UR","D00")+GETPIVOTDATA("PPEF 2010 ",#REF!,"No. Ramo",8,"IPP","K","PP",9,"UR","D00")+GETPIVOTDATA("PPEF 2010 ",#REF!,"No. Ramo",8,"IPP","K","PP",27,"UR","D00")+GETPIVOTDATA("PPEF 2010 ",#REF!,"No. Ramo",8,"IPP","L","PP",1,"UR","D00")+GETPIVOTDATA("PPEF 2010 ",#REF!,"No. Ramo",8,"IPP","M","PP",1,"UR","D00")+GETPIVOTDATA("PPEF 2010 ",#REF!,"No. Ramo",8,"IPP","O","PP",99,"UR","D00")</f>
        <v>#REF!</v>
      </c>
      <c r="L128" s="69" t="e">
        <f>+GETPIVOTDATA("Ampliación Neta DIP ",#REF!,"No. Ramo",8,"IPP","E","PP",1,"UR","D00")+GETPIVOTDATA("Ampliación Neta DIP ",#REF!,"No. Ramo",8,"IPP","E","PP",2,"UR","D00")+GETPIVOTDATA("Ampliación Neta DIP ",#REF!,"No. Ramo",8,"IPP","K","PP",9,"UR","D00")+GETPIVOTDATA("Ampliación Neta DIP ",#REF!,"No. Ramo",8,"IPP","K","PP",27,"UR","D00")+GETPIVOTDATA("Ampliación Neta DIP ",#REF!,"No. Ramo",8,"IPP","L","PP",1,"UR","D00")+GETPIVOTDATA("Ampliación Neta DIP ",#REF!,"No. Ramo",8,"IPP","M","PP",1,"UR","D00")+GETPIVOTDATA("Ampliación Neta DIP ",#REF!,"No. Ramo",8,"IPP","O","PP",99,"UR","D00")</f>
        <v>#REF!</v>
      </c>
      <c r="M128" s="69" t="e">
        <f>+GETPIVOTDATA("Recorte SHCP ",#REF!,"No. Ramo",8,"IPP","E","PP",1,"UR","D00")+GETPIVOTDATA("Recorte SHCP ",#REF!,"No. Ramo",8,"IPP","E","PP",2,"UR","D00")+GETPIVOTDATA("Recorte SHCP ",#REF!,"No. Ramo",8,"IPP","K","PP",9,"UR","D00")+GETPIVOTDATA("Recorte SHCP ",#REF!,"No. Ramo",8,"IPP","K","PP",27,"UR","D00")+GETPIVOTDATA("Recorte SHCP ",#REF!,"No. Ramo",8,"IPP","L","PP",1,"UR","D00")+GETPIVOTDATA("Recorte SHCP ",#REF!,"No. Ramo",8,"IPP","M","PP",1,"UR","D00")+GETPIVOTDATA("Recorte SHCP ",#REF!,"No. Ramo",8,"IPP","O","PP",99,"UR","D00")</f>
        <v>#REF!</v>
      </c>
      <c r="N128" s="69" t="e">
        <f>+GETPIVOTDATA("PEF 2010 ",#REF!,"No. Ramo",8,"IPP","E","PP",1,"UR","D00")+GETPIVOTDATA("PEF 2010 ",#REF!,"No. Ramo",8,"IPP","E","PP",2,"UR","D00")+GETPIVOTDATA("PEF 2010 ",#REF!,"No. Ramo",8,"IPP","K","PP",9,"UR","D00")+GETPIVOTDATA("PEF 2010 ",#REF!,"No. Ramo",8,"IPP","K","PP",27,"UR","D00")+GETPIVOTDATA("PEF 2010 ",#REF!,"No. Ramo",8,"IPP","L","PP",1,"UR","D00")+GETPIVOTDATA("PEF 2010 ",#REF!,"No. Ramo",8,"IPP","M","PP",1,"UR","D00")+GETPIVOTDATA("PEF 2010 ",#REF!,"No. Ramo",8,"IPP","O","PP",99,"UR","D00")</f>
        <v>#REF!</v>
      </c>
      <c r="O128" s="69" t="e">
        <f>+GETPIVOTDATA("PPEF 2011 ",#REF!,"No. Ramo",8,"IPP","E","PP",1,"UR","D00")+GETPIVOTDATA("PPEF 2011 ",#REF!,"No. Ramo",8,"IPP","E","PP",2,"UR","D00")+GETPIVOTDATA("PPEF 2011 ",#REF!,"No. Ramo",8,"IPP","K","PP",9,"UR","D00")+GETPIVOTDATA("PPEF 2011 ",#REF!,"No. Ramo",8,"IPP","K","PP",27,"UR","D00")+GETPIVOTDATA("PPEF 2011 ",#REF!,"No. Ramo",8,"IPP","L","PP",1,"UR","D00")+GETPIVOTDATA("PPEF 2011 ",#REF!,"No. Ramo",8,"IPP","M","PP",1,"UR","D00")+GETPIVOTDATA("PPEF 2011 ",#REF!,"No. Ramo",8,"IPP","O","PP",99,"UR","D00")</f>
        <v>#REF!</v>
      </c>
      <c r="P128" s="69" t="e">
        <f>+GETPIVOTDATA("Reducción ",#REF!,"No. Ramo",8,"IPP","E","PP",1,"UR","D00")+GETPIVOTDATA("Reducción ",#REF!,"No. Ramo",8,"IPP","E","PP",2,"UR","D00")+GETPIVOTDATA("Reducción ",#REF!,"No. Ramo",8,"IPP","K","PP",9,"UR","D00")+GETPIVOTDATA("Reducción ",#REF!,"No. Ramo",8,"IPP","K","PP",27,"UR","D00")+GETPIVOTDATA("Reducción ",#REF!,"No. Ramo",8,"IPP","L","PP",1,"UR","D00")+GETPIVOTDATA("Reducción ",#REF!,"No. Ramo",8,"IPP","M","PP",1,"UR","D00")+GETPIVOTDATA("Reducción ",#REF!,"No. Ramo",8,"IPP","O","PP",99,"UR","D00")</f>
        <v>#REF!</v>
      </c>
      <c r="Q128" s="69" t="e">
        <f>+GETPIVOTDATA("Ampliación ",#REF!,"No. Ramo",8,"IPP","E","PP",1,"UR","D00")+GETPIVOTDATA("Ampliación ",#REF!,"No. Ramo",8,"IPP","E","PP",2,"UR","D00")+GETPIVOTDATA("Ampliación ",#REF!,"No. Ramo",8,"IPP","K","PP",9,"UR","D00")+GETPIVOTDATA("Ampliación ",#REF!,"No. Ramo",8,"IPP","K","PP",27,"UR","D00")+GETPIVOTDATA("Ampliación ",#REF!,"No. Ramo",8,"IPP","L","PP",1,"UR","D00")+GETPIVOTDATA("Ampliación ",#REF!,"No. Ramo",8,"IPP","M","PP",1,"UR","D00")+GETPIVOTDATA("Ampliación ",#REF!,"No. Ramo",8,"IPP","O","PP",99,"UR","D00")</f>
        <v>#REF!</v>
      </c>
      <c r="R128" s="69" t="e">
        <f t="shared" si="45"/>
        <v>#REF!</v>
      </c>
      <c r="S128" s="69"/>
      <c r="T128" s="69"/>
      <c r="U128" s="69" t="e">
        <f t="shared" si="47"/>
        <v>#REF!</v>
      </c>
      <c r="V128" s="69" t="e">
        <f t="shared" si="47"/>
        <v>#REF!</v>
      </c>
      <c r="W128" s="69" t="e">
        <f t="shared" si="47"/>
        <v>#REF!</v>
      </c>
      <c r="X128" s="69" t="e">
        <f t="shared" si="47"/>
        <v>#REF!</v>
      </c>
      <c r="Y128" s="73"/>
      <c r="AH128" s="152"/>
      <c r="AI128" s="157" t="s">
        <v>728</v>
      </c>
      <c r="AJ128" s="158"/>
      <c r="AK128" s="158"/>
      <c r="AL128" s="155"/>
      <c r="AM128" s="277"/>
      <c r="AN128" s="277"/>
      <c r="AO128" s="278"/>
      <c r="AP128" s="146"/>
      <c r="AQ128" s="146"/>
      <c r="AR128" s="146"/>
      <c r="AS128" s="245"/>
      <c r="AT128" s="245"/>
      <c r="AU128" s="146"/>
      <c r="AX128" s="152"/>
      <c r="AY128" s="157" t="s">
        <v>728</v>
      </c>
      <c r="AZ128" s="158"/>
      <c r="BA128" s="158"/>
      <c r="BB128" s="155"/>
      <c r="BC128" s="275"/>
      <c r="BD128" s="275"/>
      <c r="BE128" s="276"/>
      <c r="BF128" s="187">
        <f>+AU128</f>
        <v>0</v>
      </c>
      <c r="BI128" s="113"/>
      <c r="BJ128" s="113"/>
      <c r="BK128" s="113"/>
      <c r="BL128" s="113"/>
    </row>
    <row r="129" spans="1:75">
      <c r="A129" s="122">
        <v>1</v>
      </c>
      <c r="B129" s="31"/>
      <c r="C129" s="30" t="s">
        <v>112</v>
      </c>
      <c r="D129" s="30"/>
      <c r="E129" s="30"/>
      <c r="F129" s="33"/>
      <c r="G129" s="33" t="s">
        <v>111</v>
      </c>
      <c r="H129" s="33"/>
      <c r="I129" s="67">
        <v>1</v>
      </c>
      <c r="J129" s="33"/>
      <c r="K129" s="69" t="e">
        <f>+GETPIVOTDATA("PPEF 2010 ",#REF!,"No. Ramo",8,"IPP","E","PP",4,"UR","IZC")+GETPIVOTDATA("PPEF 2010 ",#REF!,"No. Ramo",8,"IPP","K","PP",9,"UR","IZC")+GETPIVOTDATA("PPEF 2010 ",#REF!,"No. Ramo",8,"IPP","M","PP",1,"UR","IZC")+GETPIVOTDATA("PPEF 2010 ",#REF!,"No. Ramo",8,"IPP","O","PP",1,"UR","IZC")</f>
        <v>#REF!</v>
      </c>
      <c r="L129" s="69" t="e">
        <f>+GETPIVOTDATA("Ampliación Neta DIP ",#REF!,"No. Ramo",8,"IPP","E","PP",4,"UR","IZC")+GETPIVOTDATA("Ampliación Neta DIP ",#REF!,"No. Ramo",8,"IPP","K","PP",9,"UR","IZC")+GETPIVOTDATA("Ampliación Neta DIP ",#REF!,"No. Ramo",8,"IPP","M","PP",1,"UR","IZC")+GETPIVOTDATA("Ampliación Neta DIP ",#REF!,"No. Ramo",8,"IPP","O","PP",1,"UR","IZC")</f>
        <v>#REF!</v>
      </c>
      <c r="M129" s="69" t="e">
        <f>+GETPIVOTDATA("Recorte SHCP ",#REF!,"No. Ramo",8,"IPP","E","PP",4,"UR","IZC")+GETPIVOTDATA("Recorte SHCP ",#REF!,"No. Ramo",8,"IPP","K","PP",9,"UR","IZC")+GETPIVOTDATA("Recorte SHCP ",#REF!,"No. Ramo",8,"IPP","M","PP",1,"UR","IZC")+GETPIVOTDATA("Recorte SHCP ",#REF!,"No. Ramo",8,"IPP","O","PP",1,"UR","IZC")</f>
        <v>#REF!</v>
      </c>
      <c r="N129" s="69" t="e">
        <f>+GETPIVOTDATA("PEF 2010 ",#REF!,"No. Ramo",8,"IPP","E","PP",4,"UR","IZC")+GETPIVOTDATA("PEF 2010 ",#REF!,"No. Ramo",8,"IPP","K","PP",9,"UR","IZC")+GETPIVOTDATA("PEF 2010 ",#REF!,"No. Ramo",8,"IPP","M","PP",1,"UR","IZC")+GETPIVOTDATA("PEF 2010 ",#REF!,"No. Ramo",8,"IPP","O","PP",1,"UR","IZC")</f>
        <v>#REF!</v>
      </c>
      <c r="O129" s="69" t="e">
        <f>+GETPIVOTDATA("PPEF 2011 ",#REF!,"No. Ramo",8,"IPP","E","PP",4,"UR","IZC")+GETPIVOTDATA("PPEF 2011 ",#REF!,"No. Ramo",8,"IPP","K","PP",9,"UR","IZC")+GETPIVOTDATA("PPEF 2011 ",#REF!,"No. Ramo",8,"IPP","M","PP",1,"UR","IZC")+GETPIVOTDATA("PPEF 2011 ",#REF!,"No. Ramo",8,"IPP","O","PP",1,"UR","IZC")</f>
        <v>#REF!</v>
      </c>
      <c r="P129" s="69" t="e">
        <f>+GETPIVOTDATA("Reducción ",#REF!,"No. Ramo",8,"IPP","E","PP",4,"UR","IZC")+GETPIVOTDATA("Reducción ",#REF!,"No. Ramo",8,"IPP","K","PP",9,"UR","IZC")+GETPIVOTDATA("Reducción ",#REF!,"No. Ramo",8,"IPP","M","PP",1,"UR","IZC")+GETPIVOTDATA("Reducción ",#REF!,"No. Ramo",8,"IPP","O","PP",1,"UR","IZC")</f>
        <v>#REF!</v>
      </c>
      <c r="Q129" s="69" t="e">
        <f>+GETPIVOTDATA("Ampliación ",#REF!,"No. Ramo",8,"IPP","E","PP",4,"UR","IZC")+GETPIVOTDATA("Ampliación ",#REF!,"No. Ramo",8,"IPP","K","PP",9,"UR","IZC")+GETPIVOTDATA("Ampliación ",#REF!,"No. Ramo",8,"IPP","M","PP",1,"UR","IZC")+GETPIVOTDATA("Ampliación ",#REF!,"No. Ramo",8,"IPP","O","PP",1,"UR","IZC")</f>
        <v>#REF!</v>
      </c>
      <c r="R129" s="69" t="e">
        <f t="shared" si="45"/>
        <v>#REF!</v>
      </c>
      <c r="S129" s="69"/>
      <c r="T129" s="69"/>
      <c r="U129" s="69" t="e">
        <f t="shared" si="47"/>
        <v>#REF!</v>
      </c>
      <c r="V129" s="69" t="e">
        <f t="shared" si="47"/>
        <v>#REF!</v>
      </c>
      <c r="W129" s="69" t="e">
        <f t="shared" si="47"/>
        <v>#REF!</v>
      </c>
      <c r="X129" s="69" t="e">
        <f t="shared" si="47"/>
        <v>#REF!</v>
      </c>
      <c r="Y129" s="73"/>
      <c r="AH129" s="152"/>
      <c r="AI129" s="157" t="s">
        <v>112</v>
      </c>
      <c r="AJ129" s="158"/>
      <c r="AK129" s="158"/>
      <c r="AL129" s="155"/>
      <c r="AM129" s="277"/>
      <c r="AN129" s="277"/>
      <c r="AO129" s="278"/>
      <c r="AP129" s="146"/>
      <c r="AQ129" s="146"/>
      <c r="AR129" s="146"/>
      <c r="AS129" s="245"/>
      <c r="AT129" s="245"/>
      <c r="AU129" s="146"/>
      <c r="AX129" s="152"/>
      <c r="AY129" s="157" t="s">
        <v>112</v>
      </c>
      <c r="AZ129" s="158"/>
      <c r="BA129" s="158"/>
      <c r="BB129" s="155"/>
      <c r="BC129" s="275"/>
      <c r="BD129" s="275"/>
      <c r="BE129" s="276"/>
      <c r="BF129" s="187">
        <f>+AU129</f>
        <v>0</v>
      </c>
      <c r="BM129" s="113"/>
      <c r="BN129" s="113"/>
      <c r="BO129" s="113"/>
      <c r="BP129" s="113"/>
      <c r="BQ129" s="113"/>
      <c r="BR129" s="113"/>
      <c r="BS129" s="113"/>
      <c r="BT129" s="113"/>
      <c r="BU129" s="113"/>
      <c r="BV129" s="113"/>
      <c r="BW129" s="113"/>
    </row>
    <row r="130" spans="1:75">
      <c r="A130" s="122">
        <v>1</v>
      </c>
      <c r="B130" s="31"/>
      <c r="C130" s="30" t="s">
        <v>107</v>
      </c>
      <c r="D130" s="30"/>
      <c r="E130" s="30"/>
      <c r="F130" s="33"/>
      <c r="G130" s="33" t="s">
        <v>106</v>
      </c>
      <c r="H130" s="33"/>
      <c r="I130" s="67">
        <v>1</v>
      </c>
      <c r="J130" s="33"/>
      <c r="K130" s="69" t="e">
        <f>+GETPIVOTDATA("PPEF 2010 ",#REF!,"No. Ramo",8,"IPP","E","PP",1,"UR","A1I")+GETPIVOTDATA("PPEF 2010 ",#REF!,"No. Ramo",8,"IPP","E","PP",2,"UR","A1I")+GETPIVOTDATA("PPEF 2010 ",#REF!,"No. Ramo",8,"IPP","E","PP",3,"UR","A1I")+GETPIVOTDATA("PPEF 2010 ",#REF!,"No. Ramo",8,"IPP","E","PP",4,"UR","A1I")+GETPIVOTDATA("PPEF 2010 ",#REF!,"No. Ramo",8,"IPP","E","PP",5,"UR","A1I")+GETPIVOTDATA("PPEF 2010 ",#REF!,"No. Ramo",8,"IPP","K","PP",9,"UR","A1I")+GETPIVOTDATA("PPEF 2010 ",#REF!,"No. Ramo",8,"IPP","M","PP",1,"UR","A1I")+GETPIVOTDATA("PPEF 2010 ",#REF!,"No. Ramo",8,"IPP","O","PP",1,"UR","A1I")+GETPIVOTDATA("PPEF 2010 ",#REF!,"No. Ramo",8,"IPP","P","PP",1,"UR","A1I")</f>
        <v>#REF!</v>
      </c>
      <c r="L130" s="69" t="e">
        <f>+GETPIVOTDATA("Ampliación Neta DIP ",#REF!,"No. Ramo",8,"IPP","E","PP",1,"UR","A1I")+GETPIVOTDATA("Ampliación Neta DIP ",#REF!,"No. Ramo",8,"IPP","E","PP",2,"UR","A1I")+GETPIVOTDATA("Ampliación Neta DIP ",#REF!,"No. Ramo",8,"IPP","E","PP",3,"UR","A1I")+GETPIVOTDATA("Ampliación Neta DIP ",#REF!,"No. Ramo",8,"IPP","E","PP",4,"UR","A1I")+GETPIVOTDATA("Ampliación Neta DIP ",#REF!,"No. Ramo",8,"IPP","E","PP",5,"UR","A1I")+GETPIVOTDATA("Ampliación Neta DIP ",#REF!,"No. Ramo",8,"IPP","K","PP",9,"UR","A1I")+GETPIVOTDATA("Ampliación Neta DIP ",#REF!,"No. Ramo",8,"IPP","M","PP",1,"UR","A1I")+GETPIVOTDATA("Ampliación Neta DIP ",#REF!,"No. Ramo",8,"IPP","O","PP",1,"UR","A1I")+GETPIVOTDATA("Ampliación Neta DIP ",#REF!,"No. Ramo",8,"IPP","P","PP",1,"UR","A1I")</f>
        <v>#REF!</v>
      </c>
      <c r="M130" s="69" t="e">
        <f>+GETPIVOTDATA("Recorte SHCP ",#REF!,"No. Ramo",8,"IPP","E","PP",1,"UR","A1I")+GETPIVOTDATA("Recorte SHCP ",#REF!,"No. Ramo",8,"IPP","E","PP",2,"UR","A1I")+GETPIVOTDATA("Recorte SHCP ",#REF!,"No. Ramo",8,"IPP","E","PP",3,"UR","A1I")+GETPIVOTDATA("Recorte SHCP ",#REF!,"No. Ramo",8,"IPP","E","PP",4,"UR","A1I")+GETPIVOTDATA("Recorte SHCP ",#REF!,"No. Ramo",8,"IPP","E","PP",5,"UR","A1I")+GETPIVOTDATA("Recorte SHCP ",#REF!,"No. Ramo",8,"IPP","K","PP",9,"UR","A1I")+GETPIVOTDATA("Recorte SHCP ",#REF!,"No. Ramo",8,"IPP","M","PP",1,"UR","A1I")+GETPIVOTDATA("Recorte SHCP ",#REF!,"No. Ramo",8,"IPP","O","PP",1,"UR","A1I")+GETPIVOTDATA("Recorte SHCP ",#REF!,"No. Ramo",8,"IPP","P","PP",1,"UR","A1I")</f>
        <v>#REF!</v>
      </c>
      <c r="N130" s="69" t="e">
        <f>+GETPIVOTDATA("PEF 2010 ",#REF!,"No. Ramo",8,"IPP","E","PP",1,"UR","A1I")+GETPIVOTDATA("PEF 2010 ",#REF!,"No. Ramo",8,"IPP","E","PP",2,"UR","A1I")+GETPIVOTDATA("PEF 2010 ",#REF!,"No. Ramo",8,"IPP","E","PP",3,"UR","A1I")+GETPIVOTDATA("PEF 2010 ",#REF!,"No. Ramo",8,"IPP","E","PP",4,"UR","A1I")+GETPIVOTDATA("PEF 2010 ",#REF!,"No. Ramo",8,"IPP","E","PP",5,"UR","A1I")+GETPIVOTDATA("PEF 2010 ",#REF!,"No. Ramo",8,"IPP","K","PP",9,"UR","A1I")+GETPIVOTDATA("PEF 2010 ",#REF!,"No. Ramo",8,"IPP","M","PP",1,"UR","A1I")+GETPIVOTDATA("PEF 2010 ",#REF!,"No. Ramo",8,"IPP","O","PP",1,"UR","A1I")+GETPIVOTDATA("PEF 2010 ",#REF!,"No. Ramo",8,"IPP","P","PP",1,"UR","A1I")</f>
        <v>#REF!</v>
      </c>
      <c r="O130" s="69" t="e">
        <f>+GETPIVOTDATA("PPEF 2011 ",#REF!,"No. Ramo",8,"IPP","E","PP",1,"UR","A1I")+GETPIVOTDATA("PPEF 2011 ",#REF!,"No. Ramo",8,"IPP","E","PP",2,"UR","A1I")+GETPIVOTDATA("PPEF 2011 ",#REF!,"No. Ramo",8,"IPP","E","PP",3,"UR","A1I")+GETPIVOTDATA("PPEF 2011 ",#REF!,"No. Ramo",8,"IPP","E","PP",4,"UR","A1I")+GETPIVOTDATA("PPEF 2011 ",#REF!,"No. Ramo",8,"IPP","E","PP",5,"UR","A1I")+GETPIVOTDATA("PPEF 2011 ",#REF!,"No. Ramo",8,"IPP","K","PP",9,"UR","A1I")+GETPIVOTDATA("PPEF 2011 ",#REF!,"No. Ramo",8,"IPP","M","PP",1,"UR","A1I")+GETPIVOTDATA("PPEF 2011 ",#REF!,"No. Ramo",8,"IPP","O","PP",1,"UR","A1I")+GETPIVOTDATA("PPEF 2011 ",#REF!,"No. Ramo",8,"IPP","P","PP",1,"UR","A1I")</f>
        <v>#REF!</v>
      </c>
      <c r="P130" s="69" t="e">
        <f>+GETPIVOTDATA("Reducción ",#REF!,"No. Ramo",8,"IPP","E","PP",1,"UR","A1I")+GETPIVOTDATA("Reducción ",#REF!,"No. Ramo",8,"IPP","E","PP",2,"UR","A1I")+GETPIVOTDATA("Reducción ",#REF!,"No. Ramo",8,"IPP","E","PP",3,"UR","A1I")+GETPIVOTDATA("Reducción ",#REF!,"No. Ramo",8,"IPP","E","PP",4,"UR","A1I")+GETPIVOTDATA("Reducción ",#REF!,"No. Ramo",8,"IPP","E","PP",5,"UR","A1I")+GETPIVOTDATA("Reducción ",#REF!,"No. Ramo",8,"IPP","K","PP",9,"UR","A1I")+GETPIVOTDATA("Reducción ",#REF!,"No. Ramo",8,"IPP","M","PP",1,"UR","A1I")+GETPIVOTDATA("Reducción ",#REF!,"No. Ramo",8,"IPP","O","PP",1,"UR","A1I")+GETPIVOTDATA("Reducción ",#REF!,"No. Ramo",8,"IPP","P","PP",1,"UR","A1I")</f>
        <v>#REF!</v>
      </c>
      <c r="Q130" s="69" t="e">
        <f>+GETPIVOTDATA("Ampliación ",#REF!,"No. Ramo",8,"IPP","E","PP",1,"UR","A1I")+GETPIVOTDATA("Ampliación ",#REF!,"No. Ramo",8,"IPP","E","PP",2,"UR","A1I")+GETPIVOTDATA("Ampliación ",#REF!,"No. Ramo",8,"IPP","E","PP",3,"UR","A1I")+GETPIVOTDATA("Ampliación ",#REF!,"No. Ramo",8,"IPP","E","PP",4,"UR","A1I")+GETPIVOTDATA("Ampliación ",#REF!,"No. Ramo",8,"IPP","E","PP",5,"UR","A1I")+GETPIVOTDATA("Ampliación ",#REF!,"No. Ramo",8,"IPP","K","PP",9,"UR","A1I")+GETPIVOTDATA("Ampliación ",#REF!,"No. Ramo",8,"IPP","M","PP",1,"UR","A1I")+GETPIVOTDATA("Ampliación ",#REF!,"No. Ramo",8,"IPP","O","PP",1,"UR","A1I")+GETPIVOTDATA("Ampliación ",#REF!,"No. Ramo",8,"IPP","P","PP",1,"UR","A1I")</f>
        <v>#REF!</v>
      </c>
      <c r="R130" s="69" t="e">
        <f t="shared" si="45"/>
        <v>#REF!</v>
      </c>
      <c r="S130" s="69"/>
      <c r="T130" s="69"/>
      <c r="U130" s="69" t="e">
        <f t="shared" si="47"/>
        <v>#REF!</v>
      </c>
      <c r="V130" s="69" t="e">
        <f t="shared" si="47"/>
        <v>#REF!</v>
      </c>
      <c r="W130" s="69" t="e">
        <f t="shared" si="47"/>
        <v>#REF!</v>
      </c>
      <c r="X130" s="69" t="e">
        <f t="shared" si="47"/>
        <v>#REF!</v>
      </c>
      <c r="Y130" s="73"/>
      <c r="AG130" s="113"/>
      <c r="AH130" s="152"/>
      <c r="AI130" s="157" t="s">
        <v>107</v>
      </c>
      <c r="AJ130" s="158"/>
      <c r="AK130" s="158"/>
      <c r="AL130" s="155"/>
      <c r="AM130" s="277"/>
      <c r="AN130" s="277"/>
      <c r="AO130" s="278"/>
      <c r="AP130" s="146" t="e">
        <f>#REF!</f>
        <v>#REF!</v>
      </c>
      <c r="AQ130" s="146" t="e">
        <f>#REF!</f>
        <v>#REF!</v>
      </c>
      <c r="AR130" s="146" t="e">
        <f>#REF!</f>
        <v>#REF!</v>
      </c>
      <c r="AS130" s="245"/>
      <c r="AT130" s="245"/>
      <c r="AU130" s="146" t="e">
        <f>#REF!</f>
        <v>#REF!</v>
      </c>
      <c r="AX130" s="152"/>
      <c r="AY130" s="157" t="s">
        <v>107</v>
      </c>
      <c r="AZ130" s="158"/>
      <c r="BA130" s="158"/>
      <c r="BB130" s="155"/>
      <c r="BC130" s="275"/>
      <c r="BD130" s="275"/>
      <c r="BE130" s="276"/>
      <c r="BF130" s="187" t="e">
        <f>#REF!</f>
        <v>#REF!</v>
      </c>
    </row>
    <row r="131" spans="1:75">
      <c r="A131" s="122">
        <v>1</v>
      </c>
      <c r="B131" s="31"/>
      <c r="C131" s="30" t="s">
        <v>828</v>
      </c>
      <c r="D131" s="30"/>
      <c r="E131" s="30"/>
      <c r="F131" s="33"/>
      <c r="G131" s="33" t="s">
        <v>114</v>
      </c>
      <c r="H131" s="33"/>
      <c r="I131" s="67">
        <v>1</v>
      </c>
      <c r="J131" s="33"/>
      <c r="K131" s="69" t="e">
        <f>+GETPIVOTDATA("PPEF 2010 ",#REF!,"No. Ramo",8,"IPP","E","PP",6,"UR","JAG")+GETPIVOTDATA("PPEF 2010 ",#REF!,"No. Ramo",8,"IPP","E","PP",5,"UR","JAG")+GETPIVOTDATA("PPEF 2010 ",#REF!,"No. Ramo",8,"IPP","K","PP",27,"UR","JAG")+GETPIVOTDATA("PPEF 2010 ",#REF!,"No. Ramo",8,"IPP","M","PP",1,"UR","JAG")+GETPIVOTDATA("PPEF 2010 ",#REF!,"No. Ramo",8,"IPP","O","PP",1,"UR","JAG")</f>
        <v>#REF!</v>
      </c>
      <c r="L131" s="69" t="e">
        <f>+GETPIVOTDATA("Ampliación Neta DIP ",#REF!,"No. Ramo",8,"IPP","E","PP",6,"UR","JAG")+GETPIVOTDATA("Ampliación Neta DIP ",#REF!,"No. Ramo",8,"IPP","E","PP",5,"UR","JAG")+GETPIVOTDATA("Ampliación Neta DIP ",#REF!,"No. Ramo",8,"IPP","K","PP",27,"UR","JAG")+GETPIVOTDATA("Ampliación Neta DIP ",#REF!,"No. Ramo",8,"IPP","M","PP",1,"UR","JAG")+GETPIVOTDATA("Ampliación Neta DIP ",#REF!,"No. Ramo",8,"IPP","O","PP",1,"UR","JAG")</f>
        <v>#REF!</v>
      </c>
      <c r="M131" s="69" t="e">
        <f>+GETPIVOTDATA("Recorte SHCP ",#REF!,"No. Ramo",8,"IPP","E","PP",6,"UR","JAG")+GETPIVOTDATA("Recorte SHCP ",#REF!,"No. Ramo",8,"IPP","E","PP",5,"UR","JAG")+GETPIVOTDATA("Recorte SHCP ",#REF!,"No. Ramo",8,"IPP","K","PP",27,"UR","JAG")+GETPIVOTDATA("Recorte SHCP ",#REF!,"No. Ramo",8,"IPP","M","PP",1,"UR","JAG")+GETPIVOTDATA("Recorte SHCP ",#REF!,"No. Ramo",8,"IPP","O","PP",1,"UR","JAG")</f>
        <v>#REF!</v>
      </c>
      <c r="N131" s="69" t="e">
        <f>+GETPIVOTDATA("PEF 2010 ",#REF!,"No. Ramo",8,"IPP","E","PP",6,"UR","JAG")+GETPIVOTDATA("PEF 2010 ",#REF!,"No. Ramo",8,"IPP","E","PP",5,"UR","JAG")+GETPIVOTDATA("PEF 2010 ",#REF!,"No. Ramo",8,"IPP","K","PP",27,"UR","JAG")+GETPIVOTDATA("PEF 2010 ",#REF!,"No. Ramo",8,"IPP","M","PP",1,"UR","JAG")+GETPIVOTDATA("PEF 2010 ",#REF!,"No. Ramo",8,"IPP","O","PP",1,"UR","JAG")</f>
        <v>#REF!</v>
      </c>
      <c r="O131" s="69" t="e">
        <f>+GETPIVOTDATA("PPEF 2011 ",#REF!,"No. Ramo",8,"IPP","E","PP",6,"UR","JAG")+GETPIVOTDATA("PPEF 2011 ",#REF!,"No. Ramo",8,"IPP","E","PP",5,"UR","JAG")+GETPIVOTDATA("PPEF 2011 ",#REF!,"No. Ramo",8,"IPP","K","PP",27,"UR","JAG")+GETPIVOTDATA("PPEF 2011 ",#REF!,"No. Ramo",8,"IPP","M","PP",1,"UR","JAG")+GETPIVOTDATA("PPEF 2011 ",#REF!,"No. Ramo",8,"IPP","O","PP",1,"UR","JAG")</f>
        <v>#REF!</v>
      </c>
      <c r="P131" s="69" t="e">
        <f>+GETPIVOTDATA("Reducción ",#REF!,"No. Ramo",8,"IPP","E","PP",6,"UR","JAG")+GETPIVOTDATA("Reducción ",#REF!,"No. Ramo",8,"IPP","E","PP",5,"UR","JAG")+GETPIVOTDATA("Reducción ",#REF!,"No. Ramo",8,"IPP","K","PP",27,"UR","JAG")+GETPIVOTDATA("Reducción ",#REF!,"No. Ramo",8,"IPP","M","PP",1,"UR","JAG")+GETPIVOTDATA("Reducción ",#REF!,"No. Ramo",8,"IPP","O","PP",1,"UR","JAG")</f>
        <v>#REF!</v>
      </c>
      <c r="Q131" s="69" t="e">
        <f>+GETPIVOTDATA("Ampliación ",#REF!,"No. Ramo",8,"IPP","E","PP",6,"UR","JAG")+GETPIVOTDATA("Ampliación ",#REF!,"No. Ramo",8,"IPP","E","PP",5,"UR","JAG")+GETPIVOTDATA("Ampliación ",#REF!,"No. Ramo",8,"IPP","K","PP",27,"UR","JAG")+GETPIVOTDATA("Ampliación ",#REF!,"No. Ramo",8,"IPP","M","PP",1,"UR","JAG")+GETPIVOTDATA("Ampliación ",#REF!,"No. Ramo",8,"IPP","O","PP",1,"UR","JAG")</f>
        <v>#REF!</v>
      </c>
      <c r="R131" s="69" t="e">
        <f t="shared" si="45"/>
        <v>#REF!</v>
      </c>
      <c r="S131" s="69"/>
      <c r="T131" s="69"/>
      <c r="U131" s="69" t="e">
        <f t="shared" si="47"/>
        <v>#REF!</v>
      </c>
      <c r="V131" s="69" t="e">
        <f t="shared" si="47"/>
        <v>#REF!</v>
      </c>
      <c r="W131" s="69" t="e">
        <f t="shared" si="47"/>
        <v>#REF!</v>
      </c>
      <c r="X131" s="69" t="e">
        <f t="shared" si="47"/>
        <v>#REF!</v>
      </c>
      <c r="Y131" s="73"/>
      <c r="AH131" s="152"/>
      <c r="AI131" s="157" t="s">
        <v>828</v>
      </c>
      <c r="AJ131" s="158"/>
      <c r="AK131" s="158"/>
      <c r="AL131" s="155"/>
      <c r="AM131" s="277"/>
      <c r="AN131" s="277"/>
      <c r="AO131" s="278"/>
      <c r="AP131" s="146"/>
      <c r="AQ131" s="146"/>
      <c r="AR131" s="146"/>
      <c r="AS131" s="245"/>
      <c r="AT131" s="245"/>
      <c r="AU131" s="146"/>
      <c r="AX131" s="152"/>
      <c r="AY131" s="157" t="s">
        <v>828</v>
      </c>
      <c r="AZ131" s="158"/>
      <c r="BA131" s="158"/>
      <c r="BB131" s="155"/>
      <c r="BC131" s="275"/>
      <c r="BD131" s="275"/>
      <c r="BE131" s="276"/>
      <c r="BF131" s="187">
        <f>+AU131</f>
        <v>0</v>
      </c>
    </row>
    <row r="132" spans="1:75">
      <c r="A132" s="122">
        <v>1</v>
      </c>
      <c r="B132" s="31"/>
      <c r="C132" s="30" t="s">
        <v>729</v>
      </c>
      <c r="D132" s="30"/>
      <c r="E132" s="30"/>
      <c r="F132" s="33"/>
      <c r="G132" s="33" t="s">
        <v>27</v>
      </c>
      <c r="H132" s="33"/>
      <c r="I132" s="67">
        <v>1</v>
      </c>
      <c r="J132" s="33"/>
      <c r="K132" s="69" t="e">
        <f>+GETPIVOTDATA("PPEF 2010 ",#REF!,"No. Ramo",8,"IPP","E","PP",6,"UR","H00")+GETPIVOTDATA("PPEF 2010 ",#REF!,"No. Ramo",8,"IPP","K","PP",14,"UR","H00")+GETPIVOTDATA("PPEF 2010 ",#REF!,"No. Ramo",8,"IPP","M","PP",1,"UR","H00")+GETPIVOTDATA("PPEF 2010 ",#REF!,"No. Ramo",8,"IPP","O","PP",99,"UR","H00")+GETPIVOTDATA("PPEF 2010 ",#REF!,"No. Ramo",8,"IPP","U","PP",7,"UR","H00")</f>
        <v>#REF!</v>
      </c>
      <c r="L132" s="69" t="e">
        <f>+GETPIVOTDATA("Ampliación Neta DIP ",#REF!,"No. Ramo",8,"IPP","E","PP",6,"UR","H00")+GETPIVOTDATA("Ampliación Neta DIP ",#REF!,"No. Ramo",8,"IPP","K","PP",14,"UR","H00")+GETPIVOTDATA("Ampliación Neta DIP ",#REF!,"No. Ramo",8,"IPP","M","PP",1,"UR","H00")+GETPIVOTDATA("Ampliación Neta DIP ",#REF!,"No. Ramo",8,"IPP","O","PP",99,"UR","H00")+GETPIVOTDATA("Ampliación Neta DIP ",#REF!,"No. Ramo",8,"IPP","U","PP",7,"UR","H00")</f>
        <v>#REF!</v>
      </c>
      <c r="M132" s="69" t="e">
        <f>+GETPIVOTDATA("Recorte SHCP ",#REF!,"No. Ramo",8,"IPP","E","PP",6,"UR","H00")+GETPIVOTDATA("Recorte SHCP ",#REF!,"No. Ramo",8,"IPP","K","PP",14,"UR","H00")+GETPIVOTDATA("Recorte SHCP ",#REF!,"No. Ramo",8,"IPP","M","PP",1,"UR","H00")+GETPIVOTDATA("Recorte SHCP ",#REF!,"No. Ramo",8,"IPP","O","PP",99,"UR","H00")+GETPIVOTDATA("Recorte SHCP ",#REF!,"No. Ramo",8,"IPP","U","PP",7,"UR","H00")</f>
        <v>#REF!</v>
      </c>
      <c r="N132" s="69" t="e">
        <f>+GETPIVOTDATA("PEF 2010 ",#REF!,"No. Ramo",8,"IPP","E","PP",6,"UR","H00")+GETPIVOTDATA("PEF 2010 ",#REF!,"No. Ramo",8,"IPP","K","PP",14,"UR","H00")+GETPIVOTDATA("PEF 2010 ",#REF!,"No. Ramo",8,"IPP","M","PP",1,"UR","H00")+GETPIVOTDATA("PEF 2010 ",#REF!,"No. Ramo",8,"IPP","O","PP",99,"UR","H00")+GETPIVOTDATA("PEF 2010 ",#REF!,"No. Ramo",8,"IPP","U","PP",7,"UR","H00")</f>
        <v>#REF!</v>
      </c>
      <c r="O132" s="69" t="e">
        <f>+GETPIVOTDATA("PPEF 2011 ",#REF!,"No. Ramo",8,"IPP","E","PP",6,"UR","H00")+GETPIVOTDATA("PPEF 2011 ",#REF!,"No. Ramo",8,"IPP","K","PP",14,"UR","H00")+GETPIVOTDATA("PPEF 2011 ",#REF!,"No. Ramo",8,"IPP","M","PP",1,"UR","H00")+GETPIVOTDATA("PPEF 2011 ",#REF!,"No. Ramo",8,"IPP","O","PP",99,"UR","H00")+GETPIVOTDATA("PPEF 2011 ",#REF!,"No. Ramo",8,"IPP","U","PP",7,"UR","H00")</f>
        <v>#REF!</v>
      </c>
      <c r="P132" s="69" t="e">
        <f>+GETPIVOTDATA("Reducción ",#REF!,"No. Ramo",8,"IPP","E","PP",6,"UR","H00")+GETPIVOTDATA("Reducción ",#REF!,"No. Ramo",8,"IPP","K","PP",14,"UR","H00")+GETPIVOTDATA("Reducción ",#REF!,"No. Ramo",8,"IPP","M","PP",1,"UR","H00")+GETPIVOTDATA("Reducción ",#REF!,"No. Ramo",8,"IPP","O","PP",99,"UR","H00")+GETPIVOTDATA("Reducción ",#REF!,"No. Ramo",8,"IPP","U","PP",7,"UR","H00")</f>
        <v>#REF!</v>
      </c>
      <c r="Q132" s="69" t="e">
        <f>+GETPIVOTDATA("Ampliación ",#REF!,"No. Ramo",8,"IPP","E","PP",6,"UR","H00")+GETPIVOTDATA("Ampliación ",#REF!,"No. Ramo",8,"IPP","K","PP",14,"UR","H00")+GETPIVOTDATA("Ampliación ",#REF!,"No. Ramo",8,"IPP","M","PP",1,"UR","H00")+GETPIVOTDATA("Ampliación ",#REF!,"No. Ramo",8,"IPP","O","PP",99,"UR","H00")+GETPIVOTDATA("Ampliación ",#REF!,"No. Ramo",8,"IPP","U","PP",7,"UR","H00")</f>
        <v>#REF!</v>
      </c>
      <c r="R132" s="69" t="e">
        <f t="shared" si="45"/>
        <v>#REF!</v>
      </c>
      <c r="S132" s="69"/>
      <c r="T132" s="69"/>
      <c r="U132" s="69" t="e">
        <f t="shared" si="47"/>
        <v>#REF!</v>
      </c>
      <c r="V132" s="69" t="e">
        <f t="shared" si="47"/>
        <v>#REF!</v>
      </c>
      <c r="W132" s="69" t="e">
        <f t="shared" si="47"/>
        <v>#REF!</v>
      </c>
      <c r="X132" s="69" t="e">
        <f t="shared" si="47"/>
        <v>#REF!</v>
      </c>
      <c r="Y132" s="73"/>
      <c r="AH132" s="152"/>
      <c r="AI132" s="157" t="s">
        <v>729</v>
      </c>
      <c r="AJ132" s="158"/>
      <c r="AK132" s="158"/>
      <c r="AL132" s="155"/>
      <c r="AM132" s="277"/>
      <c r="AN132" s="277"/>
      <c r="AO132" s="278"/>
      <c r="AP132" s="146"/>
      <c r="AQ132" s="146"/>
      <c r="AR132" s="146"/>
      <c r="AS132" s="245"/>
      <c r="AT132" s="245"/>
      <c r="AU132" s="146"/>
      <c r="AX132" s="152"/>
      <c r="AY132" s="157" t="s">
        <v>729</v>
      </c>
      <c r="AZ132" s="158"/>
      <c r="BA132" s="158"/>
      <c r="BB132" s="155"/>
      <c r="BC132" s="275"/>
      <c r="BD132" s="275"/>
      <c r="BE132" s="276"/>
      <c r="BF132" s="187">
        <f>+AU132</f>
        <v>0</v>
      </c>
    </row>
    <row r="133" spans="1:75">
      <c r="B133" s="28" t="s">
        <v>727</v>
      </c>
      <c r="C133" s="29" t="s">
        <v>730</v>
      </c>
      <c r="D133" s="29"/>
      <c r="E133" s="29"/>
      <c r="F133" s="28"/>
      <c r="G133" s="28"/>
      <c r="H133" s="28"/>
      <c r="I133" s="65"/>
      <c r="J133" s="28"/>
      <c r="K133" s="66" t="e">
        <f t="shared" ref="K133:Q133" si="64">SUM(K134:K138)</f>
        <v>#REF!</v>
      </c>
      <c r="L133" s="66" t="e">
        <f t="shared" si="64"/>
        <v>#REF!</v>
      </c>
      <c r="M133" s="66" t="e">
        <f t="shared" si="64"/>
        <v>#REF!</v>
      </c>
      <c r="N133" s="66" t="e">
        <f t="shared" si="64"/>
        <v>#REF!</v>
      </c>
      <c r="O133" s="66" t="e">
        <f t="shared" si="64"/>
        <v>#REF!</v>
      </c>
      <c r="P133" s="66" t="e">
        <f t="shared" si="64"/>
        <v>#REF!</v>
      </c>
      <c r="Q133" s="66" t="e">
        <f t="shared" si="64"/>
        <v>#REF!</v>
      </c>
      <c r="R133" s="66" t="e">
        <f t="shared" si="45"/>
        <v>#REF!</v>
      </c>
      <c r="S133" s="66"/>
      <c r="T133" s="66"/>
      <c r="U133" s="66" t="e">
        <f>SUM(U134:U138)</f>
        <v>#REF!</v>
      </c>
      <c r="V133" s="66" t="e">
        <f>SUM(V134:V138)</f>
        <v>#REF!</v>
      </c>
      <c r="W133" s="66" t="e">
        <f>SUM(W134:W138)</f>
        <v>#REF!</v>
      </c>
      <c r="X133" s="66" t="e">
        <f>SUM(X134:X138)</f>
        <v>#REF!</v>
      </c>
      <c r="Y133" s="73" t="e">
        <f>28804-X133/1000000</f>
        <v>#REF!</v>
      </c>
      <c r="AH133" s="147" t="s">
        <v>727</v>
      </c>
      <c r="AI133" s="148" t="s">
        <v>730</v>
      </c>
      <c r="AJ133" s="160"/>
      <c r="AK133" s="160"/>
      <c r="AL133" s="149"/>
      <c r="AM133" s="277"/>
      <c r="AN133" s="277"/>
      <c r="AO133" s="278"/>
      <c r="AP133" s="146">
        <f>SUM(AP134:AP138)</f>
        <v>0</v>
      </c>
      <c r="AQ133" s="146">
        <f>SUM(AQ134:AQ138)</f>
        <v>0</v>
      </c>
      <c r="AR133" s="146">
        <f>SUM(AR134:AR138)</f>
        <v>0</v>
      </c>
      <c r="AS133" s="245"/>
      <c r="AT133" s="245"/>
      <c r="AU133" s="146">
        <f>SUM(AU134:AU138)</f>
        <v>0</v>
      </c>
      <c r="AX133" s="147" t="s">
        <v>727</v>
      </c>
      <c r="AY133" s="148" t="s">
        <v>730</v>
      </c>
      <c r="AZ133" s="160"/>
      <c r="BA133" s="160"/>
      <c r="BB133" s="149"/>
      <c r="BC133" s="275"/>
      <c r="BD133" s="275"/>
      <c r="BE133" s="276"/>
      <c r="BF133" s="187">
        <f>SUM(BF134:BF138)</f>
        <v>0</v>
      </c>
    </row>
    <row r="134" spans="1:75">
      <c r="B134" s="31"/>
      <c r="C134" s="30" t="s">
        <v>731</v>
      </c>
      <c r="D134" s="30"/>
      <c r="E134" s="30"/>
      <c r="F134" s="33" t="s">
        <v>829</v>
      </c>
      <c r="G134" s="33">
        <v>610</v>
      </c>
      <c r="H134" s="33"/>
      <c r="I134" s="67">
        <v>1</v>
      </c>
      <c r="J134" s="33"/>
      <c r="K134" s="69" t="e">
        <f>+GETPIVOTDATA("PPEF 2010 ",#REF!,"No. Ramo",11,"IPP","E","PP",8,"UR",610)</f>
        <v>#REF!</v>
      </c>
      <c r="L134" s="69" t="e">
        <f>+GETPIVOTDATA("Ampliación Neta DIP ",#REF!,"No. Ramo",11,"IPP","E","PP",8,"UR",610)</f>
        <v>#REF!</v>
      </c>
      <c r="M134" s="69" t="e">
        <f>+GETPIVOTDATA("Recorte SHCP ",#REF!,"No. Ramo",11,"IPP","E","PP",8,"UR",610)</f>
        <v>#REF!</v>
      </c>
      <c r="N134" s="69" t="e">
        <f>+GETPIVOTDATA("PEF 2010 ",#REF!,"No. Ramo",11,"IPP","E","PP",8,"UR",610)</f>
        <v>#REF!</v>
      </c>
      <c r="O134" s="69" t="e">
        <f>+GETPIVOTDATA("PPEF 2011 ",#REF!,"No. Ramo",11,"IPP","E","PP",8,"UR",610)</f>
        <v>#REF!</v>
      </c>
      <c r="P134" s="69" t="e">
        <f>+GETPIVOTDATA("Reducción ",#REF!,"No. Ramo",11,"IPP","E","PP",8,"UR",610)</f>
        <v>#REF!</v>
      </c>
      <c r="Q134" s="69" t="e">
        <f>+GETPIVOTDATA("Ampliación ",#REF!,"No. Ramo",11,"IPP","E","PP",8,"UR",610)</f>
        <v>#REF!</v>
      </c>
      <c r="R134" s="69" t="e">
        <f t="shared" si="45"/>
        <v>#REF!</v>
      </c>
      <c r="S134" s="69"/>
      <c r="T134" s="69"/>
      <c r="U134" s="69" t="e">
        <f t="shared" si="47"/>
        <v>#REF!</v>
      </c>
      <c r="V134" s="69" t="e">
        <f t="shared" si="47"/>
        <v>#REF!</v>
      </c>
      <c r="W134" s="69" t="e">
        <f t="shared" si="47"/>
        <v>#REF!</v>
      </c>
      <c r="X134" s="69" t="e">
        <f t="shared" si="47"/>
        <v>#REF!</v>
      </c>
      <c r="AH134" s="152"/>
      <c r="AI134" s="157" t="s">
        <v>731</v>
      </c>
      <c r="AJ134" s="158"/>
      <c r="AK134" s="158"/>
      <c r="AL134" s="277"/>
      <c r="AM134" s="277"/>
      <c r="AN134" s="277"/>
      <c r="AO134" s="278"/>
      <c r="AP134" s="146"/>
      <c r="AQ134" s="146"/>
      <c r="AR134" s="146"/>
      <c r="AS134" s="245"/>
      <c r="AT134" s="245"/>
      <c r="AU134" s="146"/>
      <c r="AX134" s="152"/>
      <c r="AY134" s="157" t="s">
        <v>731</v>
      </c>
      <c r="AZ134" s="158"/>
      <c r="BA134" s="158"/>
      <c r="BB134" s="275"/>
      <c r="BC134" s="275"/>
      <c r="BD134" s="275"/>
      <c r="BE134" s="276"/>
      <c r="BF134" s="187">
        <f>+AU134</f>
        <v>0</v>
      </c>
    </row>
    <row r="135" spans="1:75">
      <c r="B135" s="31"/>
      <c r="C135" s="30" t="s">
        <v>215</v>
      </c>
      <c r="D135" s="30"/>
      <c r="E135" s="30"/>
      <c r="F135" s="33" t="s">
        <v>830</v>
      </c>
      <c r="G135" s="33"/>
      <c r="H135" s="33"/>
      <c r="I135" s="67">
        <v>1</v>
      </c>
      <c r="J135" s="33"/>
      <c r="K135" s="79" t="e">
        <f>+GETPIVOTDATA("PPEF 2010 ",#REF!,"No. Ramo",11,"IPP","S","PP",126,"UR",513)+GETPIVOTDATA("PPEF 2010 ",#REF!,"No. Ramo",11,"IPP","S","PP",126,"UR",610)</f>
        <v>#REF!</v>
      </c>
      <c r="L135" s="79" t="e">
        <f>+GETPIVOTDATA("Ampliación Neta DIP ",#REF!,"No. Ramo",11,"IPP","S","PP",126,"UR",513)+GETPIVOTDATA("Ampliación Neta DIP ",#REF!,"No. Ramo",11,"IPP","S","PP",126,"UR",610)</f>
        <v>#REF!</v>
      </c>
      <c r="M135" s="79" t="e">
        <f>+GETPIVOTDATA("Recorte SHCP ",#REF!,"No. Ramo",11,"IPP","S","PP",126,"UR",513)+GETPIVOTDATA("Recorte SHCP ",#REF!,"No. Ramo",11,"IPP","S","PP",126,"UR",610)</f>
        <v>#REF!</v>
      </c>
      <c r="N135" s="79" t="e">
        <f>+GETPIVOTDATA("PEF 2010 ",#REF!,"No. Ramo",11,"IPP","S","PP",126,"UR",513)+GETPIVOTDATA("PEF 2010 ",#REF!,"No. Ramo",11,"IPP","S","PP",126,"UR",610)</f>
        <v>#REF!</v>
      </c>
      <c r="O135" s="79" t="e">
        <f>+GETPIVOTDATA("PPEF 2011 ",#REF!,"No. Ramo",11,"IPP","S","PP",126,"UR",513)+GETPIVOTDATA("PPEF 2011 ",#REF!,"No. Ramo",11,"IPP","S","PP",126,"UR",610)</f>
        <v>#REF!</v>
      </c>
      <c r="P135" s="79" t="e">
        <f>+GETPIVOTDATA("Reducción ",#REF!,"No. Ramo",11,"IPP","S","PP",126,"UR",513)+GETPIVOTDATA("Reducción ",#REF!,"No. Ramo",11,"IPP","S","PP",126,"UR",610)</f>
        <v>#REF!</v>
      </c>
      <c r="Q135" s="79" t="e">
        <f>+GETPIVOTDATA("Ampliación ",#REF!,"No. Ramo",11,"IPP","S","PP",126,"UR",513)+GETPIVOTDATA("Ampliación ",#REF!,"No. Ramo",11,"IPP","S","PP",126,"UR",610)</f>
        <v>#REF!</v>
      </c>
      <c r="R135" s="69" t="e">
        <f t="shared" si="45"/>
        <v>#REF!</v>
      </c>
      <c r="S135" s="69"/>
      <c r="T135" s="69"/>
      <c r="U135" s="69" t="e">
        <f t="shared" si="47"/>
        <v>#REF!</v>
      </c>
      <c r="V135" s="69" t="e">
        <f t="shared" si="47"/>
        <v>#REF!</v>
      </c>
      <c r="W135" s="69" t="e">
        <f t="shared" si="47"/>
        <v>#REF!</v>
      </c>
      <c r="X135" s="79" t="e">
        <f t="shared" si="47"/>
        <v>#REF!</v>
      </c>
      <c r="AH135" s="152"/>
      <c r="AI135" s="157" t="s">
        <v>215</v>
      </c>
      <c r="AJ135" s="158"/>
      <c r="AK135" s="158"/>
      <c r="AL135" s="277"/>
      <c r="AM135" s="277"/>
      <c r="AN135" s="277"/>
      <c r="AO135" s="278"/>
      <c r="AP135" s="146"/>
      <c r="AQ135" s="146"/>
      <c r="AR135" s="146"/>
      <c r="AS135" s="245"/>
      <c r="AT135" s="245"/>
      <c r="AU135" s="146"/>
      <c r="AX135" s="152"/>
      <c r="AY135" s="157" t="s">
        <v>215</v>
      </c>
      <c r="AZ135" s="158"/>
      <c r="BA135" s="158"/>
      <c r="BB135" s="275"/>
      <c r="BC135" s="275"/>
      <c r="BD135" s="275"/>
      <c r="BE135" s="276"/>
      <c r="BF135" s="187">
        <f>+AU135</f>
        <v>0</v>
      </c>
    </row>
    <row r="136" spans="1:75">
      <c r="B136" s="31"/>
      <c r="C136" s="30" t="s">
        <v>732</v>
      </c>
      <c r="D136" s="30"/>
      <c r="E136" s="30"/>
      <c r="F136" s="33" t="s">
        <v>820</v>
      </c>
      <c r="G136" s="33" t="s">
        <v>196</v>
      </c>
      <c r="H136" s="33"/>
      <c r="I136" s="67">
        <v>1</v>
      </c>
      <c r="J136" s="33"/>
      <c r="K136" s="79" t="e">
        <f>+GETPIVOTDATA("PPEF 2010 ",#REF!,"No. Ramo",11,"IPP","E","PP",10,"UR","MGH")</f>
        <v>#REF!</v>
      </c>
      <c r="L136" s="79" t="e">
        <f>+GETPIVOTDATA("Ampliación Neta DIP ",#REF!,"No. Ramo",11,"IPP","E","PP",10,"UR","MGH")</f>
        <v>#REF!</v>
      </c>
      <c r="M136" s="79" t="e">
        <f>+GETPIVOTDATA("Recorte SHCP ",#REF!,"No. Ramo",11,"IPP","E","PP",10,"UR","MGH")</f>
        <v>#REF!</v>
      </c>
      <c r="N136" s="79" t="e">
        <f>+GETPIVOTDATA("PEF 2010 ",#REF!,"No. Ramo",11,"IPP","E","PP",10,"UR","MGH")</f>
        <v>#REF!</v>
      </c>
      <c r="O136" s="79" t="e">
        <f>+GETPIVOTDATA("PPEF 2011 ",#REF!,"No. Ramo",11,"IPP","E","PP",10,"UR","MGH")</f>
        <v>#REF!</v>
      </c>
      <c r="P136" s="79" t="e">
        <f>+GETPIVOTDATA("Reducción ",#REF!,"No. Ramo",11,"IPP","E","PP",10,"UR","MGH")</f>
        <v>#REF!</v>
      </c>
      <c r="Q136" s="79" t="e">
        <f>+GETPIVOTDATA("Ampliación ",#REF!,"No. Ramo",11,"IPP","E","PP",10,"UR","MGH")</f>
        <v>#REF!</v>
      </c>
      <c r="R136" s="69" t="e">
        <f t="shared" si="45"/>
        <v>#REF!</v>
      </c>
      <c r="S136" s="69"/>
      <c r="T136" s="69"/>
      <c r="U136" s="69" t="e">
        <f t="shared" si="47"/>
        <v>#REF!</v>
      </c>
      <c r="V136" s="69" t="e">
        <f t="shared" si="47"/>
        <v>#REF!</v>
      </c>
      <c r="W136" s="69" t="e">
        <f t="shared" si="47"/>
        <v>#REF!</v>
      </c>
      <c r="X136" s="79" t="e">
        <f t="shared" si="47"/>
        <v>#REF!</v>
      </c>
      <c r="AH136" s="152"/>
      <c r="AI136" s="157" t="s">
        <v>732</v>
      </c>
      <c r="AJ136" s="158"/>
      <c r="AK136" s="158"/>
      <c r="AL136" s="277"/>
      <c r="AM136" s="277"/>
      <c r="AN136" s="277"/>
      <c r="AO136" s="278"/>
      <c r="AP136" s="146"/>
      <c r="AQ136" s="146"/>
      <c r="AR136" s="146"/>
      <c r="AS136" s="245"/>
      <c r="AT136" s="245"/>
      <c r="AU136" s="146"/>
      <c r="AX136" s="152"/>
      <c r="AY136" s="157" t="s">
        <v>732</v>
      </c>
      <c r="AZ136" s="158"/>
      <c r="BA136" s="158"/>
      <c r="BB136" s="275"/>
      <c r="BC136" s="275"/>
      <c r="BD136" s="275"/>
      <c r="BE136" s="276"/>
      <c r="BF136" s="187">
        <f>+AU136</f>
        <v>0</v>
      </c>
    </row>
    <row r="137" spans="1:75">
      <c r="B137" s="31"/>
      <c r="C137" s="30" t="s">
        <v>733</v>
      </c>
      <c r="D137" s="30"/>
      <c r="E137" s="30"/>
      <c r="F137" s="33" t="s">
        <v>831</v>
      </c>
      <c r="G137" s="33" t="s">
        <v>210</v>
      </c>
      <c r="H137" s="33"/>
      <c r="I137" s="67" t="e">
        <f>17872500000/O137</f>
        <v>#REF!</v>
      </c>
      <c r="J137" s="33"/>
      <c r="K137" s="69" t="e">
        <f>+GETPIVOTDATA("PPEF 2010 ",#REF!,"No. Ramo",11,"IPP","S","PP",72,"UR","L6W")</f>
        <v>#REF!</v>
      </c>
      <c r="L137" s="69" t="e">
        <f>+GETPIVOTDATA("Ampliación Neta DIP ",#REF!,"No. Ramo",11,"IPP","S","PP",72,"UR","L6W")</f>
        <v>#REF!</v>
      </c>
      <c r="M137" s="69" t="e">
        <f>+GETPIVOTDATA("Recorte SHCP ",#REF!,"No. Ramo",11,"IPP","S","PP",72,"UR","L6W")</f>
        <v>#REF!</v>
      </c>
      <c r="N137" s="69" t="e">
        <f>+GETPIVOTDATA("PEF 2010 ",#REF!,"No. Ramo",11,"IPP","S","PP",72,"UR","L6W")</f>
        <v>#REF!</v>
      </c>
      <c r="O137" s="69" t="e">
        <f>+GETPIVOTDATA("PPEF 2011 ",#REF!,"No. Ramo",11,"IPP","S","PP",72,"UR","L6W")</f>
        <v>#REF!</v>
      </c>
      <c r="P137" s="69" t="e">
        <f>+GETPIVOTDATA("Reducción ",#REF!,"No. Ramo",11,"IPP","S","PP",72,"UR","L6W")</f>
        <v>#REF!</v>
      </c>
      <c r="Q137" s="69" t="e">
        <f>+GETPIVOTDATA("Ampliación ",#REF!,"No. Ramo",11,"IPP","S","PP",72,"UR","L6W")</f>
        <v>#REF!</v>
      </c>
      <c r="R137" s="69" t="e">
        <f t="shared" si="45"/>
        <v>#REF!</v>
      </c>
      <c r="S137" s="69"/>
      <c r="T137" s="69"/>
      <c r="U137" s="69" t="e">
        <f t="shared" si="47"/>
        <v>#REF!</v>
      </c>
      <c r="V137" s="69" t="e">
        <f t="shared" si="47"/>
        <v>#REF!</v>
      </c>
      <c r="W137" s="69" t="e">
        <f t="shared" si="47"/>
        <v>#REF!</v>
      </c>
      <c r="X137" s="69" t="e">
        <f t="shared" si="47"/>
        <v>#REF!</v>
      </c>
      <c r="AH137" s="152"/>
      <c r="AI137" s="157" t="s">
        <v>733</v>
      </c>
      <c r="AJ137" s="158"/>
      <c r="AK137" s="158"/>
      <c r="AL137" s="277"/>
      <c r="AM137" s="277"/>
      <c r="AN137" s="277"/>
      <c r="AO137" s="278"/>
      <c r="AP137" s="146"/>
      <c r="AQ137" s="146"/>
      <c r="AR137" s="146"/>
      <c r="AS137" s="245"/>
      <c r="AT137" s="245"/>
      <c r="AU137" s="146"/>
      <c r="AX137" s="152"/>
      <c r="AY137" s="157" t="s">
        <v>733</v>
      </c>
      <c r="AZ137" s="158"/>
      <c r="BA137" s="158"/>
      <c r="BB137" s="275"/>
      <c r="BC137" s="275"/>
      <c r="BD137" s="275"/>
      <c r="BE137" s="276"/>
      <c r="BF137" s="187">
        <f>+AU137</f>
        <v>0</v>
      </c>
    </row>
    <row r="138" spans="1:75">
      <c r="B138" s="31"/>
      <c r="C138" s="30" t="s">
        <v>734</v>
      </c>
      <c r="D138" s="30"/>
      <c r="E138" s="30"/>
      <c r="F138" s="33" t="s">
        <v>832</v>
      </c>
      <c r="G138" s="33" t="s">
        <v>833</v>
      </c>
      <c r="H138" s="33"/>
      <c r="I138" s="67">
        <v>1</v>
      </c>
      <c r="J138" s="33"/>
      <c r="K138" s="79" t="e">
        <f>+GETPIVOTDATA("PPEF 2010 ",#REF!,"No. Ramo",11,"IPP","G","PP",1,"UR",313)+GETPIVOTDATA("PPEF 2010 ",#REF!,"No. Ramo",11,"IPP","K","PP",9,"UR","L6W")+GETPIVOTDATA("PPEF 2010 ",#REF!,"No. Ramo",11,"IPP","S","PP",22,"UR","L6W")</f>
        <v>#REF!</v>
      </c>
      <c r="L138" s="79" t="e">
        <f>+GETPIVOTDATA("Ampliación Neta DIP ",#REF!,"No. Ramo",11,"IPP","G","PP",1,"UR",313)+GETPIVOTDATA("Ampliación Neta DIP ",#REF!,"No. Ramo",11,"IPP","K","PP",9,"UR","L6W")+GETPIVOTDATA("Ampliación Neta DIP ",#REF!,"No. Ramo",11,"IPP","S","PP",22,"UR","L6W")</f>
        <v>#REF!</v>
      </c>
      <c r="M138" s="79" t="e">
        <f>+GETPIVOTDATA("Recorte SHCP ",#REF!,"No. Ramo",11,"IPP","G","PP",1,"UR",313)+GETPIVOTDATA("Recorte SHCP ",#REF!,"No. Ramo",11,"IPP","K","PP",9,"UR","L6W")+GETPIVOTDATA("Recorte SHCP ",#REF!,"No. Ramo",11,"IPP","S","PP",22,"UR","L6W")</f>
        <v>#REF!</v>
      </c>
      <c r="N138" s="79" t="e">
        <f>+GETPIVOTDATA("PEF 2010 ",#REF!,"No. Ramo",11,"IPP","G","PP",1,"UR",313)+GETPIVOTDATA("PEF 2010 ",#REF!,"No. Ramo",11,"IPP","K","PP",9,"UR","L6W")+GETPIVOTDATA("PEF 2010 ",#REF!,"No. Ramo",11,"IPP","S","PP",22,"UR","L6W")</f>
        <v>#REF!</v>
      </c>
      <c r="O138" s="79" t="e">
        <f>+GETPIVOTDATA("PPEF 2011 ",#REF!,"No. Ramo",11,"IPP","G","PP",1,"UR",313)+GETPIVOTDATA("PPEF 2011 ",#REF!,"No. Ramo",11,"IPP","K","PP",9,"UR","L6W")+GETPIVOTDATA("PPEF 2011 ",#REF!,"No. Ramo",11,"IPP","S","PP",22,"UR","L6W")</f>
        <v>#REF!</v>
      </c>
      <c r="P138" s="79" t="e">
        <f>+GETPIVOTDATA("Reducción ",#REF!,"No. Ramo",11,"IPP","G","PP",1,"UR",313)+GETPIVOTDATA("Reducción ",#REF!,"No. Ramo",11,"IPP","K","PP",9,"UR","L6W")+GETPIVOTDATA("Reducción ",#REF!,"No. Ramo",11,"IPP","S","PP",22,"UR","L6W")</f>
        <v>#REF!</v>
      </c>
      <c r="Q138" s="79" t="e">
        <f>+GETPIVOTDATA("Ampliación ",#REF!,"No. Ramo",11,"IPP","G","PP",1,"UR",313)+GETPIVOTDATA("Ampliación ",#REF!,"No. Ramo",11,"IPP","K","PP",9,"UR","L6W")+GETPIVOTDATA("Ampliación ",#REF!,"No. Ramo",11,"IPP","S","PP",22,"UR","L6W")</f>
        <v>#REF!</v>
      </c>
      <c r="R138" s="69" t="e">
        <f t="shared" si="45"/>
        <v>#REF!</v>
      </c>
      <c r="S138" s="69"/>
      <c r="T138" s="69"/>
      <c r="U138" s="69" t="e">
        <f t="shared" si="47"/>
        <v>#REF!</v>
      </c>
      <c r="V138" s="69" t="e">
        <f t="shared" si="47"/>
        <v>#REF!</v>
      </c>
      <c r="W138" s="69" t="e">
        <f t="shared" si="47"/>
        <v>#REF!</v>
      </c>
      <c r="X138" s="79" t="e">
        <f t="shared" si="47"/>
        <v>#REF!</v>
      </c>
      <c r="AH138" s="174"/>
      <c r="AI138" s="157" t="s">
        <v>734</v>
      </c>
      <c r="AJ138" s="158"/>
      <c r="AK138" s="158"/>
      <c r="AL138" s="277"/>
      <c r="AM138" s="277"/>
      <c r="AN138" s="277"/>
      <c r="AO138" s="278"/>
      <c r="AP138" s="146"/>
      <c r="AQ138" s="146"/>
      <c r="AR138" s="146"/>
      <c r="AS138" s="245"/>
      <c r="AT138" s="245"/>
      <c r="AU138" s="146"/>
      <c r="AX138" s="174"/>
      <c r="AY138" s="157" t="s">
        <v>734</v>
      </c>
      <c r="AZ138" s="158"/>
      <c r="BA138" s="158"/>
      <c r="BB138" s="275"/>
      <c r="BC138" s="275"/>
      <c r="BD138" s="275"/>
      <c r="BE138" s="276"/>
      <c r="BF138" s="187">
        <f>+AU138</f>
        <v>0</v>
      </c>
    </row>
    <row r="139" spans="1:75">
      <c r="B139" s="26"/>
      <c r="C139" s="27" t="s">
        <v>735</v>
      </c>
      <c r="D139" s="27"/>
      <c r="E139" s="27"/>
      <c r="F139" s="61"/>
      <c r="G139" s="61"/>
      <c r="H139" s="61"/>
      <c r="I139" s="62"/>
      <c r="J139" s="61"/>
      <c r="K139" s="63" t="e">
        <f t="shared" ref="K139:Q139" si="65">+K140+K142+K144+K146</f>
        <v>#REF!</v>
      </c>
      <c r="L139" s="63" t="e">
        <f t="shared" si="65"/>
        <v>#REF!</v>
      </c>
      <c r="M139" s="63" t="e">
        <f t="shared" si="65"/>
        <v>#REF!</v>
      </c>
      <c r="N139" s="63" t="e">
        <f t="shared" si="65"/>
        <v>#REF!</v>
      </c>
      <c r="O139" s="63" t="e">
        <f t="shared" si="65"/>
        <v>#REF!</v>
      </c>
      <c r="P139" s="63" t="e">
        <f t="shared" si="65"/>
        <v>#REF!</v>
      </c>
      <c r="Q139" s="63" t="e">
        <f t="shared" si="65"/>
        <v>#REF!</v>
      </c>
      <c r="R139" s="63" t="e">
        <f t="shared" si="45"/>
        <v>#REF!</v>
      </c>
      <c r="S139" s="63"/>
      <c r="T139" s="63"/>
      <c r="U139" s="63" t="e">
        <f>+U140+U142+U144+U146</f>
        <v>#REF!</v>
      </c>
      <c r="V139" s="63" t="e">
        <f>+V140+V142+V144+V146</f>
        <v>#REF!</v>
      </c>
      <c r="W139" s="63" t="e">
        <f>+W140+W142+W144+W146</f>
        <v>#REF!</v>
      </c>
      <c r="X139" s="63" t="e">
        <f>+X140+X142+X144+X146</f>
        <v>#REF!</v>
      </c>
      <c r="AH139" s="147"/>
      <c r="AI139" s="148" t="s">
        <v>1366</v>
      </c>
      <c r="AJ139" s="160"/>
      <c r="AK139" s="160"/>
      <c r="AL139" s="149"/>
      <c r="AM139" s="277"/>
      <c r="AN139" s="277"/>
      <c r="AO139" s="278"/>
      <c r="AP139" s="146">
        <f t="shared" ref="AP139:AU139" si="66">AP140+AP142+AP144+AP146</f>
        <v>0</v>
      </c>
      <c r="AQ139" s="146">
        <f t="shared" si="66"/>
        <v>0</v>
      </c>
      <c r="AR139" s="146">
        <f t="shared" si="66"/>
        <v>0</v>
      </c>
      <c r="AS139" s="245"/>
      <c r="AT139" s="245"/>
      <c r="AU139" s="146">
        <f t="shared" si="66"/>
        <v>0</v>
      </c>
      <c r="AX139" s="147"/>
      <c r="AY139" s="148" t="s">
        <v>1366</v>
      </c>
      <c r="AZ139" s="160"/>
      <c r="BA139" s="160"/>
      <c r="BB139" s="149"/>
      <c r="BC139" s="275"/>
      <c r="BD139" s="275"/>
      <c r="BE139" s="276"/>
      <c r="BF139" s="187">
        <f>BF140+BF142+BF144+BF146</f>
        <v>0</v>
      </c>
    </row>
    <row r="140" spans="1:75">
      <c r="B140" s="28" t="s">
        <v>736</v>
      </c>
      <c r="C140" s="29" t="s">
        <v>737</v>
      </c>
      <c r="D140" s="29"/>
      <c r="E140" s="29"/>
      <c r="F140" s="28"/>
      <c r="G140" s="28"/>
      <c r="H140" s="28"/>
      <c r="I140" s="65"/>
      <c r="J140" s="28"/>
      <c r="K140" s="66" t="e">
        <f t="shared" ref="K140:Q140" si="67">+K141</f>
        <v>#REF!</v>
      </c>
      <c r="L140" s="66" t="e">
        <f t="shared" si="67"/>
        <v>#REF!</v>
      </c>
      <c r="M140" s="66" t="e">
        <f t="shared" si="67"/>
        <v>#REF!</v>
      </c>
      <c r="N140" s="66" t="e">
        <f t="shared" si="67"/>
        <v>#REF!</v>
      </c>
      <c r="O140" s="66" t="e">
        <f t="shared" si="67"/>
        <v>#REF!</v>
      </c>
      <c r="P140" s="66" t="e">
        <f t="shared" si="67"/>
        <v>#REF!</v>
      </c>
      <c r="Q140" s="66" t="e">
        <f t="shared" si="67"/>
        <v>#REF!</v>
      </c>
      <c r="R140" s="66" t="e">
        <f t="shared" si="45"/>
        <v>#REF!</v>
      </c>
      <c r="S140" s="66"/>
      <c r="T140" s="66"/>
      <c r="U140" s="66" t="e">
        <f>+U141</f>
        <v>#REF!</v>
      </c>
      <c r="V140" s="66" t="e">
        <f>+V141</f>
        <v>#REF!</v>
      </c>
      <c r="W140" s="66" t="e">
        <f>+W141</f>
        <v>#REF!</v>
      </c>
      <c r="X140" s="66" t="e">
        <f>+X141</f>
        <v>#REF!</v>
      </c>
      <c r="AH140" s="147" t="s">
        <v>736</v>
      </c>
      <c r="AI140" s="148" t="s">
        <v>737</v>
      </c>
      <c r="AJ140" s="160"/>
      <c r="AK140" s="160"/>
      <c r="AL140" s="149"/>
      <c r="AM140" s="277"/>
      <c r="AN140" s="277"/>
      <c r="AO140" s="278"/>
      <c r="AP140" s="146">
        <f>AP141</f>
        <v>0</v>
      </c>
      <c r="AQ140" s="146">
        <f>AQ141</f>
        <v>0</v>
      </c>
      <c r="AR140" s="146">
        <f>AR141</f>
        <v>0</v>
      </c>
      <c r="AS140" s="245"/>
      <c r="AT140" s="245"/>
      <c r="AU140" s="146">
        <f>AU141</f>
        <v>0</v>
      </c>
      <c r="AX140" s="147" t="s">
        <v>736</v>
      </c>
      <c r="AY140" s="148" t="s">
        <v>737</v>
      </c>
      <c r="AZ140" s="160"/>
      <c r="BA140" s="160"/>
      <c r="BB140" s="149"/>
      <c r="BC140" s="275"/>
      <c r="BD140" s="275"/>
      <c r="BE140" s="276"/>
      <c r="BF140" s="187">
        <f>BF141</f>
        <v>0</v>
      </c>
    </row>
    <row r="141" spans="1:75">
      <c r="B141" s="31"/>
      <c r="C141" s="30" t="s">
        <v>738</v>
      </c>
      <c r="D141" s="30"/>
      <c r="E141" s="30"/>
      <c r="F141" s="33" t="s">
        <v>834</v>
      </c>
      <c r="G141" s="33">
        <v>200</v>
      </c>
      <c r="H141" s="33"/>
      <c r="I141" s="67">
        <v>1</v>
      </c>
      <c r="J141" s="33"/>
      <c r="K141" s="69" t="e">
        <f>+GETPIVOTDATA("PPEF 2010 ",#REF!,"No. Ramo",4,"IPP","R","PP",2,"UR",200)</f>
        <v>#REF!</v>
      </c>
      <c r="L141" s="69" t="e">
        <f>+GETPIVOTDATA("Ampliación Neta DIP ",#REF!,"No. Ramo",4,"IPP","R","PP",2,"UR",200)</f>
        <v>#REF!</v>
      </c>
      <c r="M141" s="69" t="e">
        <f>+GETPIVOTDATA("Recorte SHCP ",#REF!,"No. Ramo",4,"IPP","R","PP",2,"UR",200)</f>
        <v>#REF!</v>
      </c>
      <c r="N141" s="69" t="e">
        <f>+GETPIVOTDATA("PEF 2010 ",#REF!,"No. Ramo",4,"IPP","R","PP",2,"UR",200)</f>
        <v>#REF!</v>
      </c>
      <c r="O141" s="69" t="e">
        <f>+GETPIVOTDATA("PPEF 2011 ",#REF!,"No. Ramo",4,"IPP","R","PP",2,"UR",200)</f>
        <v>#REF!</v>
      </c>
      <c r="P141" s="69" t="e">
        <f>+GETPIVOTDATA("Reducción ",#REF!,"No. Ramo",4,"IPP","R","PP",2,"UR",200)</f>
        <v>#REF!</v>
      </c>
      <c r="Q141" s="69" t="e">
        <f>+GETPIVOTDATA("Ampliación ",#REF!,"No. Ramo",4,"IPP","R","PP",2,"UR",200)</f>
        <v>#REF!</v>
      </c>
      <c r="R141" s="69" t="e">
        <f t="shared" si="45"/>
        <v>#REF!</v>
      </c>
      <c r="S141" s="69"/>
      <c r="T141" s="69"/>
      <c r="U141" s="69" t="e">
        <f t="shared" si="47"/>
        <v>#REF!</v>
      </c>
      <c r="V141" s="69" t="e">
        <f t="shared" si="47"/>
        <v>#REF!</v>
      </c>
      <c r="W141" s="69" t="e">
        <f t="shared" si="47"/>
        <v>#REF!</v>
      </c>
      <c r="X141" s="69" t="e">
        <f t="shared" si="47"/>
        <v>#REF!</v>
      </c>
      <c r="AH141" s="152"/>
      <c r="AI141" s="157" t="s">
        <v>738</v>
      </c>
      <c r="AJ141" s="158"/>
      <c r="AK141" s="158"/>
      <c r="AL141" s="277"/>
      <c r="AM141" s="277"/>
      <c r="AN141" s="277"/>
      <c r="AO141" s="278"/>
      <c r="AP141" s="146"/>
      <c r="AQ141" s="146"/>
      <c r="AR141" s="146"/>
      <c r="AS141" s="245"/>
      <c r="AT141" s="245"/>
      <c r="AU141" s="146"/>
      <c r="AX141" s="152"/>
      <c r="AY141" s="157" t="s">
        <v>738</v>
      </c>
      <c r="AZ141" s="158"/>
      <c r="BA141" s="158"/>
      <c r="BB141" s="275"/>
      <c r="BC141" s="275"/>
      <c r="BD141" s="275"/>
      <c r="BE141" s="276"/>
      <c r="BF141" s="187">
        <f>+AU141</f>
        <v>0</v>
      </c>
    </row>
    <row r="142" spans="1:75">
      <c r="B142" s="28" t="s">
        <v>736</v>
      </c>
      <c r="C142" s="29" t="s">
        <v>739</v>
      </c>
      <c r="D142" s="29"/>
      <c r="E142" s="29"/>
      <c r="F142" s="28"/>
      <c r="G142" s="28"/>
      <c r="H142" s="28"/>
      <c r="I142" s="65"/>
      <c r="J142" s="28"/>
      <c r="K142" s="66" t="e">
        <f t="shared" ref="K142:Q142" si="68">+K143</f>
        <v>#REF!</v>
      </c>
      <c r="L142" s="66" t="e">
        <f t="shared" si="68"/>
        <v>#REF!</v>
      </c>
      <c r="M142" s="66" t="e">
        <f t="shared" si="68"/>
        <v>#REF!</v>
      </c>
      <c r="N142" s="66" t="e">
        <f t="shared" si="68"/>
        <v>#REF!</v>
      </c>
      <c r="O142" s="66" t="e">
        <f t="shared" si="68"/>
        <v>#REF!</v>
      </c>
      <c r="P142" s="66" t="e">
        <f t="shared" si="68"/>
        <v>#REF!</v>
      </c>
      <c r="Q142" s="66" t="e">
        <f t="shared" si="68"/>
        <v>#REF!</v>
      </c>
      <c r="R142" s="66" t="e">
        <f t="shared" si="45"/>
        <v>#REF!</v>
      </c>
      <c r="S142" s="66"/>
      <c r="T142" s="66"/>
      <c r="U142" s="66" t="e">
        <f>+U143</f>
        <v>#REF!</v>
      </c>
      <c r="V142" s="66" t="e">
        <f>+V143</f>
        <v>#REF!</v>
      </c>
      <c r="W142" s="66" t="e">
        <f>+W143</f>
        <v>#REF!</v>
      </c>
      <c r="X142" s="66" t="e">
        <f>+X143</f>
        <v>#REF!</v>
      </c>
      <c r="AH142" s="147" t="s">
        <v>736</v>
      </c>
      <c r="AI142" s="148" t="s">
        <v>739</v>
      </c>
      <c r="AJ142" s="160"/>
      <c r="AK142" s="160"/>
      <c r="AL142" s="277"/>
      <c r="AM142" s="277"/>
      <c r="AN142" s="277"/>
      <c r="AO142" s="278"/>
      <c r="AP142" s="146">
        <f t="shared" ref="AP142:AU142" si="69">AP143</f>
        <v>0</v>
      </c>
      <c r="AQ142" s="146">
        <f t="shared" si="69"/>
        <v>0</v>
      </c>
      <c r="AR142" s="146">
        <f t="shared" si="69"/>
        <v>0</v>
      </c>
      <c r="AS142" s="245"/>
      <c r="AT142" s="245"/>
      <c r="AU142" s="146">
        <f t="shared" si="69"/>
        <v>0</v>
      </c>
      <c r="AX142" s="147" t="s">
        <v>736</v>
      </c>
      <c r="AY142" s="148" t="s">
        <v>739</v>
      </c>
      <c r="AZ142" s="160"/>
      <c r="BA142" s="160"/>
      <c r="BB142" s="275"/>
      <c r="BC142" s="275"/>
      <c r="BD142" s="275"/>
      <c r="BE142" s="276"/>
      <c r="BF142" s="187">
        <f>BF143</f>
        <v>0</v>
      </c>
    </row>
    <row r="143" spans="1:75">
      <c r="B143" s="31"/>
      <c r="C143" s="30" t="s">
        <v>740</v>
      </c>
      <c r="D143" s="30"/>
      <c r="E143" s="30"/>
      <c r="F143" s="33" t="s">
        <v>825</v>
      </c>
      <c r="G143" s="33"/>
      <c r="H143" s="33"/>
      <c r="I143" s="67">
        <v>1</v>
      </c>
      <c r="J143" s="33"/>
      <c r="K143" s="69" t="e">
        <f>+GETPIVOTDATA("PPEF 2010 ",#REF!,"No. Ramo",9,"IPP","S","PP",71)</f>
        <v>#REF!</v>
      </c>
      <c r="L143" s="69" t="e">
        <f>+GETPIVOTDATA("Ampliación Neta DIP ",#REF!,"No. Ramo",9,"IPP","S","PP",71)</f>
        <v>#REF!</v>
      </c>
      <c r="M143" s="69" t="e">
        <f>+GETPIVOTDATA("Recorte SHCP ",#REF!,"No. Ramo",9,"IPP","S","PP",71)</f>
        <v>#REF!</v>
      </c>
      <c r="N143" s="69" t="e">
        <f>+GETPIVOTDATA("PEF 2010 ",#REF!,"No. Ramo",9,"IPP","S","PP",71)</f>
        <v>#REF!</v>
      </c>
      <c r="O143" s="69" t="e">
        <f>+GETPIVOTDATA("PPEF 2011 ",#REF!,"No. Ramo",9,"IPP","S","PP",71)</f>
        <v>#REF!</v>
      </c>
      <c r="P143" s="69" t="e">
        <f>+GETPIVOTDATA("Reducción ",#REF!,"No. Ramo",9,"IPP","S","PP",71)</f>
        <v>#REF!</v>
      </c>
      <c r="Q143" s="69" t="e">
        <f>+GETPIVOTDATA("Ampliación ",#REF!,"No. Ramo",9,"IPP","S","PP",71)</f>
        <v>#REF!</v>
      </c>
      <c r="R143" s="69" t="e">
        <f t="shared" si="45"/>
        <v>#REF!</v>
      </c>
      <c r="S143" s="69"/>
      <c r="T143" s="69"/>
      <c r="U143" s="69" t="e">
        <f t="shared" si="47"/>
        <v>#REF!</v>
      </c>
      <c r="V143" s="69" t="e">
        <f t="shared" si="47"/>
        <v>#REF!</v>
      </c>
      <c r="W143" s="69" t="e">
        <f t="shared" si="47"/>
        <v>#REF!</v>
      </c>
      <c r="X143" s="69" t="e">
        <f t="shared" si="47"/>
        <v>#REF!</v>
      </c>
      <c r="AH143" s="152"/>
      <c r="AI143" s="157" t="s">
        <v>740</v>
      </c>
      <c r="AJ143" s="158"/>
      <c r="AK143" s="158"/>
      <c r="AL143" s="277"/>
      <c r="AM143" s="277"/>
      <c r="AN143" s="277"/>
      <c r="AO143" s="278"/>
      <c r="AP143" s="146"/>
      <c r="AQ143" s="146"/>
      <c r="AR143" s="146"/>
      <c r="AS143" s="245"/>
      <c r="AT143" s="245"/>
      <c r="AU143" s="146"/>
      <c r="AX143" s="152"/>
      <c r="AY143" s="157" t="s">
        <v>740</v>
      </c>
      <c r="AZ143" s="158"/>
      <c r="BA143" s="158"/>
      <c r="BB143" s="275"/>
      <c r="BC143" s="275"/>
      <c r="BD143" s="275"/>
      <c r="BE143" s="276"/>
      <c r="BF143" s="187">
        <f>+AU143</f>
        <v>0</v>
      </c>
    </row>
    <row r="144" spans="1:75">
      <c r="B144" s="28" t="s">
        <v>736</v>
      </c>
      <c r="C144" s="29" t="s">
        <v>741</v>
      </c>
      <c r="D144" s="29"/>
      <c r="E144" s="29"/>
      <c r="F144" s="28"/>
      <c r="G144" s="28"/>
      <c r="H144" s="28"/>
      <c r="I144" s="65"/>
      <c r="J144" s="28"/>
      <c r="K144" s="66" t="e">
        <f t="shared" ref="K144:Q144" si="70">+K145</f>
        <v>#REF!</v>
      </c>
      <c r="L144" s="66" t="e">
        <f t="shared" si="70"/>
        <v>#REF!</v>
      </c>
      <c r="M144" s="66" t="e">
        <f t="shared" si="70"/>
        <v>#REF!</v>
      </c>
      <c r="N144" s="66" t="e">
        <f t="shared" si="70"/>
        <v>#REF!</v>
      </c>
      <c r="O144" s="66" t="e">
        <f t="shared" si="70"/>
        <v>#REF!</v>
      </c>
      <c r="P144" s="66" t="e">
        <f t="shared" si="70"/>
        <v>#REF!</v>
      </c>
      <c r="Q144" s="66" t="e">
        <f t="shared" si="70"/>
        <v>#REF!</v>
      </c>
      <c r="R144" s="66" t="e">
        <f t="shared" si="45"/>
        <v>#REF!</v>
      </c>
      <c r="S144" s="66"/>
      <c r="T144" s="66"/>
      <c r="U144" s="66" t="e">
        <f>+U145</f>
        <v>#REF!</v>
      </c>
      <c r="V144" s="66" t="e">
        <f>+V145</f>
        <v>#REF!</v>
      </c>
      <c r="W144" s="66" t="e">
        <f>+W145</f>
        <v>#REF!</v>
      </c>
      <c r="X144" s="66" t="e">
        <f>+X145</f>
        <v>#REF!</v>
      </c>
      <c r="AH144" s="147" t="s">
        <v>736</v>
      </c>
      <c r="AI144" s="148" t="s">
        <v>741</v>
      </c>
      <c r="AJ144" s="160"/>
      <c r="AK144" s="160"/>
      <c r="AL144" s="277"/>
      <c r="AM144" s="277"/>
      <c r="AN144" s="277"/>
      <c r="AO144" s="278"/>
      <c r="AP144" s="146">
        <v>0</v>
      </c>
      <c r="AQ144" s="146">
        <v>0</v>
      </c>
      <c r="AR144" s="146">
        <v>0</v>
      </c>
      <c r="AS144" s="245"/>
      <c r="AT144" s="245"/>
      <c r="AU144" s="146">
        <v>0</v>
      </c>
      <c r="AX144" s="147" t="s">
        <v>736</v>
      </c>
      <c r="AY144" s="148" t="s">
        <v>741</v>
      </c>
      <c r="AZ144" s="160"/>
      <c r="BA144" s="160"/>
      <c r="BB144" s="275"/>
      <c r="BC144" s="275"/>
      <c r="BD144" s="275"/>
      <c r="BE144" s="276"/>
      <c r="BF144" s="187">
        <v>0</v>
      </c>
    </row>
    <row r="145" spans="2:75">
      <c r="B145" s="31"/>
      <c r="C145" s="30" t="s">
        <v>742</v>
      </c>
      <c r="D145" s="30"/>
      <c r="E145" s="30"/>
      <c r="F145" s="33" t="s">
        <v>835</v>
      </c>
      <c r="G145" s="33">
        <v>310</v>
      </c>
      <c r="H145" s="33"/>
      <c r="I145" s="67">
        <v>1</v>
      </c>
      <c r="J145" s="33"/>
      <c r="K145" s="69" t="e">
        <f>+GETPIVOTDATA("PPEF 2010 ",#REF!,"No. Ramo",14,"IPP","S","PP",43,"UR",310)</f>
        <v>#REF!</v>
      </c>
      <c r="L145" s="69" t="e">
        <f>+GETPIVOTDATA("Ampliación Neta DIP ",#REF!,"No. Ramo",14,"IPP","S","PP",43,"UR",310)</f>
        <v>#REF!</v>
      </c>
      <c r="M145" s="69" t="e">
        <f>+GETPIVOTDATA("Recorte SHCP ",#REF!,"No. Ramo",14,"IPP","S","PP",43,"UR",310)</f>
        <v>#REF!</v>
      </c>
      <c r="N145" s="69" t="e">
        <f>+GETPIVOTDATA("PEF 2010 ",#REF!,"No. Ramo",14,"IPP","S","PP",43,"UR",310)</f>
        <v>#REF!</v>
      </c>
      <c r="O145" s="69" t="e">
        <f>+GETPIVOTDATA("PPEF 2011 ",#REF!,"No. Ramo",14,"IPP","S","PP",43,"UR",310)</f>
        <v>#REF!</v>
      </c>
      <c r="P145" s="69" t="e">
        <f>+GETPIVOTDATA("Reducción ",#REF!,"No. Ramo",14,"IPP","S","PP",43,"UR",310)</f>
        <v>#REF!</v>
      </c>
      <c r="Q145" s="69" t="e">
        <f>+GETPIVOTDATA("Ampliación ",#REF!,"No. Ramo",14,"IPP","S","PP",43,"UR",310)</f>
        <v>#REF!</v>
      </c>
      <c r="R145" s="69" t="e">
        <f t="shared" si="45"/>
        <v>#REF!</v>
      </c>
      <c r="S145" s="69"/>
      <c r="T145" s="69"/>
      <c r="U145" s="69" t="e">
        <f t="shared" si="47"/>
        <v>#REF!</v>
      </c>
      <c r="V145" s="69" t="e">
        <f t="shared" si="47"/>
        <v>#REF!</v>
      </c>
      <c r="W145" s="69" t="e">
        <f t="shared" si="47"/>
        <v>#REF!</v>
      </c>
      <c r="X145" s="69" t="e">
        <f t="shared" si="47"/>
        <v>#REF!</v>
      </c>
      <c r="AH145" s="152"/>
      <c r="AI145" s="157" t="s">
        <v>742</v>
      </c>
      <c r="AJ145" s="158"/>
      <c r="AK145" s="158"/>
      <c r="AL145" s="277"/>
      <c r="AM145" s="277"/>
      <c r="AN145" s="277"/>
      <c r="AO145" s="278"/>
      <c r="AP145" s="146"/>
      <c r="AQ145" s="146"/>
      <c r="AR145" s="146"/>
      <c r="AS145" s="245"/>
      <c r="AT145" s="245"/>
      <c r="AU145" s="146"/>
      <c r="AX145" s="152"/>
      <c r="AY145" s="157" t="s">
        <v>742</v>
      </c>
      <c r="AZ145" s="158"/>
      <c r="BA145" s="158"/>
      <c r="BB145" s="275"/>
      <c r="BC145" s="275"/>
      <c r="BD145" s="275"/>
      <c r="BE145" s="276"/>
      <c r="BF145" s="187">
        <f>+AU145</f>
        <v>0</v>
      </c>
    </row>
    <row r="146" spans="2:75">
      <c r="B146" s="28" t="s">
        <v>736</v>
      </c>
      <c r="C146" s="29" t="s">
        <v>690</v>
      </c>
      <c r="D146" s="29"/>
      <c r="E146" s="29"/>
      <c r="F146" s="28"/>
      <c r="G146" s="28"/>
      <c r="H146" s="28"/>
      <c r="I146" s="65"/>
      <c r="J146" s="28"/>
      <c r="K146" s="66" t="e">
        <f t="shared" ref="K146:Q146" si="71">+K147</f>
        <v>#REF!</v>
      </c>
      <c r="L146" s="66" t="e">
        <f t="shared" si="71"/>
        <v>#REF!</v>
      </c>
      <c r="M146" s="66" t="e">
        <f t="shared" si="71"/>
        <v>#REF!</v>
      </c>
      <c r="N146" s="66" t="e">
        <f t="shared" si="71"/>
        <v>#REF!</v>
      </c>
      <c r="O146" s="66" t="e">
        <f t="shared" si="71"/>
        <v>#REF!</v>
      </c>
      <c r="P146" s="66" t="e">
        <f t="shared" si="71"/>
        <v>#REF!</v>
      </c>
      <c r="Q146" s="66" t="e">
        <f t="shared" si="71"/>
        <v>#REF!</v>
      </c>
      <c r="R146" s="66" t="e">
        <f t="shared" si="45"/>
        <v>#REF!</v>
      </c>
      <c r="S146" s="66"/>
      <c r="T146" s="66"/>
      <c r="U146" s="66" t="e">
        <f>+U147</f>
        <v>#REF!</v>
      </c>
      <c r="V146" s="66" t="e">
        <f>+V147</f>
        <v>#REF!</v>
      </c>
      <c r="W146" s="66" t="e">
        <f>+W147</f>
        <v>#REF!</v>
      </c>
      <c r="X146" s="66" t="e">
        <f>+X147</f>
        <v>#REF!</v>
      </c>
      <c r="AH146" s="147" t="s">
        <v>736</v>
      </c>
      <c r="AI146" s="148" t="s">
        <v>690</v>
      </c>
      <c r="AJ146" s="160"/>
      <c r="AK146" s="160"/>
      <c r="AL146" s="277"/>
      <c r="AM146" s="277"/>
      <c r="AN146" s="277"/>
      <c r="AO146" s="278"/>
      <c r="AP146" s="146">
        <f>AP147</f>
        <v>0</v>
      </c>
      <c r="AQ146" s="146">
        <f>AQ147</f>
        <v>0</v>
      </c>
      <c r="AR146" s="146">
        <f>AR147</f>
        <v>0</v>
      </c>
      <c r="AS146" s="245"/>
      <c r="AT146" s="245"/>
      <c r="AU146" s="146">
        <f>AU147</f>
        <v>0</v>
      </c>
      <c r="AX146" s="147" t="s">
        <v>736</v>
      </c>
      <c r="AY146" s="148" t="s">
        <v>690</v>
      </c>
      <c r="AZ146" s="160"/>
      <c r="BA146" s="160"/>
      <c r="BB146" s="275"/>
      <c r="BC146" s="275"/>
      <c r="BD146" s="275"/>
      <c r="BE146" s="276"/>
      <c r="BF146" s="187">
        <f>BF147</f>
        <v>0</v>
      </c>
    </row>
    <row r="147" spans="2:75">
      <c r="B147" s="31"/>
      <c r="C147" s="30" t="s">
        <v>740</v>
      </c>
      <c r="D147" s="30"/>
      <c r="E147" s="30"/>
      <c r="F147" s="33" t="s">
        <v>825</v>
      </c>
      <c r="G147" s="33"/>
      <c r="H147" s="33"/>
      <c r="I147" s="67">
        <v>1</v>
      </c>
      <c r="J147" s="33"/>
      <c r="K147" s="69" t="e">
        <f>+GETPIVOTDATA("PPEF 2010 ",#REF!,"No. Ramo",20,"IPP","S","PP",71)</f>
        <v>#REF!</v>
      </c>
      <c r="L147" s="69" t="e">
        <f>+GETPIVOTDATA("Ampliación Neta DIP ",#REF!,"No. Ramo",20,"IPP","S","PP",71)</f>
        <v>#REF!</v>
      </c>
      <c r="M147" s="69" t="e">
        <f>+GETPIVOTDATA("Recorte SHCP ",#REF!,"No. Ramo",20,"IPP","S","PP",71)</f>
        <v>#REF!</v>
      </c>
      <c r="N147" s="69" t="e">
        <f>+GETPIVOTDATA("PEF 2010 ",#REF!,"No. Ramo",20,"IPP","S","PP",71)</f>
        <v>#REF!</v>
      </c>
      <c r="O147" s="69" t="e">
        <f>+GETPIVOTDATA("PPEF 2011 ",#REF!,"No. Ramo",20,"IPP","S","PP",71)</f>
        <v>#REF!</v>
      </c>
      <c r="P147" s="69" t="e">
        <f>+GETPIVOTDATA("Reducción ",#REF!,"No. Ramo",20,"IPP","S","PP",71)</f>
        <v>#REF!</v>
      </c>
      <c r="Q147" s="69" t="e">
        <f>+GETPIVOTDATA("Ampliación ",#REF!,"No. Ramo",20,"IPP","S","PP",71)</f>
        <v>#REF!</v>
      </c>
      <c r="R147" s="69" t="e">
        <f t="shared" si="45"/>
        <v>#REF!</v>
      </c>
      <c r="S147" s="69"/>
      <c r="T147" s="69"/>
      <c r="U147" s="69" t="e">
        <f t="shared" si="47"/>
        <v>#REF!</v>
      </c>
      <c r="V147" s="69" t="e">
        <f t="shared" si="47"/>
        <v>#REF!</v>
      </c>
      <c r="W147" s="69" t="e">
        <f t="shared" si="47"/>
        <v>#REF!</v>
      </c>
      <c r="X147" s="69" t="e">
        <f t="shared" si="47"/>
        <v>#REF!</v>
      </c>
      <c r="AH147" s="152"/>
      <c r="AI147" s="157" t="s">
        <v>740</v>
      </c>
      <c r="AJ147" s="158"/>
      <c r="AK147" s="158"/>
      <c r="AL147" s="277"/>
      <c r="AM147" s="277"/>
      <c r="AN147" s="277"/>
      <c r="AO147" s="278"/>
      <c r="AP147" s="146"/>
      <c r="AQ147" s="146"/>
      <c r="AR147" s="146"/>
      <c r="AS147" s="245"/>
      <c r="AT147" s="245"/>
      <c r="AU147" s="146"/>
      <c r="AX147" s="152"/>
      <c r="AY147" s="157" t="s">
        <v>740</v>
      </c>
      <c r="AZ147" s="158"/>
      <c r="BA147" s="158"/>
      <c r="BB147" s="275"/>
      <c r="BC147" s="275"/>
      <c r="BD147" s="275"/>
      <c r="BE147" s="276"/>
      <c r="BF147" s="187">
        <f>+AU147</f>
        <v>0</v>
      </c>
    </row>
    <row r="148" spans="2:75">
      <c r="B148" s="26"/>
      <c r="C148" s="27" t="s">
        <v>743</v>
      </c>
      <c r="D148" s="27"/>
      <c r="E148" s="27"/>
      <c r="F148" s="61"/>
      <c r="G148" s="61"/>
      <c r="H148" s="61"/>
      <c r="I148" s="62"/>
      <c r="J148" s="61"/>
      <c r="K148" s="63" t="e">
        <f t="shared" ref="K148:Q148" si="72">+K149+K151+K177</f>
        <v>#REF!</v>
      </c>
      <c r="L148" s="63" t="e">
        <f t="shared" si="72"/>
        <v>#REF!</v>
      </c>
      <c r="M148" s="63" t="e">
        <f t="shared" si="72"/>
        <v>#REF!</v>
      </c>
      <c r="N148" s="63" t="e">
        <f t="shared" si="72"/>
        <v>#REF!</v>
      </c>
      <c r="O148" s="63" t="e">
        <f t="shared" si="72"/>
        <v>#REF!</v>
      </c>
      <c r="P148" s="63" t="e">
        <f t="shared" si="72"/>
        <v>#REF!</v>
      </c>
      <c r="Q148" s="63" t="e">
        <f t="shared" si="72"/>
        <v>#REF!</v>
      </c>
      <c r="R148" s="63" t="e">
        <f t="shared" si="45"/>
        <v>#REF!</v>
      </c>
      <c r="S148" s="63"/>
      <c r="T148" s="63"/>
      <c r="U148" s="63" t="e">
        <f>+U149+U151+U177</f>
        <v>#REF!</v>
      </c>
      <c r="V148" s="63" t="e">
        <f>+V149+V151+V177</f>
        <v>#REF!</v>
      </c>
      <c r="W148" s="63" t="e">
        <f>+W149+W151+W177</f>
        <v>#REF!</v>
      </c>
      <c r="X148" s="63" t="e">
        <f>+X149+X151+X177</f>
        <v>#REF!</v>
      </c>
      <c r="AH148" s="147"/>
      <c r="AI148" s="148" t="s">
        <v>743</v>
      </c>
      <c r="AJ148" s="160"/>
      <c r="AK148" s="160"/>
      <c r="AL148" s="277"/>
      <c r="AM148" s="277"/>
      <c r="AN148" s="277"/>
      <c r="AO148" s="278"/>
      <c r="AP148" s="146">
        <f>AP149+AP151+AP177</f>
        <v>0</v>
      </c>
      <c r="AQ148" s="146">
        <f>AQ149+AQ151+AQ177</f>
        <v>0</v>
      </c>
      <c r="AR148" s="146">
        <f>AR149+AR151+AR177</f>
        <v>0</v>
      </c>
      <c r="AS148" s="245"/>
      <c r="AT148" s="245"/>
      <c r="AU148" s="146">
        <f>AU149+AU151+AU177</f>
        <v>0</v>
      </c>
      <c r="AX148" s="147"/>
      <c r="AY148" s="148" t="s">
        <v>743</v>
      </c>
      <c r="AZ148" s="160"/>
      <c r="BA148" s="160"/>
      <c r="BB148" s="275"/>
      <c r="BC148" s="275"/>
      <c r="BD148" s="275"/>
      <c r="BE148" s="276"/>
      <c r="BF148" s="187">
        <f>BF149+BF151+BF177</f>
        <v>0</v>
      </c>
    </row>
    <row r="149" spans="2:75">
      <c r="B149" s="28" t="s">
        <v>744</v>
      </c>
      <c r="C149" s="29" t="s">
        <v>745</v>
      </c>
      <c r="D149" s="29"/>
      <c r="E149" s="29"/>
      <c r="F149" s="28"/>
      <c r="G149" s="28"/>
      <c r="H149" s="28"/>
      <c r="I149" s="65"/>
      <c r="J149" s="28"/>
      <c r="K149" s="66" t="e">
        <f t="shared" ref="K149:Q149" si="73">+K150</f>
        <v>#REF!</v>
      </c>
      <c r="L149" s="66" t="e">
        <f t="shared" si="73"/>
        <v>#REF!</v>
      </c>
      <c r="M149" s="66" t="e">
        <f t="shared" si="73"/>
        <v>#REF!</v>
      </c>
      <c r="N149" s="66" t="e">
        <f t="shared" si="73"/>
        <v>#REF!</v>
      </c>
      <c r="O149" s="66" t="e">
        <f t="shared" si="73"/>
        <v>#REF!</v>
      </c>
      <c r="P149" s="66" t="e">
        <f t="shared" si="73"/>
        <v>#REF!</v>
      </c>
      <c r="Q149" s="66" t="e">
        <f t="shared" si="73"/>
        <v>#REF!</v>
      </c>
      <c r="R149" s="66" t="e">
        <f t="shared" si="45"/>
        <v>#REF!</v>
      </c>
      <c r="S149" s="66"/>
      <c r="T149" s="66"/>
      <c r="U149" s="66" t="e">
        <f>+U150</f>
        <v>#REF!</v>
      </c>
      <c r="V149" s="66" t="e">
        <f>+V150</f>
        <v>#REF!</v>
      </c>
      <c r="W149" s="66" t="e">
        <f>+W150</f>
        <v>#REF!</v>
      </c>
      <c r="X149" s="66" t="e">
        <f>+X150</f>
        <v>#REF!</v>
      </c>
      <c r="AH149" s="147" t="s">
        <v>744</v>
      </c>
      <c r="AI149" s="148" t="s">
        <v>745</v>
      </c>
      <c r="AJ149" s="160"/>
      <c r="AK149" s="160"/>
      <c r="AL149" s="277"/>
      <c r="AM149" s="277"/>
      <c r="AN149" s="277"/>
      <c r="AO149" s="278"/>
      <c r="AP149" s="146">
        <f t="shared" ref="AP149:AU149" si="74">AP150</f>
        <v>0</v>
      </c>
      <c r="AQ149" s="146">
        <f t="shared" si="74"/>
        <v>0</v>
      </c>
      <c r="AR149" s="146">
        <f t="shared" si="74"/>
        <v>0</v>
      </c>
      <c r="AS149" s="245"/>
      <c r="AT149" s="245"/>
      <c r="AU149" s="146">
        <f t="shared" si="74"/>
        <v>0</v>
      </c>
      <c r="AX149" s="147" t="s">
        <v>744</v>
      </c>
      <c r="AY149" s="148" t="s">
        <v>745</v>
      </c>
      <c r="AZ149" s="160"/>
      <c r="BA149" s="160"/>
      <c r="BB149" s="275"/>
      <c r="BC149" s="275"/>
      <c r="BD149" s="275"/>
      <c r="BE149" s="276"/>
      <c r="BF149" s="187">
        <f>BF150</f>
        <v>0</v>
      </c>
    </row>
    <row r="150" spans="2:75">
      <c r="B150" s="31"/>
      <c r="C150" s="30" t="s">
        <v>746</v>
      </c>
      <c r="D150" s="30"/>
      <c r="E150" s="30"/>
      <c r="F150" s="33" t="s">
        <v>836</v>
      </c>
      <c r="G150" s="80">
        <v>211</v>
      </c>
      <c r="H150" s="33"/>
      <c r="I150" s="67" t="e">
        <f>75000000/O150</f>
        <v>#REF!</v>
      </c>
      <c r="J150" s="88"/>
      <c r="K150" s="69" t="e">
        <f>+GETPIVOTDATA("PPEF 2010 ",#REF!,"No. Ramo",5,"IPP","E","PP",2,"UR",211)</f>
        <v>#REF!</v>
      </c>
      <c r="L150" s="69" t="e">
        <f>+GETPIVOTDATA("Ampliación Neta DIP ",#REF!,"No. Ramo",5,"IPP","E","PP",2,"UR",211)</f>
        <v>#REF!</v>
      </c>
      <c r="M150" s="69" t="e">
        <f>+GETPIVOTDATA("Recorte SHCP ",#REF!,"No. Ramo",5,"IPP","E","PP",2,"UR",211)</f>
        <v>#REF!</v>
      </c>
      <c r="N150" s="69" t="e">
        <f>+GETPIVOTDATA("PEF 2010 ",#REF!,"No. Ramo",5,"IPP","E","PP",2,"UR",211)</f>
        <v>#REF!</v>
      </c>
      <c r="O150" s="69" t="e">
        <f>+GETPIVOTDATA("PPEF 2011 ",#REF!,"No. Ramo",5,"IPP","E","PP",2,"UR",211)</f>
        <v>#REF!</v>
      </c>
      <c r="P150" s="69" t="e">
        <f>+GETPIVOTDATA("Reducción ",#REF!,"No. Ramo",5,"IPP","E","PP",2,"UR",211)</f>
        <v>#REF!</v>
      </c>
      <c r="Q150" s="69" t="e">
        <f>+GETPIVOTDATA("Ampliación ",#REF!,"No. Ramo",5,"IPP","E","PP",2,"UR",211)</f>
        <v>#REF!</v>
      </c>
      <c r="R150" s="69" t="e">
        <f t="shared" si="45"/>
        <v>#REF!</v>
      </c>
      <c r="S150" s="69"/>
      <c r="T150" s="69"/>
      <c r="U150" s="69" t="e">
        <f t="shared" si="47"/>
        <v>#REF!</v>
      </c>
      <c r="V150" s="69" t="e">
        <f t="shared" si="47"/>
        <v>#REF!</v>
      </c>
      <c r="W150" s="69" t="e">
        <f t="shared" si="47"/>
        <v>#REF!</v>
      </c>
      <c r="X150" s="69" t="e">
        <f t="shared" si="47"/>
        <v>#REF!</v>
      </c>
      <c r="AH150" s="152"/>
      <c r="AI150" s="157" t="s">
        <v>746</v>
      </c>
      <c r="AJ150" s="158"/>
      <c r="AK150" s="158"/>
      <c r="AL150" s="277"/>
      <c r="AM150" s="277"/>
      <c r="AN150" s="277"/>
      <c r="AO150" s="278"/>
      <c r="AP150" s="146"/>
      <c r="AQ150" s="146"/>
      <c r="AR150" s="146"/>
      <c r="AS150" s="245"/>
      <c r="AT150" s="245"/>
      <c r="AU150" s="146"/>
      <c r="AX150" s="152"/>
      <c r="AY150" s="157" t="s">
        <v>746</v>
      </c>
      <c r="AZ150" s="158"/>
      <c r="BA150" s="158"/>
      <c r="BB150" s="275"/>
      <c r="BC150" s="275"/>
      <c r="BD150" s="275"/>
      <c r="BE150" s="276"/>
      <c r="BF150" s="187">
        <f>+AU150</f>
        <v>0</v>
      </c>
      <c r="BI150" s="113"/>
      <c r="BJ150" s="113"/>
      <c r="BK150" s="113"/>
      <c r="BL150" s="113"/>
    </row>
    <row r="151" spans="2:75">
      <c r="B151" s="28" t="s">
        <v>744</v>
      </c>
      <c r="C151" s="29" t="s">
        <v>653</v>
      </c>
      <c r="D151" s="29"/>
      <c r="E151" s="29"/>
      <c r="F151" s="28"/>
      <c r="G151" s="28"/>
      <c r="H151" s="28"/>
      <c r="I151" s="65"/>
      <c r="J151" s="28"/>
      <c r="K151" s="66" t="e">
        <f t="shared" ref="K151:Q151" si="75">+K152</f>
        <v>#REF!</v>
      </c>
      <c r="L151" s="66" t="e">
        <f t="shared" si="75"/>
        <v>#REF!</v>
      </c>
      <c r="M151" s="66" t="e">
        <f t="shared" si="75"/>
        <v>#REF!</v>
      </c>
      <c r="N151" s="66" t="e">
        <f t="shared" si="75"/>
        <v>#REF!</v>
      </c>
      <c r="O151" s="66" t="e">
        <f t="shared" si="75"/>
        <v>#REF!</v>
      </c>
      <c r="P151" s="66" t="e">
        <f t="shared" si="75"/>
        <v>#REF!</v>
      </c>
      <c r="Q151" s="66" t="e">
        <f t="shared" si="75"/>
        <v>#REF!</v>
      </c>
      <c r="R151" s="66" t="e">
        <f t="shared" si="45"/>
        <v>#REF!</v>
      </c>
      <c r="S151" s="66"/>
      <c r="T151" s="66"/>
      <c r="U151" s="66" t="e">
        <f>+U152</f>
        <v>#REF!</v>
      </c>
      <c r="V151" s="66" t="e">
        <f>+V152</f>
        <v>#REF!</v>
      </c>
      <c r="W151" s="66" t="e">
        <f>+W152</f>
        <v>#REF!</v>
      </c>
      <c r="X151" s="66" t="e">
        <f>+X152</f>
        <v>#REF!</v>
      </c>
      <c r="AH151" s="147" t="s">
        <v>744</v>
      </c>
      <c r="AI151" s="148" t="s">
        <v>653</v>
      </c>
      <c r="AJ151" s="160"/>
      <c r="AK151" s="160"/>
      <c r="AL151" s="149"/>
      <c r="AM151" s="277"/>
      <c r="AN151" s="277"/>
      <c r="AO151" s="278"/>
      <c r="AP151" s="146">
        <f t="shared" ref="AP151:AU151" si="76">AP152</f>
        <v>0</v>
      </c>
      <c r="AQ151" s="146">
        <f t="shared" si="76"/>
        <v>0</v>
      </c>
      <c r="AR151" s="146">
        <f t="shared" si="76"/>
        <v>0</v>
      </c>
      <c r="AS151" s="245"/>
      <c r="AT151" s="245"/>
      <c r="AU151" s="146">
        <f t="shared" si="76"/>
        <v>0</v>
      </c>
      <c r="AX151" s="147" t="s">
        <v>744</v>
      </c>
      <c r="AY151" s="148" t="s">
        <v>653</v>
      </c>
      <c r="AZ151" s="160"/>
      <c r="BA151" s="160"/>
      <c r="BB151" s="149"/>
      <c r="BC151" s="275"/>
      <c r="BD151" s="275"/>
      <c r="BE151" s="276"/>
      <c r="BF151" s="187">
        <f>BF152</f>
        <v>0</v>
      </c>
      <c r="BI151" s="113"/>
      <c r="BJ151" s="113"/>
      <c r="BK151" s="113"/>
      <c r="BL151" s="113"/>
      <c r="BM151" s="113"/>
      <c r="BN151" s="113"/>
      <c r="BO151" s="113"/>
      <c r="BP151" s="113"/>
      <c r="BQ151" s="113"/>
      <c r="BR151" s="113"/>
      <c r="BS151" s="113"/>
      <c r="BT151" s="113"/>
      <c r="BU151" s="113"/>
      <c r="BV151" s="113"/>
      <c r="BW151" s="113"/>
    </row>
    <row r="152" spans="2:75">
      <c r="B152" s="31"/>
      <c r="C152" s="30" t="s">
        <v>747</v>
      </c>
      <c r="D152" s="30"/>
      <c r="E152" s="30"/>
      <c r="F152" s="33"/>
      <c r="G152" s="33" t="s">
        <v>61</v>
      </c>
      <c r="H152" s="33"/>
      <c r="I152" s="67">
        <v>1</v>
      </c>
      <c r="J152" s="33"/>
      <c r="K152" s="69" t="e">
        <f>+GETPIVOTDATA("PPEF 2010 ",#REF!,"No. Ramo",6,"IPP","F","PP",19,"UR","AYB")+GETPIVOTDATA("PPEF 2010 ",#REF!,"No. Ramo",6,"IPP","F","PP",31,"UR","AYB")+GETPIVOTDATA("PPEF 2010 ",#REF!,"No. Ramo",6,"IPP","F","PP",32,"UR","AYB")+GETPIVOTDATA("PPEF 2010 ",#REF!,"No. Ramo",6,"IPP","K","PP",14,"UR","AYB")+GETPIVOTDATA("PPEF 2010 ",#REF!,"No. Ramo",6,"IPP","K","PP",25,"UR","AYB")+GETPIVOTDATA("PPEF 2010 ",#REF!,"No. Ramo",6,"IPP","K","PP",27,"UR","AYB")+GETPIVOTDATA("PPEF 2010 ",#REF!,"No. Ramo",6,"IPP","K","PP",28,"UR","AYB")+GETPIVOTDATA("PPEF 2010 ",#REF!,"No. Ramo",6,"IPP","M","PP",1,"UR","AYB")+GETPIVOTDATA("PPEF 2010 ",#REF!,"No. Ramo",6,"IPP","O","PP",1,"UR","AYB")+GETPIVOTDATA("PPEF 2010 ",#REF!,"No. Ramo",6,"IPP","P","PP",12,"UR","AYB")+GETPIVOTDATA("PPEF 2010 ",#REF!,"No. Ramo",6,"IPP","P","PP",13,"UR","AYB")+GETPIVOTDATA("PPEF 2010 ",#REF!,"No. Ramo",6,"IPP","P","PP",14,"UR","AYB")+GETPIVOTDATA("PPEF 2010 ",#REF!,"No. Ramo",6,"IPP","S","PP",178,"UR","AYB")+GETPIVOTDATA("PPEF 2010 ",#REF!,"No. Ramo",6,"IPP","S","PP",179,"UR","AYB")+GETPIVOTDATA("PPEF 2010 ",#REF!,"No. Ramo",6,"IPP","S","PP",180,"UR","AYB")+GETPIVOTDATA("PPEF 2010 ",#REF!,"No. Ramo",6,"IPP","S","PP",181,"UR","AYB")+GETPIVOTDATA("PPEF 2010 ",#REF!,"No. Ramo",6,"IPP","S","PP",182,"UR","AYB")+GETPIVOTDATA("PPEF 2010 ",#REF!,"No. Ramo",6,"IPP","S","PP",183,"UR","AYB")+GETPIVOTDATA("PPEF 2010 ",#REF!,"No. Ramo",6,"IPP","S","PP",184,"UR","AYB")+GETPIVOTDATA("PPEF 2010 ",#REF!,"No. Ramo",6,"IPP","S","PP",185,"UR","AYB")+GETPIVOTDATA("PPEF 2010 ",#REF!,"No. Ramo",6,"IPP","U","PP",2,"UR","AYB")+GETPIVOTDATA("PPEF 2010 ",#REF!,"No. Ramo",6,"IPP","U","PP",4,"UR","AYB")+GETPIVOTDATA("PPEF 2010 ",#REF!,"No. Ramo",6,"IPP","U","PP",7,"UR","AYB")+GETPIVOTDATA("PPEF 2010 ",#REF!,"No. Ramo",6,"IPP","U","PP",8,"UR","AYB")+GETPIVOTDATA("PPEF 2010 ",#REF!,"No. Ramo",6,"IPP","U","PP",9,"UR","AYB")</f>
        <v>#REF!</v>
      </c>
      <c r="L152" s="69" t="e">
        <f>+GETPIVOTDATA("Ampliación Neta DIP ",#REF!,"No. Ramo",6,"IPP","F","PP",19,"UR","AYB")+GETPIVOTDATA("Ampliación Neta DIP ",#REF!,"No. Ramo",6,"IPP","F","PP",31,"UR","AYB")+GETPIVOTDATA("Ampliación Neta DIP ",#REF!,"No. Ramo",6,"IPP","F","PP",32,"UR","AYB")+GETPIVOTDATA("Ampliación Neta DIP ",#REF!,"No. Ramo",6,"IPP","K","PP",14,"UR","AYB")+GETPIVOTDATA("Ampliación Neta DIP ",#REF!,"No. Ramo",6,"IPP","K","PP",25,"UR","AYB")+GETPIVOTDATA("Ampliación Neta DIP ",#REF!,"No. Ramo",6,"IPP","K","PP",27,"UR","AYB")+GETPIVOTDATA("Ampliación Neta DIP ",#REF!,"No. Ramo",6,"IPP","K","PP",28,"UR","AYB")+GETPIVOTDATA("Ampliación Neta DIP ",#REF!,"No. Ramo",6,"IPP","M","PP",1,"UR","AYB")+GETPIVOTDATA("Ampliación Neta DIP ",#REF!,"No. Ramo",6,"IPP","O","PP",1,"UR","AYB")+GETPIVOTDATA("Ampliación Neta DIP ",#REF!,"No. Ramo",6,"IPP","P","PP",12,"UR","AYB")+GETPIVOTDATA("Ampliación Neta DIP ",#REF!,"No. Ramo",6,"IPP","P","PP",13,"UR","AYB")+GETPIVOTDATA("Ampliación Neta DIP ",#REF!,"No. Ramo",6,"IPP","P","PP",14,"UR","AYB")+GETPIVOTDATA("Ampliación Neta DIP ",#REF!,"No. Ramo",6,"IPP","S","PP",178,"UR","AYB")+GETPIVOTDATA("Ampliación Neta DIP ",#REF!,"No. Ramo",6,"IPP","S","PP",179,"UR","AYB")+GETPIVOTDATA("Ampliación Neta DIP ",#REF!,"No. Ramo",6,"IPP","S","PP",180,"UR","AYB")+GETPIVOTDATA("Ampliación Neta DIP ",#REF!,"No. Ramo",6,"IPP","S","PP",181,"UR","AYB")+GETPIVOTDATA("Ampliación Neta DIP ",#REF!,"No. Ramo",6,"IPP","S","PP",182,"UR","AYB")+GETPIVOTDATA("Ampliación Neta DIP ",#REF!,"No. Ramo",6,"IPP","S","PP",183,"UR","AYB")+GETPIVOTDATA("Ampliación Neta DIP ",#REF!,"No. Ramo",6,"IPP","S","PP",184,"UR","AYB")+GETPIVOTDATA("Ampliación Neta DIP ",#REF!,"No. Ramo",6,"IPP","S","PP",185,"UR","AYB")+GETPIVOTDATA("Ampliación Neta DIP ",#REF!,"No. Ramo",6,"IPP","U","PP",2,"UR","AYB")+GETPIVOTDATA("Ampliación Neta DIP ",#REF!,"No. Ramo",6,"IPP","U","PP",4,"UR","AYB")+GETPIVOTDATA("Ampliación Neta DIP ",#REF!,"No. Ramo",6,"IPP","U","PP",7,"UR","AYB")+GETPIVOTDATA("Ampliación Neta DIP ",#REF!,"No. Ramo",6,"IPP","U","PP",8,"UR","AYB")+GETPIVOTDATA("Ampliación Neta DIP ",#REF!,"No. Ramo",6,"IPP","U","PP",9,"UR","AYB")</f>
        <v>#REF!</v>
      </c>
      <c r="M152" s="69" t="e">
        <f>+GETPIVOTDATA("Recorte SHCP ",#REF!,"No. Ramo",6,"IPP","F","PP",19,"UR","AYB")+GETPIVOTDATA("Recorte SHCP ",#REF!,"No. Ramo",6,"IPP","F","PP",31,"UR","AYB")+GETPIVOTDATA("Recorte SHCP ",#REF!,"No. Ramo",6,"IPP","F","PP",32,"UR","AYB")+GETPIVOTDATA("Recorte SHCP ",#REF!,"No. Ramo",6,"IPP","K","PP",14,"UR","AYB")+GETPIVOTDATA("Recorte SHCP ",#REF!,"No. Ramo",6,"IPP","K","PP",25,"UR","AYB")+GETPIVOTDATA("Recorte SHCP ",#REF!,"No. Ramo",6,"IPP","K","PP",27,"UR","AYB")+GETPIVOTDATA("Recorte SHCP ",#REF!,"No. Ramo",6,"IPP","K","PP",28,"UR","AYB")+GETPIVOTDATA("Recorte SHCP ",#REF!,"No. Ramo",6,"IPP","M","PP",1,"UR","AYB")+GETPIVOTDATA("Recorte SHCP ",#REF!,"No. Ramo",6,"IPP","O","PP",1,"UR","AYB")+GETPIVOTDATA("Recorte SHCP ",#REF!,"No. Ramo",6,"IPP","P","PP",12,"UR","AYB")+GETPIVOTDATA("Recorte SHCP ",#REF!,"No. Ramo",6,"IPP","P","PP",13,"UR","AYB")+GETPIVOTDATA("Recorte SHCP ",#REF!,"No. Ramo",6,"IPP","P","PP",14,"UR","AYB")+GETPIVOTDATA("Recorte SHCP ",#REF!,"No. Ramo",6,"IPP","S","PP",178,"UR","AYB")+GETPIVOTDATA("Recorte SHCP ",#REF!,"No. Ramo",6,"IPP","S","PP",179,"UR","AYB")+GETPIVOTDATA("Recorte SHCP ",#REF!,"No. Ramo",6,"IPP","S","PP",180,"UR","AYB")+GETPIVOTDATA("Recorte SHCP ",#REF!,"No. Ramo",6,"IPP","S","PP",181,"UR","AYB")+GETPIVOTDATA("Recorte SHCP ",#REF!,"No. Ramo",6,"IPP","S","PP",182,"UR","AYB")+GETPIVOTDATA("Recorte SHCP ",#REF!,"No. Ramo",6,"IPP","S","PP",183,"UR","AYB")+GETPIVOTDATA("Recorte SHCP ",#REF!,"No. Ramo",6,"IPP","S","PP",184,"UR","AYB")+GETPIVOTDATA("Recorte SHCP ",#REF!,"No. Ramo",6,"IPP","S","PP",185,"UR","AYB")+GETPIVOTDATA("Recorte SHCP ",#REF!,"No. Ramo",6,"IPP","U","PP",2,"UR","AYB")+GETPIVOTDATA("Recorte SHCP ",#REF!,"No. Ramo",6,"IPP","U","PP",4,"UR","AYB")+GETPIVOTDATA("Recorte SHCP ",#REF!,"No. Ramo",6,"IPP","U","PP",7,"UR","AYB")+GETPIVOTDATA("Recorte SHCP ",#REF!,"No. Ramo",6,"IPP","U","PP",8,"UR","AYB")+GETPIVOTDATA("Recorte SHCP ",#REF!,"No. Ramo",6,"IPP","U","PP",9,"UR","AYB")</f>
        <v>#REF!</v>
      </c>
      <c r="N152" s="69" t="e">
        <f>+GETPIVOTDATA("PEF 2010 ",#REF!,"No. Ramo",6,"IPP","F","PP",19,"UR","AYB")+GETPIVOTDATA("PEF 2010 ",#REF!,"No. Ramo",6,"IPP","F","PP",31,"UR","AYB")+GETPIVOTDATA("PEF 2010 ",#REF!,"No. Ramo",6,"IPP","F","PP",32,"UR","AYB")+GETPIVOTDATA("PEF 2010 ",#REF!,"No. Ramo",6,"IPP","K","PP",14,"UR","AYB")+GETPIVOTDATA("PEF 2010 ",#REF!,"No. Ramo",6,"IPP","K","PP",25,"UR","AYB")+GETPIVOTDATA("PEF 2010 ",#REF!,"No. Ramo",6,"IPP","K","PP",27,"UR","AYB")+GETPIVOTDATA("PEF 2010 ",#REF!,"No. Ramo",6,"IPP","K","PP",28,"UR","AYB")+GETPIVOTDATA("PEF 2010 ",#REF!,"No. Ramo",6,"IPP","M","PP",1,"UR","AYB")+GETPIVOTDATA("PEF 2010 ",#REF!,"No. Ramo",6,"IPP","O","PP",1,"UR","AYB")+GETPIVOTDATA("PEF 2010 ",#REF!,"No. Ramo",6,"IPP","P","PP",12,"UR","AYB")+GETPIVOTDATA("PEF 2010 ",#REF!,"No. Ramo",6,"IPP","P","PP",13,"UR","AYB")+GETPIVOTDATA("PEF 2010 ",#REF!,"No. Ramo",6,"IPP","P","PP",14,"UR","AYB")+GETPIVOTDATA("PEF 2010 ",#REF!,"No. Ramo",6,"IPP","S","PP",178,"UR","AYB")+GETPIVOTDATA("PEF 2010 ",#REF!,"No. Ramo",6,"IPP","S","PP",179,"UR","AYB")+GETPIVOTDATA("PEF 2010 ",#REF!,"No. Ramo",6,"IPP","S","PP",180,"UR","AYB")+GETPIVOTDATA("PEF 2010 ",#REF!,"No. Ramo",6,"IPP","S","PP",181,"UR","AYB")+GETPIVOTDATA("PEF 2010 ",#REF!,"No. Ramo",6,"IPP","S","PP",182,"UR","AYB")+GETPIVOTDATA("PEF 2010 ",#REF!,"No. Ramo",6,"IPP","S","PP",183,"UR","AYB")+GETPIVOTDATA("PEF 2010 ",#REF!,"No. Ramo",6,"IPP","S","PP",184,"UR","AYB")+GETPIVOTDATA("PEF 2010 ",#REF!,"No. Ramo",6,"IPP","S","PP",185,"UR","AYB")+GETPIVOTDATA("PEF 2010 ",#REF!,"No. Ramo",6,"IPP","U","PP",2,"UR","AYB")+GETPIVOTDATA("PEF 2010 ",#REF!,"No. Ramo",6,"IPP","U","PP",4,"UR","AYB")+GETPIVOTDATA("PEF 2010 ",#REF!,"No. Ramo",6,"IPP","U","PP",7,"UR","AYB")+GETPIVOTDATA("PEF 2010 ",#REF!,"No. Ramo",6,"IPP","U","PP",8,"UR","AYB")+GETPIVOTDATA("PEF 2010 ",#REF!,"No. Ramo",6,"IPP","U","PP",9,"UR","AYB")</f>
        <v>#REF!</v>
      </c>
      <c r="O152" s="69" t="e">
        <f>+GETPIVOTDATA("PPEF 2011 ",#REF!,"No. Ramo",6,"IPP","F","PP",19,"UR","AYB")+GETPIVOTDATA("PPEF 2011 ",#REF!,"No. Ramo",6,"IPP","F","PP",31,"UR","AYB")+GETPIVOTDATA("PPEF 2011 ",#REF!,"No. Ramo",6,"IPP","F","PP",32,"UR","AYB")+GETPIVOTDATA("PPEF 2011 ",#REF!,"No. Ramo",6,"IPP","K","PP",14,"UR","AYB")+GETPIVOTDATA("PPEF 2011 ",#REF!,"No. Ramo",6,"IPP","K","PP",25,"UR","AYB")+GETPIVOTDATA("PPEF 2011 ",#REF!,"No. Ramo",6,"IPP","K","PP",27,"UR","AYB")+GETPIVOTDATA("PPEF 2011 ",#REF!,"No. Ramo",6,"IPP","K","PP",28,"UR","AYB")+GETPIVOTDATA("PPEF 2011 ",#REF!,"No. Ramo",6,"IPP","M","PP",1,"UR","AYB")+GETPIVOTDATA("PPEF 2011 ",#REF!,"No. Ramo",6,"IPP","O","PP",1,"UR","AYB")+GETPIVOTDATA("PPEF 2011 ",#REF!,"No. Ramo",6,"IPP","P","PP",12,"UR","AYB")+GETPIVOTDATA("PPEF 2011 ",#REF!,"No. Ramo",6,"IPP","P","PP",13,"UR","AYB")+GETPIVOTDATA("PPEF 2011 ",#REF!,"No. Ramo",6,"IPP","P","PP",14,"UR","AYB")+GETPIVOTDATA("PPEF 2011 ",#REF!,"No. Ramo",6,"IPP","S","PP",178,"UR","AYB")+GETPIVOTDATA("PPEF 2011 ",#REF!,"No. Ramo",6,"IPP","S","PP",179,"UR","AYB")+GETPIVOTDATA("PPEF 2011 ",#REF!,"No. Ramo",6,"IPP","S","PP",180,"UR","AYB")+GETPIVOTDATA("PPEF 2011 ",#REF!,"No. Ramo",6,"IPP","S","PP",181,"UR","AYB")+GETPIVOTDATA("PPEF 2011 ",#REF!,"No. Ramo",6,"IPP","S","PP",182,"UR","AYB")+GETPIVOTDATA("PPEF 2011 ",#REF!,"No. Ramo",6,"IPP","S","PP",183,"UR","AYB")+GETPIVOTDATA("PPEF 2011 ",#REF!,"No. Ramo",6,"IPP","S","PP",184,"UR","AYB")+GETPIVOTDATA("PPEF 2011 ",#REF!,"No. Ramo",6,"IPP","S","PP",185,"UR","AYB")+GETPIVOTDATA("PPEF 2011 ",#REF!,"No. Ramo",6,"IPP","U","PP",2,"UR","AYB")+GETPIVOTDATA("PPEF 2011 ",#REF!,"No. Ramo",6,"IPP","U","PP",4,"UR","AYB")+GETPIVOTDATA("PPEF 2011 ",#REF!,"No. Ramo",6,"IPP","U","PP",7,"UR","AYB")+GETPIVOTDATA("PPEF 2011 ",#REF!,"No. Ramo",6,"IPP","U","PP",8,"UR","AYB")+GETPIVOTDATA("PPEF 2011 ",#REF!,"No. Ramo",6,"IPP","U","PP",9,"UR","AYB")</f>
        <v>#REF!</v>
      </c>
      <c r="P152" s="69" t="e">
        <f>+GETPIVOTDATA("Reducción ",#REF!,"No. Ramo",6,"IPP","F","PP",19,"UR","AYB")+GETPIVOTDATA("Reducción ",#REF!,"No. Ramo",6,"IPP","F","PP",31,"UR","AYB")+GETPIVOTDATA("Reducción ",#REF!,"No. Ramo",6,"IPP","F","PP",32,"UR","AYB")+GETPIVOTDATA("Reducción ",#REF!,"No. Ramo",6,"IPP","K","PP",14,"UR","AYB")+GETPIVOTDATA("Reducción ",#REF!,"No. Ramo",6,"IPP","K","PP",25,"UR","AYB")+GETPIVOTDATA("Reducción ",#REF!,"No. Ramo",6,"IPP","K","PP",27,"UR","AYB")+GETPIVOTDATA("Reducción ",#REF!,"No. Ramo",6,"IPP","K","PP",28,"UR","AYB")+GETPIVOTDATA("Reducción ",#REF!,"No. Ramo",6,"IPP","M","PP",1,"UR","AYB")+GETPIVOTDATA("Reducción ",#REF!,"No. Ramo",6,"IPP","O","PP",1,"UR","AYB")+GETPIVOTDATA("Reducción ",#REF!,"No. Ramo",6,"IPP","P","PP",12,"UR","AYB")+GETPIVOTDATA("Reducción ",#REF!,"No. Ramo",6,"IPP","P","PP",13,"UR","AYB")+GETPIVOTDATA("Reducción ",#REF!,"No. Ramo",6,"IPP","P","PP",14,"UR","AYB")+GETPIVOTDATA("Reducción ",#REF!,"No. Ramo",6,"IPP","S","PP",178,"UR","AYB")+GETPIVOTDATA("Reducción ",#REF!,"No. Ramo",6,"IPP","S","PP",179,"UR","AYB")+GETPIVOTDATA("Reducción ",#REF!,"No. Ramo",6,"IPP","S","PP",180,"UR","AYB")+GETPIVOTDATA("Reducción ",#REF!,"No. Ramo",6,"IPP","S","PP",181,"UR","AYB")+GETPIVOTDATA("Reducción ",#REF!,"No. Ramo",6,"IPP","S","PP",182,"UR","AYB")+GETPIVOTDATA("Reducción ",#REF!,"No. Ramo",6,"IPP","S","PP",183,"UR","AYB")+GETPIVOTDATA("Reducción ",#REF!,"No. Ramo",6,"IPP","S","PP",184,"UR","AYB")+GETPIVOTDATA("Reducción ",#REF!,"No. Ramo",6,"IPP","S","PP",185,"UR","AYB")+GETPIVOTDATA("Reducción ",#REF!,"No. Ramo",6,"IPP","U","PP",2,"UR","AYB")+GETPIVOTDATA("Reducción ",#REF!,"No. Ramo",6,"IPP","U","PP",4,"UR","AYB")+GETPIVOTDATA("Reducción ",#REF!,"No. Ramo",6,"IPP","U","PP",7,"UR","AYB")+GETPIVOTDATA("Reducción ",#REF!,"No. Ramo",6,"IPP","U","PP",8,"UR","AYB")+GETPIVOTDATA("Reducción ",#REF!,"No. Ramo",6,"IPP","U","PP",9,"UR","AYB")</f>
        <v>#REF!</v>
      </c>
      <c r="Q152" s="69" t="e">
        <f>+GETPIVOTDATA("Ampliación ",#REF!,"No. Ramo",6,"IPP","F","PP",19,"UR","AYB")+GETPIVOTDATA("Ampliación ",#REF!,"No. Ramo",6,"IPP","F","PP",31,"UR","AYB")+GETPIVOTDATA("Ampliación ",#REF!,"No. Ramo",6,"IPP","F","PP",32,"UR","AYB")+GETPIVOTDATA("Ampliación ",#REF!,"No. Ramo",6,"IPP","K","PP",14,"UR","AYB")+GETPIVOTDATA("Ampliación ",#REF!,"No. Ramo",6,"IPP","K","PP",25,"UR","AYB")+GETPIVOTDATA("Ampliación ",#REF!,"No. Ramo",6,"IPP","K","PP",27,"UR","AYB")+GETPIVOTDATA("Ampliación ",#REF!,"No. Ramo",6,"IPP","K","PP",28,"UR","AYB")+GETPIVOTDATA("Ampliación ",#REF!,"No. Ramo",6,"IPP","M","PP",1,"UR","AYB")+GETPIVOTDATA("Ampliación ",#REF!,"No. Ramo",6,"IPP","O","PP",1,"UR","AYB")+GETPIVOTDATA("Ampliación ",#REF!,"No. Ramo",6,"IPP","P","PP",12,"UR","AYB")+GETPIVOTDATA("Ampliación ",#REF!,"No. Ramo",6,"IPP","P","PP",13,"UR","AYB")+GETPIVOTDATA("Ampliación ",#REF!,"No. Ramo",6,"IPP","P","PP",14,"UR","AYB")+GETPIVOTDATA("Ampliación ",#REF!,"No. Ramo",6,"IPP","S","PP",178,"UR","AYB")+GETPIVOTDATA("Ampliación ",#REF!,"No. Ramo",6,"IPP","S","PP",179,"UR","AYB")+GETPIVOTDATA("Ampliación ",#REF!,"No. Ramo",6,"IPP","S","PP",180,"UR","AYB")+GETPIVOTDATA("Ampliación ",#REF!,"No. Ramo",6,"IPP","S","PP",181,"UR","AYB")+GETPIVOTDATA("Ampliación ",#REF!,"No. Ramo",6,"IPP","S","PP",182,"UR","AYB")+GETPIVOTDATA("Ampliación ",#REF!,"No. Ramo",6,"IPP","S","PP",183,"UR","AYB")+GETPIVOTDATA("Ampliación ",#REF!,"No. Ramo",6,"IPP","S","PP",184,"UR","AYB")+GETPIVOTDATA("Ampliación ",#REF!,"No. Ramo",6,"IPP","S","PP",185,"UR","AYB")+GETPIVOTDATA("Ampliación ",#REF!,"No. Ramo",6,"IPP","U","PP",2,"UR","AYB")+GETPIVOTDATA("Ampliación ",#REF!,"No. Ramo",6,"IPP","U","PP",4,"UR","AYB")+GETPIVOTDATA("Ampliación ",#REF!,"No. Ramo",6,"IPP","U","PP",7,"UR","AYB")+GETPIVOTDATA("Ampliación ",#REF!,"No. Ramo",6,"IPP","U","PP",8,"UR","AYB")+GETPIVOTDATA("Ampliación ",#REF!,"No. Ramo",6,"IPP","U","PP",9,"UR","AYB")</f>
        <v>#REF!</v>
      </c>
      <c r="R152" s="69" t="e">
        <f t="shared" si="45"/>
        <v>#REF!</v>
      </c>
      <c r="S152" s="69"/>
      <c r="T152" s="69"/>
      <c r="U152" s="69" t="e">
        <f t="shared" si="47"/>
        <v>#REF!</v>
      </c>
      <c r="V152" s="69" t="e">
        <f t="shared" si="47"/>
        <v>#REF!</v>
      </c>
      <c r="W152" s="69" t="e">
        <f t="shared" si="47"/>
        <v>#REF!</v>
      </c>
      <c r="X152" s="69" t="e">
        <f t="shared" si="47"/>
        <v>#REF!</v>
      </c>
      <c r="AG152" s="113"/>
      <c r="AH152" s="152"/>
      <c r="AI152" s="157" t="s">
        <v>747</v>
      </c>
      <c r="AJ152" s="158"/>
      <c r="AK152" s="158"/>
      <c r="AL152" s="155"/>
      <c r="AM152" s="277"/>
      <c r="AN152" s="277"/>
      <c r="AO152" s="278"/>
      <c r="AP152" s="146">
        <f>SUM(AP153:AP176)</f>
        <v>0</v>
      </c>
      <c r="AQ152" s="146">
        <f>SUM(AQ153:AQ176)</f>
        <v>0</v>
      </c>
      <c r="AR152" s="146">
        <f>SUM(AR153:AR176)</f>
        <v>0</v>
      </c>
      <c r="AS152" s="245"/>
      <c r="AT152" s="245"/>
      <c r="AU152" s="146">
        <f>SUM(AU153:AU176)</f>
        <v>0</v>
      </c>
      <c r="AX152" s="152"/>
      <c r="AY152" s="157" t="s">
        <v>747</v>
      </c>
      <c r="AZ152" s="158"/>
      <c r="BA152" s="158"/>
      <c r="BB152" s="155"/>
      <c r="BC152" s="275"/>
      <c r="BD152" s="275"/>
      <c r="BE152" s="276"/>
      <c r="BF152" s="187">
        <f>SUM(BF153:BF176)</f>
        <v>0</v>
      </c>
      <c r="BI152" s="113"/>
      <c r="BJ152" s="113"/>
      <c r="BK152" s="113"/>
      <c r="BL152" s="113"/>
      <c r="BM152" s="113"/>
      <c r="BN152" s="113"/>
      <c r="BO152" s="113"/>
      <c r="BP152" s="113"/>
      <c r="BQ152" s="113"/>
      <c r="BR152" s="113"/>
      <c r="BS152" s="113"/>
      <c r="BT152" s="113"/>
      <c r="BU152" s="113"/>
      <c r="BV152" s="113"/>
      <c r="BW152" s="113"/>
    </row>
    <row r="153" spans="2:75" s="19" customFormat="1">
      <c r="B153" s="288"/>
      <c r="C153" s="289"/>
      <c r="D153" s="289" t="s">
        <v>60</v>
      </c>
      <c r="E153" s="289"/>
      <c r="F153" s="88" t="s">
        <v>1010</v>
      </c>
      <c r="G153" s="88"/>
      <c r="H153" s="88"/>
      <c r="I153" s="290"/>
      <c r="J153" s="88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AH153" s="291"/>
      <c r="AI153" s="292"/>
      <c r="AJ153" s="293" t="s">
        <v>60</v>
      </c>
      <c r="AK153" s="293"/>
      <c r="AL153" s="250"/>
      <c r="AM153" s="250"/>
      <c r="AN153" s="250"/>
      <c r="AO153" s="251"/>
      <c r="AP153" s="139"/>
      <c r="AQ153" s="139"/>
      <c r="AR153" s="139"/>
      <c r="AS153" s="244"/>
      <c r="AT153" s="244"/>
      <c r="AU153" s="139"/>
      <c r="AX153" s="291"/>
      <c r="AY153" s="292"/>
      <c r="AZ153" s="293" t="s">
        <v>60</v>
      </c>
      <c r="BA153" s="293"/>
      <c r="BB153" s="250"/>
      <c r="BC153" s="250"/>
      <c r="BD153" s="250"/>
      <c r="BE153" s="251"/>
      <c r="BF153" s="139">
        <f t="shared" ref="BF153:BF176" si="77">+AU153</f>
        <v>0</v>
      </c>
    </row>
    <row r="154" spans="2:75" s="19" customFormat="1">
      <c r="B154" s="288"/>
      <c r="C154" s="289"/>
      <c r="D154" s="289" t="s">
        <v>66</v>
      </c>
      <c r="E154" s="289"/>
      <c r="F154" s="88" t="s">
        <v>1011</v>
      </c>
      <c r="G154" s="88"/>
      <c r="H154" s="88"/>
      <c r="I154" s="290"/>
      <c r="J154" s="88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AH154" s="291"/>
      <c r="AI154" s="292"/>
      <c r="AJ154" s="293" t="s">
        <v>66</v>
      </c>
      <c r="AK154" s="293"/>
      <c r="AL154" s="250"/>
      <c r="AM154" s="250"/>
      <c r="AN154" s="250"/>
      <c r="AO154" s="251"/>
      <c r="AP154" s="139"/>
      <c r="AQ154" s="139"/>
      <c r="AR154" s="139"/>
      <c r="AS154" s="244"/>
      <c r="AT154" s="244"/>
      <c r="AU154" s="139"/>
      <c r="AX154" s="291"/>
      <c r="AY154" s="292"/>
      <c r="AZ154" s="293" t="s">
        <v>66</v>
      </c>
      <c r="BA154" s="293"/>
      <c r="BB154" s="250"/>
      <c r="BC154" s="250"/>
      <c r="BD154" s="250"/>
      <c r="BE154" s="251"/>
      <c r="BF154" s="139">
        <f t="shared" si="77"/>
        <v>0</v>
      </c>
    </row>
    <row r="155" spans="2:75" s="19" customFormat="1">
      <c r="B155" s="288"/>
      <c r="C155" s="289"/>
      <c r="D155" s="289" t="s">
        <v>67</v>
      </c>
      <c r="E155" s="289"/>
      <c r="F155" s="88" t="s">
        <v>1012</v>
      </c>
      <c r="G155" s="88"/>
      <c r="H155" s="88"/>
      <c r="I155" s="290"/>
      <c r="J155" s="88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AH155" s="291"/>
      <c r="AI155" s="292"/>
      <c r="AJ155" s="293" t="s">
        <v>67</v>
      </c>
      <c r="AK155" s="293"/>
      <c r="AL155" s="250"/>
      <c r="AM155" s="250"/>
      <c r="AN155" s="250"/>
      <c r="AO155" s="251"/>
      <c r="AP155" s="139"/>
      <c r="AQ155" s="139"/>
      <c r="AR155" s="139"/>
      <c r="AS155" s="244"/>
      <c r="AT155" s="244"/>
      <c r="AU155" s="139"/>
      <c r="AX155" s="291"/>
      <c r="AY155" s="292"/>
      <c r="AZ155" s="293" t="s">
        <v>67</v>
      </c>
      <c r="BA155" s="293"/>
      <c r="BB155" s="250"/>
      <c r="BC155" s="250"/>
      <c r="BD155" s="250"/>
      <c r="BE155" s="251"/>
      <c r="BF155" s="139">
        <f t="shared" si="77"/>
        <v>0</v>
      </c>
    </row>
    <row r="156" spans="2:75" s="19" customFormat="1">
      <c r="B156" s="288"/>
      <c r="C156" s="289"/>
      <c r="D156" s="289" t="s">
        <v>1005</v>
      </c>
      <c r="E156" s="289"/>
      <c r="F156" s="88" t="s">
        <v>1013</v>
      </c>
      <c r="G156" s="88"/>
      <c r="H156" s="88"/>
      <c r="I156" s="290"/>
      <c r="J156" s="88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AH156" s="291"/>
      <c r="AI156" s="292"/>
      <c r="AJ156" s="293" t="s">
        <v>1005</v>
      </c>
      <c r="AK156" s="293"/>
      <c r="AL156" s="250"/>
      <c r="AM156" s="250"/>
      <c r="AN156" s="250"/>
      <c r="AO156" s="251"/>
      <c r="AP156" s="139"/>
      <c r="AQ156" s="139"/>
      <c r="AR156" s="139"/>
      <c r="AS156" s="244"/>
      <c r="AT156" s="244"/>
      <c r="AU156" s="139"/>
      <c r="AX156" s="291"/>
      <c r="AY156" s="292"/>
      <c r="AZ156" s="293" t="s">
        <v>1005</v>
      </c>
      <c r="BA156" s="293"/>
      <c r="BB156" s="250"/>
      <c r="BC156" s="250"/>
      <c r="BD156" s="250"/>
      <c r="BE156" s="251"/>
      <c r="BF156" s="139">
        <f t="shared" si="77"/>
        <v>0</v>
      </c>
    </row>
    <row r="157" spans="2:75" s="19" customFormat="1">
      <c r="B157" s="288"/>
      <c r="C157" s="289"/>
      <c r="D157" s="289" t="s">
        <v>1006</v>
      </c>
      <c r="E157" s="289"/>
      <c r="F157" s="88" t="s">
        <v>1014</v>
      </c>
      <c r="G157" s="88"/>
      <c r="H157" s="88"/>
      <c r="I157" s="290"/>
      <c r="J157" s="88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AH157" s="291"/>
      <c r="AI157" s="292"/>
      <c r="AJ157" s="293" t="s">
        <v>1006</v>
      </c>
      <c r="AK157" s="293"/>
      <c r="AL157" s="250"/>
      <c r="AM157" s="250"/>
      <c r="AN157" s="250"/>
      <c r="AO157" s="251"/>
      <c r="AP157" s="139"/>
      <c r="AQ157" s="139"/>
      <c r="AR157" s="139"/>
      <c r="AS157" s="244"/>
      <c r="AT157" s="244"/>
      <c r="AU157" s="139"/>
      <c r="AX157" s="291"/>
      <c r="AY157" s="292"/>
      <c r="AZ157" s="293" t="s">
        <v>1006</v>
      </c>
      <c r="BA157" s="293"/>
      <c r="BB157" s="250"/>
      <c r="BC157" s="250"/>
      <c r="BD157" s="250"/>
      <c r="BE157" s="251"/>
      <c r="BF157" s="139">
        <f t="shared" si="77"/>
        <v>0</v>
      </c>
    </row>
    <row r="158" spans="2:75" s="19" customFormat="1">
      <c r="B158" s="288"/>
      <c r="C158" s="289"/>
      <c r="D158" s="289" t="s">
        <v>71</v>
      </c>
      <c r="E158" s="289"/>
      <c r="F158" s="88" t="s">
        <v>1015</v>
      </c>
      <c r="G158" s="88"/>
      <c r="H158" s="88"/>
      <c r="I158" s="290"/>
      <c r="J158" s="88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AH158" s="291"/>
      <c r="AI158" s="292"/>
      <c r="AJ158" s="293" t="s">
        <v>71</v>
      </c>
      <c r="AK158" s="293"/>
      <c r="AL158" s="250"/>
      <c r="AM158" s="250"/>
      <c r="AN158" s="250"/>
      <c r="AO158" s="251"/>
      <c r="AP158" s="139"/>
      <c r="AQ158" s="139"/>
      <c r="AR158" s="139"/>
      <c r="AS158" s="244"/>
      <c r="AT158" s="244"/>
      <c r="AU158" s="139"/>
      <c r="AX158" s="291"/>
      <c r="AY158" s="292"/>
      <c r="AZ158" s="293" t="s">
        <v>71</v>
      </c>
      <c r="BA158" s="293"/>
      <c r="BB158" s="250"/>
      <c r="BC158" s="250"/>
      <c r="BD158" s="250"/>
      <c r="BE158" s="251"/>
      <c r="BF158" s="139">
        <f t="shared" si="77"/>
        <v>0</v>
      </c>
    </row>
    <row r="159" spans="2:75" s="19" customFormat="1">
      <c r="B159" s="288"/>
      <c r="C159" s="289"/>
      <c r="D159" s="289" t="s">
        <v>476</v>
      </c>
      <c r="E159" s="289"/>
      <c r="F159" s="88" t="s">
        <v>1016</v>
      </c>
      <c r="G159" s="88"/>
      <c r="H159" s="88"/>
      <c r="I159" s="290"/>
      <c r="J159" s="88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AH159" s="291"/>
      <c r="AI159" s="292"/>
      <c r="AJ159" s="293" t="s">
        <v>476</v>
      </c>
      <c r="AK159" s="293"/>
      <c r="AL159" s="250"/>
      <c r="AM159" s="250"/>
      <c r="AN159" s="250"/>
      <c r="AO159" s="251"/>
      <c r="AP159" s="139"/>
      <c r="AQ159" s="139"/>
      <c r="AR159" s="139"/>
      <c r="AS159" s="244"/>
      <c r="AT159" s="244"/>
      <c r="AU159" s="139"/>
      <c r="AX159" s="291"/>
      <c r="AY159" s="292"/>
      <c r="AZ159" s="293" t="s">
        <v>476</v>
      </c>
      <c r="BA159" s="293"/>
      <c r="BB159" s="250"/>
      <c r="BC159" s="250"/>
      <c r="BD159" s="250"/>
      <c r="BE159" s="251"/>
      <c r="BF159" s="139">
        <f t="shared" si="77"/>
        <v>0</v>
      </c>
    </row>
    <row r="160" spans="2:75" s="19" customFormat="1">
      <c r="B160" s="288"/>
      <c r="C160" s="289"/>
      <c r="D160" s="289" t="s">
        <v>1007</v>
      </c>
      <c r="E160" s="289"/>
      <c r="F160" s="88" t="s">
        <v>1017</v>
      </c>
      <c r="G160" s="88"/>
      <c r="H160" s="88"/>
      <c r="I160" s="290"/>
      <c r="J160" s="88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AH160" s="291"/>
      <c r="AI160" s="292"/>
      <c r="AJ160" s="293" t="s">
        <v>1007</v>
      </c>
      <c r="AK160" s="293"/>
      <c r="AL160" s="250"/>
      <c r="AM160" s="250"/>
      <c r="AN160" s="250"/>
      <c r="AO160" s="251"/>
      <c r="AP160" s="139"/>
      <c r="AQ160" s="139"/>
      <c r="AR160" s="139"/>
      <c r="AS160" s="244"/>
      <c r="AT160" s="244"/>
      <c r="AU160" s="139"/>
      <c r="AX160" s="291"/>
      <c r="AY160" s="292"/>
      <c r="AZ160" s="293" t="s">
        <v>1007</v>
      </c>
      <c r="BA160" s="293"/>
      <c r="BB160" s="250"/>
      <c r="BC160" s="250"/>
      <c r="BD160" s="250"/>
      <c r="BE160" s="251"/>
      <c r="BF160" s="139">
        <f t="shared" si="77"/>
        <v>0</v>
      </c>
    </row>
    <row r="161" spans="2:58" s="19" customFormat="1">
      <c r="B161" s="288"/>
      <c r="C161" s="289"/>
      <c r="D161" s="289" t="s">
        <v>77</v>
      </c>
      <c r="E161" s="289"/>
      <c r="F161" s="88" t="s">
        <v>1018</v>
      </c>
      <c r="G161" s="88"/>
      <c r="H161" s="88"/>
      <c r="I161" s="290"/>
      <c r="J161" s="88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AH161" s="291"/>
      <c r="AI161" s="292"/>
      <c r="AJ161" s="293" t="s">
        <v>77</v>
      </c>
      <c r="AK161" s="293"/>
      <c r="AL161" s="250"/>
      <c r="AM161" s="250"/>
      <c r="AN161" s="250"/>
      <c r="AO161" s="251"/>
      <c r="AP161" s="139"/>
      <c r="AQ161" s="139"/>
      <c r="AR161" s="139"/>
      <c r="AS161" s="244"/>
      <c r="AT161" s="244"/>
      <c r="AU161" s="139"/>
      <c r="AX161" s="291"/>
      <c r="AY161" s="292"/>
      <c r="AZ161" s="293" t="s">
        <v>77</v>
      </c>
      <c r="BA161" s="293"/>
      <c r="BB161" s="250"/>
      <c r="BC161" s="250"/>
      <c r="BD161" s="250"/>
      <c r="BE161" s="251"/>
      <c r="BF161" s="139">
        <f t="shared" si="77"/>
        <v>0</v>
      </c>
    </row>
    <row r="162" spans="2:58" s="19" customFormat="1">
      <c r="B162" s="288"/>
      <c r="C162" s="289"/>
      <c r="D162" s="289" t="s">
        <v>78</v>
      </c>
      <c r="E162" s="289"/>
      <c r="F162" s="88" t="s">
        <v>1019</v>
      </c>
      <c r="G162" s="88"/>
      <c r="H162" s="88"/>
      <c r="I162" s="290"/>
      <c r="J162" s="88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AH162" s="291"/>
      <c r="AI162" s="292"/>
      <c r="AJ162" s="293" t="s">
        <v>78</v>
      </c>
      <c r="AK162" s="293"/>
      <c r="AL162" s="250"/>
      <c r="AM162" s="250"/>
      <c r="AN162" s="250"/>
      <c r="AO162" s="251"/>
      <c r="AP162" s="139"/>
      <c r="AQ162" s="139"/>
      <c r="AR162" s="139"/>
      <c r="AS162" s="244"/>
      <c r="AT162" s="244"/>
      <c r="AU162" s="139"/>
      <c r="AX162" s="291"/>
      <c r="AY162" s="292"/>
      <c r="AZ162" s="293" t="s">
        <v>78</v>
      </c>
      <c r="BA162" s="293"/>
      <c r="BB162" s="250"/>
      <c r="BC162" s="250"/>
      <c r="BD162" s="250"/>
      <c r="BE162" s="251"/>
      <c r="BF162" s="139">
        <f t="shared" si="77"/>
        <v>0</v>
      </c>
    </row>
    <row r="163" spans="2:58" s="19" customFormat="1">
      <c r="B163" s="288"/>
      <c r="C163" s="289"/>
      <c r="D163" s="289" t="s">
        <v>79</v>
      </c>
      <c r="E163" s="289"/>
      <c r="F163" s="88" t="s">
        <v>1020</v>
      </c>
      <c r="G163" s="88"/>
      <c r="H163" s="88"/>
      <c r="I163" s="290"/>
      <c r="J163" s="88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AH163" s="291"/>
      <c r="AI163" s="292"/>
      <c r="AJ163" s="293" t="s">
        <v>79</v>
      </c>
      <c r="AK163" s="293"/>
      <c r="AL163" s="250"/>
      <c r="AM163" s="250"/>
      <c r="AN163" s="250"/>
      <c r="AO163" s="251"/>
      <c r="AP163" s="139"/>
      <c r="AQ163" s="139"/>
      <c r="AR163" s="139"/>
      <c r="AS163" s="244"/>
      <c r="AT163" s="244"/>
      <c r="AU163" s="139"/>
      <c r="AX163" s="291"/>
      <c r="AY163" s="292"/>
      <c r="AZ163" s="293" t="s">
        <v>79</v>
      </c>
      <c r="BA163" s="293"/>
      <c r="BB163" s="250"/>
      <c r="BC163" s="250"/>
      <c r="BD163" s="250"/>
      <c r="BE163" s="251"/>
      <c r="BF163" s="139">
        <f t="shared" si="77"/>
        <v>0</v>
      </c>
    </row>
    <row r="164" spans="2:58" s="19" customFormat="1">
      <c r="B164" s="288"/>
      <c r="C164" s="289"/>
      <c r="D164" s="289" t="s">
        <v>85</v>
      </c>
      <c r="E164" s="289"/>
      <c r="F164" s="88" t="s">
        <v>1021</v>
      </c>
      <c r="G164" s="88"/>
      <c r="H164" s="88"/>
      <c r="I164" s="290"/>
      <c r="J164" s="88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AH164" s="291"/>
      <c r="AI164" s="292"/>
      <c r="AJ164" s="293" t="s">
        <v>85</v>
      </c>
      <c r="AK164" s="293"/>
      <c r="AL164" s="250"/>
      <c r="AM164" s="250"/>
      <c r="AN164" s="250"/>
      <c r="AO164" s="251"/>
      <c r="AP164" s="139"/>
      <c r="AQ164" s="139"/>
      <c r="AR164" s="139"/>
      <c r="AS164" s="244"/>
      <c r="AT164" s="244"/>
      <c r="AU164" s="139"/>
      <c r="AX164" s="291"/>
      <c r="AY164" s="292"/>
      <c r="AZ164" s="293" t="s">
        <v>85</v>
      </c>
      <c r="BA164" s="293"/>
      <c r="BB164" s="250"/>
      <c r="BC164" s="250"/>
      <c r="BD164" s="250"/>
      <c r="BE164" s="251"/>
      <c r="BF164" s="139">
        <f t="shared" si="77"/>
        <v>0</v>
      </c>
    </row>
    <row r="165" spans="2:58" s="19" customFormat="1">
      <c r="B165" s="288"/>
      <c r="C165" s="289"/>
      <c r="D165" s="289" t="s">
        <v>86</v>
      </c>
      <c r="E165" s="289"/>
      <c r="F165" s="88" t="s">
        <v>1022</v>
      </c>
      <c r="G165" s="88"/>
      <c r="H165" s="88"/>
      <c r="I165" s="290"/>
      <c r="J165" s="88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AH165" s="291"/>
      <c r="AI165" s="292"/>
      <c r="AJ165" s="293" t="s">
        <v>86</v>
      </c>
      <c r="AK165" s="293"/>
      <c r="AL165" s="250"/>
      <c r="AM165" s="250"/>
      <c r="AN165" s="250"/>
      <c r="AO165" s="251"/>
      <c r="AP165" s="139"/>
      <c r="AQ165" s="139"/>
      <c r="AR165" s="139"/>
      <c r="AS165" s="244"/>
      <c r="AT165" s="244"/>
      <c r="AU165" s="139"/>
      <c r="AX165" s="291"/>
      <c r="AY165" s="292"/>
      <c r="AZ165" s="293" t="s">
        <v>86</v>
      </c>
      <c r="BA165" s="293"/>
      <c r="BB165" s="250"/>
      <c r="BC165" s="250"/>
      <c r="BD165" s="250"/>
      <c r="BE165" s="251"/>
      <c r="BF165" s="139">
        <f t="shared" si="77"/>
        <v>0</v>
      </c>
    </row>
    <row r="166" spans="2:58" s="19" customFormat="1">
      <c r="B166" s="288"/>
      <c r="C166" s="289"/>
      <c r="D166" s="289" t="s">
        <v>87</v>
      </c>
      <c r="E166" s="289"/>
      <c r="F166" s="88" t="s">
        <v>1023</v>
      </c>
      <c r="G166" s="88"/>
      <c r="H166" s="88"/>
      <c r="I166" s="290"/>
      <c r="J166" s="88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AH166" s="291"/>
      <c r="AI166" s="292"/>
      <c r="AJ166" s="293" t="s">
        <v>87</v>
      </c>
      <c r="AK166" s="293"/>
      <c r="AL166" s="250"/>
      <c r="AM166" s="250"/>
      <c r="AN166" s="250"/>
      <c r="AO166" s="251"/>
      <c r="AP166" s="139"/>
      <c r="AQ166" s="139"/>
      <c r="AR166" s="139"/>
      <c r="AS166" s="244"/>
      <c r="AT166" s="244"/>
      <c r="AU166" s="139"/>
      <c r="AX166" s="291"/>
      <c r="AY166" s="292"/>
      <c r="AZ166" s="293" t="s">
        <v>87</v>
      </c>
      <c r="BA166" s="293"/>
      <c r="BB166" s="250"/>
      <c r="BC166" s="250"/>
      <c r="BD166" s="250"/>
      <c r="BE166" s="251"/>
      <c r="BF166" s="139">
        <f t="shared" si="77"/>
        <v>0</v>
      </c>
    </row>
    <row r="167" spans="2:58" s="19" customFormat="1">
      <c r="B167" s="288"/>
      <c r="C167" s="289"/>
      <c r="D167" s="289" t="s">
        <v>88</v>
      </c>
      <c r="E167" s="289"/>
      <c r="F167" s="88" t="s">
        <v>1024</v>
      </c>
      <c r="G167" s="88"/>
      <c r="H167" s="88"/>
      <c r="I167" s="290"/>
      <c r="J167" s="88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AH167" s="291"/>
      <c r="AI167" s="292"/>
      <c r="AJ167" s="293" t="s">
        <v>88</v>
      </c>
      <c r="AK167" s="293"/>
      <c r="AL167" s="250"/>
      <c r="AM167" s="250"/>
      <c r="AN167" s="250"/>
      <c r="AO167" s="251"/>
      <c r="AP167" s="139"/>
      <c r="AQ167" s="139"/>
      <c r="AR167" s="139"/>
      <c r="AS167" s="244"/>
      <c r="AT167" s="244"/>
      <c r="AU167" s="139"/>
      <c r="AX167" s="291"/>
      <c r="AY167" s="292"/>
      <c r="AZ167" s="293" t="s">
        <v>88</v>
      </c>
      <c r="BA167" s="293"/>
      <c r="BB167" s="250"/>
      <c r="BC167" s="250"/>
      <c r="BD167" s="250"/>
      <c r="BE167" s="251"/>
      <c r="BF167" s="139">
        <f t="shared" si="77"/>
        <v>0</v>
      </c>
    </row>
    <row r="168" spans="2:58" s="19" customFormat="1">
      <c r="B168" s="288"/>
      <c r="C168" s="289"/>
      <c r="D168" s="289" t="s">
        <v>1008</v>
      </c>
      <c r="E168" s="289"/>
      <c r="F168" s="88" t="s">
        <v>1025</v>
      </c>
      <c r="G168" s="88"/>
      <c r="H168" s="88"/>
      <c r="I168" s="290"/>
      <c r="J168" s="88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AH168" s="291"/>
      <c r="AI168" s="292"/>
      <c r="AJ168" s="293" t="s">
        <v>1008</v>
      </c>
      <c r="AK168" s="293"/>
      <c r="AL168" s="250"/>
      <c r="AM168" s="250"/>
      <c r="AN168" s="250"/>
      <c r="AO168" s="251"/>
      <c r="AP168" s="139"/>
      <c r="AQ168" s="139"/>
      <c r="AR168" s="139"/>
      <c r="AS168" s="244"/>
      <c r="AT168" s="244"/>
      <c r="AU168" s="139"/>
      <c r="AX168" s="291"/>
      <c r="AY168" s="292"/>
      <c r="AZ168" s="293" t="s">
        <v>1008</v>
      </c>
      <c r="BA168" s="293"/>
      <c r="BB168" s="250"/>
      <c r="BC168" s="250"/>
      <c r="BD168" s="250"/>
      <c r="BE168" s="251"/>
      <c r="BF168" s="139">
        <f t="shared" si="77"/>
        <v>0</v>
      </c>
    </row>
    <row r="169" spans="2:58" s="19" customFormat="1">
      <c r="B169" s="288"/>
      <c r="C169" s="289"/>
      <c r="D169" s="289" t="s">
        <v>90</v>
      </c>
      <c r="E169" s="289"/>
      <c r="F169" s="88" t="s">
        <v>1026</v>
      </c>
      <c r="G169" s="88"/>
      <c r="H169" s="88"/>
      <c r="I169" s="290"/>
      <c r="J169" s="88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AH169" s="291"/>
      <c r="AI169" s="292"/>
      <c r="AJ169" s="293" t="s">
        <v>90</v>
      </c>
      <c r="AK169" s="293"/>
      <c r="AL169" s="250"/>
      <c r="AM169" s="250"/>
      <c r="AN169" s="250"/>
      <c r="AO169" s="251"/>
      <c r="AP169" s="139"/>
      <c r="AQ169" s="139"/>
      <c r="AR169" s="139"/>
      <c r="AS169" s="244"/>
      <c r="AT169" s="244"/>
      <c r="AU169" s="139"/>
      <c r="AX169" s="291"/>
      <c r="AY169" s="292"/>
      <c r="AZ169" s="293" t="s">
        <v>90</v>
      </c>
      <c r="BA169" s="293"/>
      <c r="BB169" s="250"/>
      <c r="BC169" s="250"/>
      <c r="BD169" s="250"/>
      <c r="BE169" s="251"/>
      <c r="BF169" s="139">
        <f t="shared" si="77"/>
        <v>0</v>
      </c>
    </row>
    <row r="170" spans="2:58" s="19" customFormat="1">
      <c r="B170" s="288"/>
      <c r="C170" s="289"/>
      <c r="D170" s="289" t="s">
        <v>91</v>
      </c>
      <c r="E170" s="289"/>
      <c r="F170" s="88" t="s">
        <v>1027</v>
      </c>
      <c r="G170" s="88"/>
      <c r="H170" s="88"/>
      <c r="I170" s="290"/>
      <c r="J170" s="88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AH170" s="291"/>
      <c r="AI170" s="292"/>
      <c r="AJ170" s="293" t="s">
        <v>91</v>
      </c>
      <c r="AK170" s="293"/>
      <c r="AL170" s="250"/>
      <c r="AM170" s="250"/>
      <c r="AN170" s="250"/>
      <c r="AO170" s="251"/>
      <c r="AP170" s="139"/>
      <c r="AQ170" s="139"/>
      <c r="AR170" s="139"/>
      <c r="AS170" s="244"/>
      <c r="AT170" s="244"/>
      <c r="AU170" s="139"/>
      <c r="AX170" s="291"/>
      <c r="AY170" s="292"/>
      <c r="AZ170" s="293" t="s">
        <v>91</v>
      </c>
      <c r="BA170" s="293"/>
      <c r="BB170" s="250"/>
      <c r="BC170" s="250"/>
      <c r="BD170" s="250"/>
      <c r="BE170" s="251"/>
      <c r="BF170" s="139">
        <f t="shared" si="77"/>
        <v>0</v>
      </c>
    </row>
    <row r="171" spans="2:58" s="19" customFormat="1">
      <c r="B171" s="288"/>
      <c r="C171" s="289"/>
      <c r="D171" s="289" t="s">
        <v>92</v>
      </c>
      <c r="E171" s="289"/>
      <c r="F171" s="88" t="s">
        <v>1028</v>
      </c>
      <c r="G171" s="88"/>
      <c r="H171" s="88"/>
      <c r="I171" s="290"/>
      <c r="J171" s="88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AH171" s="291"/>
      <c r="AI171" s="292"/>
      <c r="AJ171" s="293" t="s">
        <v>92</v>
      </c>
      <c r="AK171" s="293"/>
      <c r="AL171" s="250"/>
      <c r="AM171" s="250"/>
      <c r="AN171" s="250"/>
      <c r="AO171" s="251"/>
      <c r="AP171" s="139"/>
      <c r="AQ171" s="139"/>
      <c r="AR171" s="139"/>
      <c r="AS171" s="244"/>
      <c r="AT171" s="244"/>
      <c r="AU171" s="139"/>
      <c r="AX171" s="291"/>
      <c r="AY171" s="292"/>
      <c r="AZ171" s="293" t="s">
        <v>92</v>
      </c>
      <c r="BA171" s="293"/>
      <c r="BB171" s="250"/>
      <c r="BC171" s="250"/>
      <c r="BD171" s="250"/>
      <c r="BE171" s="251"/>
      <c r="BF171" s="139">
        <f t="shared" si="77"/>
        <v>0</v>
      </c>
    </row>
    <row r="172" spans="2:58" s="19" customFormat="1">
      <c r="B172" s="288"/>
      <c r="C172" s="289"/>
      <c r="D172" s="289" t="s">
        <v>1009</v>
      </c>
      <c r="E172" s="289"/>
      <c r="F172" s="88" t="s">
        <v>1029</v>
      </c>
      <c r="G172" s="88"/>
      <c r="H172" s="88"/>
      <c r="I172" s="290"/>
      <c r="J172" s="88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AH172" s="291"/>
      <c r="AI172" s="292"/>
      <c r="AJ172" s="293" t="s">
        <v>1009</v>
      </c>
      <c r="AK172" s="293"/>
      <c r="AL172" s="250"/>
      <c r="AM172" s="250"/>
      <c r="AN172" s="250"/>
      <c r="AO172" s="251"/>
      <c r="AP172" s="139"/>
      <c r="AQ172" s="139"/>
      <c r="AR172" s="139"/>
      <c r="AS172" s="244"/>
      <c r="AT172" s="244"/>
      <c r="AU172" s="139"/>
      <c r="AX172" s="291"/>
      <c r="AY172" s="292"/>
      <c r="AZ172" s="293" t="s">
        <v>1009</v>
      </c>
      <c r="BA172" s="293"/>
      <c r="BB172" s="250"/>
      <c r="BC172" s="250"/>
      <c r="BD172" s="250"/>
      <c r="BE172" s="251"/>
      <c r="BF172" s="139">
        <f t="shared" si="77"/>
        <v>0</v>
      </c>
    </row>
    <row r="173" spans="2:58" s="19" customFormat="1">
      <c r="B173" s="288"/>
      <c r="C173" s="289"/>
      <c r="D173" s="289" t="s">
        <v>97</v>
      </c>
      <c r="E173" s="289"/>
      <c r="F173" s="88" t="s">
        <v>1030</v>
      </c>
      <c r="G173" s="88"/>
      <c r="H173" s="88"/>
      <c r="I173" s="290"/>
      <c r="J173" s="88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AH173" s="291"/>
      <c r="AI173" s="292"/>
      <c r="AJ173" s="293" t="s">
        <v>97</v>
      </c>
      <c r="AK173" s="293"/>
      <c r="AL173" s="250"/>
      <c r="AM173" s="250"/>
      <c r="AN173" s="250"/>
      <c r="AO173" s="251"/>
      <c r="AP173" s="139"/>
      <c r="AQ173" s="139"/>
      <c r="AR173" s="139"/>
      <c r="AS173" s="244"/>
      <c r="AT173" s="244"/>
      <c r="AU173" s="139"/>
      <c r="AX173" s="291"/>
      <c r="AY173" s="292"/>
      <c r="AZ173" s="293" t="s">
        <v>97</v>
      </c>
      <c r="BA173" s="293"/>
      <c r="BB173" s="250"/>
      <c r="BC173" s="250"/>
      <c r="BD173" s="250"/>
      <c r="BE173" s="251"/>
      <c r="BF173" s="139">
        <f t="shared" si="77"/>
        <v>0</v>
      </c>
    </row>
    <row r="174" spans="2:58" s="19" customFormat="1">
      <c r="B174" s="288"/>
      <c r="C174" s="289"/>
      <c r="D174" s="289" t="s">
        <v>98</v>
      </c>
      <c r="E174" s="289"/>
      <c r="F174" s="88" t="s">
        <v>1031</v>
      </c>
      <c r="G174" s="88"/>
      <c r="H174" s="88"/>
      <c r="I174" s="290"/>
      <c r="J174" s="88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AH174" s="291"/>
      <c r="AI174" s="292"/>
      <c r="AJ174" s="293" t="s">
        <v>98</v>
      </c>
      <c r="AK174" s="293"/>
      <c r="AL174" s="250"/>
      <c r="AM174" s="250"/>
      <c r="AN174" s="250"/>
      <c r="AO174" s="251"/>
      <c r="AP174" s="139"/>
      <c r="AQ174" s="139"/>
      <c r="AR174" s="139"/>
      <c r="AS174" s="244"/>
      <c r="AT174" s="244"/>
      <c r="AU174" s="139"/>
      <c r="AX174" s="291"/>
      <c r="AY174" s="292"/>
      <c r="AZ174" s="293" t="s">
        <v>98</v>
      </c>
      <c r="BA174" s="293"/>
      <c r="BB174" s="250"/>
      <c r="BC174" s="250"/>
      <c r="BD174" s="250"/>
      <c r="BE174" s="251"/>
      <c r="BF174" s="139">
        <f t="shared" si="77"/>
        <v>0</v>
      </c>
    </row>
    <row r="175" spans="2:58" s="19" customFormat="1">
      <c r="B175" s="288"/>
      <c r="C175" s="289"/>
      <c r="D175" s="289" t="s">
        <v>99</v>
      </c>
      <c r="E175" s="289"/>
      <c r="F175" s="88" t="s">
        <v>1032</v>
      </c>
      <c r="G175" s="88"/>
      <c r="H175" s="88"/>
      <c r="I175" s="290"/>
      <c r="J175" s="88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AH175" s="291"/>
      <c r="AI175" s="292"/>
      <c r="AJ175" s="293" t="s">
        <v>99</v>
      </c>
      <c r="AK175" s="293"/>
      <c r="AL175" s="250"/>
      <c r="AM175" s="250"/>
      <c r="AN175" s="250"/>
      <c r="AO175" s="251"/>
      <c r="AP175" s="139"/>
      <c r="AQ175" s="139"/>
      <c r="AR175" s="139"/>
      <c r="AS175" s="244"/>
      <c r="AT175" s="244"/>
      <c r="AU175" s="139"/>
      <c r="AX175" s="291"/>
      <c r="AY175" s="292"/>
      <c r="AZ175" s="293" t="s">
        <v>99</v>
      </c>
      <c r="BA175" s="293"/>
      <c r="BB175" s="250"/>
      <c r="BC175" s="250"/>
      <c r="BD175" s="250"/>
      <c r="BE175" s="251"/>
      <c r="BF175" s="139">
        <f t="shared" si="77"/>
        <v>0</v>
      </c>
    </row>
    <row r="176" spans="2:58" s="19" customFormat="1">
      <c r="B176" s="288"/>
      <c r="C176" s="289"/>
      <c r="D176" s="289" t="s">
        <v>100</v>
      </c>
      <c r="E176" s="289"/>
      <c r="F176" s="88" t="s">
        <v>1033</v>
      </c>
      <c r="G176" s="88"/>
      <c r="H176" s="88"/>
      <c r="I176" s="290"/>
      <c r="J176" s="88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AH176" s="291"/>
      <c r="AI176" s="292"/>
      <c r="AJ176" s="293" t="s">
        <v>100</v>
      </c>
      <c r="AK176" s="293"/>
      <c r="AL176" s="250"/>
      <c r="AM176" s="250"/>
      <c r="AN176" s="250"/>
      <c r="AO176" s="251"/>
      <c r="AP176" s="139"/>
      <c r="AQ176" s="139"/>
      <c r="AR176" s="139"/>
      <c r="AS176" s="244"/>
      <c r="AT176" s="244"/>
      <c r="AU176" s="139"/>
      <c r="AX176" s="291"/>
      <c r="AY176" s="292"/>
      <c r="AZ176" s="293" t="s">
        <v>100</v>
      </c>
      <c r="BA176" s="293"/>
      <c r="BB176" s="250"/>
      <c r="BC176" s="250"/>
      <c r="BD176" s="250"/>
      <c r="BE176" s="251"/>
      <c r="BF176" s="139">
        <f t="shared" si="77"/>
        <v>0</v>
      </c>
    </row>
    <row r="177" spans="1:75">
      <c r="B177" s="28" t="s">
        <v>744</v>
      </c>
      <c r="C177" s="29" t="s">
        <v>690</v>
      </c>
      <c r="D177" s="29"/>
      <c r="E177" s="29"/>
      <c r="F177" s="28"/>
      <c r="G177" s="28"/>
      <c r="H177" s="28"/>
      <c r="I177" s="65"/>
      <c r="J177" s="28"/>
      <c r="K177" s="66" t="e">
        <f t="shared" ref="K177:Q177" si="78">+K178</f>
        <v>#REF!</v>
      </c>
      <c r="L177" s="66" t="e">
        <f t="shared" si="78"/>
        <v>#REF!</v>
      </c>
      <c r="M177" s="66" t="e">
        <f t="shared" si="78"/>
        <v>#REF!</v>
      </c>
      <c r="N177" s="66" t="e">
        <f t="shared" si="78"/>
        <v>#REF!</v>
      </c>
      <c r="O177" s="66" t="e">
        <f t="shared" si="78"/>
        <v>#REF!</v>
      </c>
      <c r="P177" s="66" t="e">
        <f t="shared" si="78"/>
        <v>#REF!</v>
      </c>
      <c r="Q177" s="66" t="e">
        <f t="shared" si="78"/>
        <v>#REF!</v>
      </c>
      <c r="R177" s="66" t="e">
        <f t="shared" ref="R177:R232" si="79">O177+Q177-P177</f>
        <v>#REF!</v>
      </c>
      <c r="S177" s="66"/>
      <c r="T177" s="66"/>
      <c r="U177" s="66" t="e">
        <f>+U178</f>
        <v>#REF!</v>
      </c>
      <c r="V177" s="66" t="e">
        <f>+V178</f>
        <v>#REF!</v>
      </c>
      <c r="W177" s="66" t="e">
        <f>+W178</f>
        <v>#REF!</v>
      </c>
      <c r="X177" s="66" t="e">
        <f>+X178</f>
        <v>#REF!</v>
      </c>
      <c r="AH177" s="147" t="s">
        <v>744</v>
      </c>
      <c r="AI177" s="148" t="s">
        <v>690</v>
      </c>
      <c r="AJ177" s="160"/>
      <c r="AK177" s="160"/>
      <c r="AL177" s="149"/>
      <c r="AM177" s="277"/>
      <c r="AN177" s="277"/>
      <c r="AO177" s="278"/>
      <c r="AP177" s="146">
        <f t="shared" ref="AP177:AU177" si="80">AP178</f>
        <v>0</v>
      </c>
      <c r="AQ177" s="146">
        <f t="shared" si="80"/>
        <v>0</v>
      </c>
      <c r="AR177" s="146">
        <f t="shared" si="80"/>
        <v>0</v>
      </c>
      <c r="AS177" s="245"/>
      <c r="AT177" s="245"/>
      <c r="AU177" s="146">
        <f t="shared" si="80"/>
        <v>0</v>
      </c>
      <c r="AX177" s="147" t="s">
        <v>744</v>
      </c>
      <c r="AY177" s="148" t="s">
        <v>690</v>
      </c>
      <c r="AZ177" s="160"/>
      <c r="BA177" s="160"/>
      <c r="BB177" s="149"/>
      <c r="BC177" s="275"/>
      <c r="BD177" s="275"/>
      <c r="BE177" s="276"/>
      <c r="BF177" s="187">
        <f>BF178</f>
        <v>0</v>
      </c>
    </row>
    <row r="178" spans="1:75">
      <c r="B178" s="31"/>
      <c r="C178" s="30" t="s">
        <v>748</v>
      </c>
      <c r="D178" s="30"/>
      <c r="E178" s="30"/>
      <c r="F178" s="33"/>
      <c r="G178" s="33"/>
      <c r="H178" s="33"/>
      <c r="I178" s="67"/>
      <c r="J178" s="33"/>
      <c r="K178" s="69" t="e">
        <f t="shared" ref="K178:Q178" si="81">SUM(K179:K185)</f>
        <v>#REF!</v>
      </c>
      <c r="L178" s="69" t="e">
        <f t="shared" si="81"/>
        <v>#REF!</v>
      </c>
      <c r="M178" s="69" t="e">
        <f t="shared" si="81"/>
        <v>#REF!</v>
      </c>
      <c r="N178" s="69" t="e">
        <f t="shared" si="81"/>
        <v>#REF!</v>
      </c>
      <c r="O178" s="69" t="e">
        <f t="shared" si="81"/>
        <v>#REF!</v>
      </c>
      <c r="P178" s="69" t="e">
        <f t="shared" si="81"/>
        <v>#REF!</v>
      </c>
      <c r="Q178" s="69" t="e">
        <f t="shared" si="81"/>
        <v>#REF!</v>
      </c>
      <c r="R178" s="69" t="e">
        <f t="shared" si="79"/>
        <v>#REF!</v>
      </c>
      <c r="S178" s="69"/>
      <c r="T178" s="69"/>
      <c r="U178" s="69" t="e">
        <f>SUM(U179:U185)</f>
        <v>#REF!</v>
      </c>
      <c r="V178" s="69" t="e">
        <f>SUM(V179:V185)</f>
        <v>#REF!</v>
      </c>
      <c r="W178" s="69" t="e">
        <f>SUM(W179:W185)</f>
        <v>#REF!</v>
      </c>
      <c r="X178" s="69" t="e">
        <f>SUM(X179:X185)</f>
        <v>#REF!</v>
      </c>
      <c r="AH178" s="152"/>
      <c r="AI178" s="157" t="s">
        <v>748</v>
      </c>
      <c r="AJ178" s="158"/>
      <c r="AK178" s="158"/>
      <c r="AL178" s="155"/>
      <c r="AM178" s="277"/>
      <c r="AN178" s="277"/>
      <c r="AO178" s="278"/>
      <c r="AP178" s="146">
        <f t="shared" ref="AP178:AU178" si="82">SUM(AP179:AP185)</f>
        <v>0</v>
      </c>
      <c r="AQ178" s="146">
        <f t="shared" si="82"/>
        <v>0</v>
      </c>
      <c r="AR178" s="146">
        <f t="shared" si="82"/>
        <v>0</v>
      </c>
      <c r="AS178" s="245"/>
      <c r="AT178" s="245"/>
      <c r="AU178" s="146">
        <f t="shared" si="82"/>
        <v>0</v>
      </c>
      <c r="AX178" s="152"/>
      <c r="AY178" s="157" t="s">
        <v>748</v>
      </c>
      <c r="AZ178" s="158"/>
      <c r="BA178" s="158"/>
      <c r="BB178" s="155"/>
      <c r="BC178" s="275"/>
      <c r="BD178" s="275"/>
      <c r="BE178" s="276"/>
      <c r="BF178" s="187">
        <f>SUM(BF179:BF185)</f>
        <v>0</v>
      </c>
    </row>
    <row r="179" spans="1:75">
      <c r="B179" s="31"/>
      <c r="C179" s="30"/>
      <c r="D179" s="30" t="s">
        <v>423</v>
      </c>
      <c r="E179" s="30"/>
      <c r="F179" s="33" t="s">
        <v>837</v>
      </c>
      <c r="G179" s="33" t="s">
        <v>827</v>
      </c>
      <c r="H179" s="33"/>
      <c r="I179" s="67">
        <v>1</v>
      </c>
      <c r="J179" s="33"/>
      <c r="K179" s="69" t="e">
        <f>+GETPIVOTDATA("PPEF 2010 ",#REF!,"No. Ramo",20,"IPP","S","PP",176)</f>
        <v>#REF!</v>
      </c>
      <c r="L179" s="69" t="e">
        <f>+GETPIVOTDATA("Ampliación Neta DIP ",#REF!,"No. Ramo",20,"IPP","S","PP",176)</f>
        <v>#REF!</v>
      </c>
      <c r="M179" s="69" t="e">
        <f>+GETPIVOTDATA("Recorte SHCP ",#REF!,"No. Ramo",20,"IPP","S","PP",176)</f>
        <v>#REF!</v>
      </c>
      <c r="N179" s="69" t="e">
        <f>+GETPIVOTDATA("PEF 2010 ",#REF!,"No. Ramo",20,"IPP","S","PP",176)</f>
        <v>#REF!</v>
      </c>
      <c r="O179" s="69" t="e">
        <f>+GETPIVOTDATA("PPEF 2011 ",#REF!,"No. Ramo",20,"IPP","S","PP",176)</f>
        <v>#REF!</v>
      </c>
      <c r="P179" s="69" t="e">
        <f>+GETPIVOTDATA("Reducción ",#REF!,"No. Ramo",20,"IPP","S","PP",176)</f>
        <v>#REF!</v>
      </c>
      <c r="Q179" s="69" t="e">
        <f>+GETPIVOTDATA("Ampliación ",#REF!,"No. Ramo",20,"IPP","S","PP",176)</f>
        <v>#REF!</v>
      </c>
      <c r="R179" s="69" t="e">
        <f t="shared" si="79"/>
        <v>#REF!</v>
      </c>
      <c r="S179" s="69"/>
      <c r="T179" s="69"/>
      <c r="U179" s="69" t="e">
        <f t="shared" ref="U179:X232" si="83">+$I179*O179</f>
        <v>#REF!</v>
      </c>
      <c r="V179" s="69" t="e">
        <f t="shared" si="83"/>
        <v>#REF!</v>
      </c>
      <c r="W179" s="69" t="e">
        <f t="shared" si="83"/>
        <v>#REF!</v>
      </c>
      <c r="X179" s="69" t="e">
        <f t="shared" si="83"/>
        <v>#REF!</v>
      </c>
      <c r="AH179" s="152"/>
      <c r="AI179" s="157"/>
      <c r="AJ179" s="158" t="s">
        <v>423</v>
      </c>
      <c r="AK179" s="158"/>
      <c r="AL179" s="277"/>
      <c r="AM179" s="277"/>
      <c r="AN179" s="277"/>
      <c r="AO179" s="278"/>
      <c r="AP179" s="146"/>
      <c r="AQ179" s="146"/>
      <c r="AR179" s="146"/>
      <c r="AS179" s="245"/>
      <c r="AT179" s="245"/>
      <c r="AU179" s="146"/>
      <c r="AX179" s="152"/>
      <c r="AY179" s="157"/>
      <c r="AZ179" s="158" t="s">
        <v>423</v>
      </c>
      <c r="BA179" s="158"/>
      <c r="BB179" s="275"/>
      <c r="BC179" s="275"/>
      <c r="BD179" s="275"/>
      <c r="BE179" s="276"/>
      <c r="BF179" s="187">
        <f t="shared" ref="BF179:BF185" si="84">+AU179</f>
        <v>0</v>
      </c>
    </row>
    <row r="180" spans="1:75">
      <c r="B180" s="31"/>
      <c r="C180" s="30"/>
      <c r="D180" s="30" t="s">
        <v>424</v>
      </c>
      <c r="E180" s="30"/>
      <c r="F180" s="33" t="s">
        <v>838</v>
      </c>
      <c r="G180" s="33" t="s">
        <v>827</v>
      </c>
      <c r="H180" s="33"/>
      <c r="I180" s="67">
        <v>1</v>
      </c>
      <c r="J180" s="33"/>
      <c r="K180" s="69" t="e">
        <f>+GETPIVOTDATA("PPEF 2010 ",#REF!,"No. Ramo",20,"IPP","S","PP",216)</f>
        <v>#REF!</v>
      </c>
      <c r="L180" s="69" t="e">
        <f>+GETPIVOTDATA("Ampliación Neta DIP ",#REF!,"No. Ramo",20,"IPP","S","PP",216)</f>
        <v>#REF!</v>
      </c>
      <c r="M180" s="69" t="e">
        <f>+GETPIVOTDATA("Recorte SHCP ",#REF!,"No. Ramo",20,"IPP","S","PP",216)</f>
        <v>#REF!</v>
      </c>
      <c r="N180" s="69" t="e">
        <f>+GETPIVOTDATA("PEF 2010 ",#REF!,"No. Ramo",20,"IPP","S","PP",216)</f>
        <v>#REF!</v>
      </c>
      <c r="O180" s="69" t="e">
        <f>+GETPIVOTDATA("PPEF 2011 ",#REF!,"No. Ramo",20,"IPP","S","PP",216)</f>
        <v>#REF!</v>
      </c>
      <c r="P180" s="69" t="e">
        <f>+GETPIVOTDATA("Reducción ",#REF!,"No. Ramo",20,"IPP","S","PP",216)</f>
        <v>#REF!</v>
      </c>
      <c r="Q180" s="69" t="e">
        <f>+GETPIVOTDATA("Ampliación ",#REF!,"No. Ramo",20,"IPP","S","PP",216)</f>
        <v>#REF!</v>
      </c>
      <c r="R180" s="69" t="e">
        <f t="shared" si="79"/>
        <v>#REF!</v>
      </c>
      <c r="S180" s="69"/>
      <c r="T180" s="69"/>
      <c r="U180" s="69" t="e">
        <f t="shared" si="83"/>
        <v>#REF!</v>
      </c>
      <c r="V180" s="69" t="e">
        <f t="shared" si="83"/>
        <v>#REF!</v>
      </c>
      <c r="W180" s="69" t="e">
        <f t="shared" si="83"/>
        <v>#REF!</v>
      </c>
      <c r="X180" s="69" t="e">
        <f t="shared" si="83"/>
        <v>#REF!</v>
      </c>
      <c r="AH180" s="152"/>
      <c r="AI180" s="157"/>
      <c r="AJ180" s="158" t="s">
        <v>424</v>
      </c>
      <c r="AK180" s="158"/>
      <c r="AL180" s="277"/>
      <c r="AM180" s="277"/>
      <c r="AN180" s="277"/>
      <c r="AO180" s="278"/>
      <c r="AP180" s="146"/>
      <c r="AQ180" s="146"/>
      <c r="AR180" s="146"/>
      <c r="AS180" s="245"/>
      <c r="AT180" s="245"/>
      <c r="AU180" s="146"/>
      <c r="AX180" s="152"/>
      <c r="AY180" s="157"/>
      <c r="AZ180" s="158" t="s">
        <v>424</v>
      </c>
      <c r="BA180" s="158"/>
      <c r="BB180" s="275"/>
      <c r="BC180" s="275"/>
      <c r="BD180" s="275"/>
      <c r="BE180" s="276"/>
      <c r="BF180" s="187">
        <f t="shared" si="84"/>
        <v>0</v>
      </c>
    </row>
    <row r="181" spans="1:75">
      <c r="B181" s="31"/>
      <c r="C181" s="30"/>
      <c r="D181" s="30" t="s">
        <v>749</v>
      </c>
      <c r="E181" s="30"/>
      <c r="F181" s="33" t="s">
        <v>839</v>
      </c>
      <c r="G181" s="33" t="s">
        <v>827</v>
      </c>
      <c r="H181" s="33"/>
      <c r="I181" s="67">
        <v>1</v>
      </c>
      <c r="J181" s="33"/>
      <c r="K181" s="69" t="e">
        <f>+GETPIVOTDATA("PPEF 2010 ",#REF!,"No. Ramo",20,"IPP","S","PP",65)</f>
        <v>#REF!</v>
      </c>
      <c r="L181" s="69" t="e">
        <f>+GETPIVOTDATA("Ampliación Neta DIP ",#REF!,"No. Ramo",20,"IPP","S","PP",65)</f>
        <v>#REF!</v>
      </c>
      <c r="M181" s="69" t="e">
        <f>+GETPIVOTDATA("Recorte SHCP ",#REF!,"No. Ramo",20,"IPP","S","PP",65)</f>
        <v>#REF!</v>
      </c>
      <c r="N181" s="69" t="e">
        <f>+GETPIVOTDATA("PEF 2010 ",#REF!,"No. Ramo",20,"IPP","S","PP",65)</f>
        <v>#REF!</v>
      </c>
      <c r="O181" s="69" t="e">
        <f>+GETPIVOTDATA("PPEF 2011 ",#REF!,"No. Ramo",20,"IPP","S","PP",65)</f>
        <v>#REF!</v>
      </c>
      <c r="P181" s="69" t="e">
        <f>+GETPIVOTDATA("Reducción ",#REF!,"No. Ramo",20,"IPP","S","PP",65)</f>
        <v>#REF!</v>
      </c>
      <c r="Q181" s="69" t="e">
        <f>+GETPIVOTDATA("Ampliación ",#REF!,"No. Ramo",20,"IPP","S","PP",65)</f>
        <v>#REF!</v>
      </c>
      <c r="R181" s="69" t="e">
        <f t="shared" si="79"/>
        <v>#REF!</v>
      </c>
      <c r="S181" s="69"/>
      <c r="T181" s="69"/>
      <c r="U181" s="69" t="e">
        <f t="shared" si="83"/>
        <v>#REF!</v>
      </c>
      <c r="V181" s="69" t="e">
        <f t="shared" si="83"/>
        <v>#REF!</v>
      </c>
      <c r="W181" s="69" t="e">
        <f t="shared" si="83"/>
        <v>#REF!</v>
      </c>
      <c r="X181" s="69" t="e">
        <f t="shared" si="83"/>
        <v>#REF!</v>
      </c>
      <c r="AH181" s="152"/>
      <c r="AI181" s="157"/>
      <c r="AJ181" s="158" t="s">
        <v>749</v>
      </c>
      <c r="AK181" s="158"/>
      <c r="AL181" s="277"/>
      <c r="AM181" s="277"/>
      <c r="AN181" s="277"/>
      <c r="AO181" s="278"/>
      <c r="AP181" s="146"/>
      <c r="AQ181" s="146"/>
      <c r="AR181" s="146"/>
      <c r="AS181" s="245"/>
      <c r="AT181" s="245"/>
      <c r="AU181" s="146"/>
      <c r="AX181" s="152"/>
      <c r="AY181" s="157"/>
      <c r="AZ181" s="158" t="s">
        <v>749</v>
      </c>
      <c r="BA181" s="158"/>
      <c r="BB181" s="275"/>
      <c r="BC181" s="275"/>
      <c r="BD181" s="275"/>
      <c r="BE181" s="276"/>
      <c r="BF181" s="187">
        <f t="shared" si="84"/>
        <v>0</v>
      </c>
    </row>
    <row r="182" spans="1:75">
      <c r="B182" s="31"/>
      <c r="C182" s="30"/>
      <c r="D182" s="30" t="s">
        <v>750</v>
      </c>
      <c r="E182" s="30"/>
      <c r="F182" s="33" t="s">
        <v>840</v>
      </c>
      <c r="G182" s="33" t="s">
        <v>415</v>
      </c>
      <c r="H182" s="33"/>
      <c r="I182" s="67">
        <v>1</v>
      </c>
      <c r="J182" s="33"/>
      <c r="K182" s="69" t="e">
        <f>+GETPIVOTDATA("PPEF 2010 ",#REF!,"No. Ramo",20,"IPP","S","PP",58,"UR","VYF")+GETPIVOTDATA("PPEF 2010 ",#REF!,"No. Ramo",20,"IPP","S","PP",117,"UR","VYF")</f>
        <v>#REF!</v>
      </c>
      <c r="L182" s="69" t="e">
        <f>+GETPIVOTDATA("Ampliación Neta DIP ",#REF!,"No. Ramo",20,"IPP","S","PP",58,"UR","VYF")+GETPIVOTDATA("Ampliación Neta DIP ",#REF!,"No. Ramo",20,"IPP","S","PP",117,"UR","VYF")</f>
        <v>#REF!</v>
      </c>
      <c r="M182" s="69" t="e">
        <f>+GETPIVOTDATA("Recorte SHCP ",#REF!,"No. Ramo",20,"IPP","S","PP",58,"UR","VYF")+GETPIVOTDATA("Recorte SHCP ",#REF!,"No. Ramo",20,"IPP","S","PP",117,"UR","VYF")</f>
        <v>#REF!</v>
      </c>
      <c r="N182" s="69" t="e">
        <f>+GETPIVOTDATA("PEF 2010 ",#REF!,"No. Ramo",20,"IPP","S","PP",58,"UR","VYF")+GETPIVOTDATA("PEF 2010 ",#REF!,"No. Ramo",20,"IPP","S","PP",117,"UR","VYF")</f>
        <v>#REF!</v>
      </c>
      <c r="O182" s="69" t="e">
        <f>+GETPIVOTDATA("PPEF 2011 ",#REF!,"No. Ramo",20,"IPP","S","PP",58,"UR","VYF")+GETPIVOTDATA("PPEF 2011 ",#REF!,"No. Ramo",20,"IPP","S","PP",117,"UR","VYF")</f>
        <v>#REF!</v>
      </c>
      <c r="P182" s="69" t="e">
        <f>+GETPIVOTDATA("Reducción ",#REF!,"No. Ramo",20,"IPP","S","PP",58,"UR","VYF")+GETPIVOTDATA("Reducción ",#REF!,"No. Ramo",20,"IPP","S","PP",117,"UR","VYF")</f>
        <v>#REF!</v>
      </c>
      <c r="Q182" s="69" t="e">
        <f>+GETPIVOTDATA("Ampliación ",#REF!,"No. Ramo",20,"IPP","S","PP",58,"UR","VYF")+GETPIVOTDATA("Ampliación ",#REF!,"No. Ramo",20,"IPP","S","PP",117,"UR","VYF")</f>
        <v>#REF!</v>
      </c>
      <c r="R182" s="69" t="e">
        <f t="shared" si="79"/>
        <v>#REF!</v>
      </c>
      <c r="S182" s="69"/>
      <c r="T182" s="69"/>
      <c r="U182" s="69" t="e">
        <f t="shared" si="83"/>
        <v>#REF!</v>
      </c>
      <c r="V182" s="69" t="e">
        <f t="shared" si="83"/>
        <v>#REF!</v>
      </c>
      <c r="W182" s="69" t="e">
        <f t="shared" si="83"/>
        <v>#REF!</v>
      </c>
      <c r="X182" s="69" t="e">
        <f t="shared" si="83"/>
        <v>#REF!</v>
      </c>
      <c r="AH182" s="152"/>
      <c r="AI182" s="157"/>
      <c r="AJ182" s="158" t="s">
        <v>750</v>
      </c>
      <c r="AK182" s="158"/>
      <c r="AL182" s="277"/>
      <c r="AM182" s="277"/>
      <c r="AN182" s="277"/>
      <c r="AO182" s="278"/>
      <c r="AP182" s="146"/>
      <c r="AQ182" s="146"/>
      <c r="AR182" s="146"/>
      <c r="AS182" s="245"/>
      <c r="AT182" s="245"/>
      <c r="AU182" s="146"/>
      <c r="AX182" s="152"/>
      <c r="AY182" s="157"/>
      <c r="AZ182" s="158" t="s">
        <v>750</v>
      </c>
      <c r="BA182" s="158"/>
      <c r="BB182" s="275"/>
      <c r="BC182" s="275"/>
      <c r="BD182" s="275"/>
      <c r="BE182" s="276"/>
      <c r="BF182" s="187">
        <f t="shared" si="84"/>
        <v>0</v>
      </c>
    </row>
    <row r="183" spans="1:75">
      <c r="B183" s="31"/>
      <c r="C183" s="30"/>
      <c r="D183" s="30" t="s">
        <v>751</v>
      </c>
      <c r="E183" s="30"/>
      <c r="F183" s="33" t="s">
        <v>841</v>
      </c>
      <c r="G183" s="33" t="s">
        <v>37</v>
      </c>
      <c r="H183" s="33"/>
      <c r="I183" s="67">
        <v>1</v>
      </c>
      <c r="J183" s="33"/>
      <c r="K183" s="69" t="e">
        <f>+GETPIVOTDATA("PPEF 2010 ",#REF!,"No. Ramo",20,"IPP","S","PP",118,"UR","G00")</f>
        <v>#REF!</v>
      </c>
      <c r="L183" s="69" t="e">
        <f>+GETPIVOTDATA("Ampliación Neta DIP ",#REF!,"No. Ramo",20,"IPP","S","PP",118,"UR","G00")</f>
        <v>#REF!</v>
      </c>
      <c r="M183" s="69" t="e">
        <f>+GETPIVOTDATA("Recorte SHCP ",#REF!,"No. Ramo",20,"IPP","S","PP",118,"UR","G00")</f>
        <v>#REF!</v>
      </c>
      <c r="N183" s="69" t="e">
        <f>+GETPIVOTDATA("PEF 2010 ",#REF!,"No. Ramo",20,"IPP","S","PP",118,"UR","G00")</f>
        <v>#REF!</v>
      </c>
      <c r="O183" s="69" t="e">
        <f>+GETPIVOTDATA("PPEF 2011 ",#REF!,"No. Ramo",20,"IPP","S","PP",118,"UR","G00")</f>
        <v>#REF!</v>
      </c>
      <c r="P183" s="69" t="e">
        <f>+GETPIVOTDATA("Reducción ",#REF!,"No. Ramo",20,"IPP","S","PP",118,"UR","G00")</f>
        <v>#REF!</v>
      </c>
      <c r="Q183" s="69" t="e">
        <f>+GETPIVOTDATA("Ampliación ",#REF!,"No. Ramo",20,"IPP","S","PP",118,"UR","G00")</f>
        <v>#REF!</v>
      </c>
      <c r="R183" s="69" t="e">
        <f t="shared" si="79"/>
        <v>#REF!</v>
      </c>
      <c r="S183" s="69"/>
      <c r="T183" s="69"/>
      <c r="U183" s="69" t="e">
        <f t="shared" si="83"/>
        <v>#REF!</v>
      </c>
      <c r="V183" s="69" t="e">
        <f t="shared" si="83"/>
        <v>#REF!</v>
      </c>
      <c r="W183" s="69" t="e">
        <f t="shared" si="83"/>
        <v>#REF!</v>
      </c>
      <c r="X183" s="69" t="e">
        <f t="shared" si="83"/>
        <v>#REF!</v>
      </c>
      <c r="AH183" s="152"/>
      <c r="AI183" s="157"/>
      <c r="AJ183" s="158" t="s">
        <v>751</v>
      </c>
      <c r="AK183" s="158"/>
      <c r="AL183" s="277"/>
      <c r="AM183" s="277"/>
      <c r="AN183" s="277"/>
      <c r="AO183" s="278"/>
      <c r="AP183" s="146"/>
      <c r="AQ183" s="146"/>
      <c r="AR183" s="146"/>
      <c r="AS183" s="245"/>
      <c r="AT183" s="245"/>
      <c r="AU183" s="146"/>
      <c r="AX183" s="152"/>
      <c r="AY183" s="157"/>
      <c r="AZ183" s="158" t="s">
        <v>751</v>
      </c>
      <c r="BA183" s="158"/>
      <c r="BB183" s="275"/>
      <c r="BC183" s="275"/>
      <c r="BD183" s="275"/>
      <c r="BE183" s="276"/>
      <c r="BF183" s="187">
        <f t="shared" si="84"/>
        <v>0</v>
      </c>
    </row>
    <row r="184" spans="1:75">
      <c r="B184" s="31"/>
      <c r="C184" s="30"/>
      <c r="D184" s="30" t="s">
        <v>752</v>
      </c>
      <c r="E184" s="30"/>
      <c r="F184" s="33" t="s">
        <v>842</v>
      </c>
      <c r="G184" s="33" t="s">
        <v>412</v>
      </c>
      <c r="H184" s="33"/>
      <c r="I184" s="67">
        <v>1</v>
      </c>
      <c r="J184" s="33"/>
      <c r="K184" s="69" t="e">
        <f>+GETPIVOTDATA("PPEF 2010 ",#REF!,"No. Ramo",20,"IPP","S","PP",53,"UR","VSS")</f>
        <v>#REF!</v>
      </c>
      <c r="L184" s="69" t="e">
        <f>+GETPIVOTDATA("Ampliación Neta DIP ",#REF!,"No. Ramo",20,"IPP","S","PP",53,"UR","VSS")</f>
        <v>#REF!</v>
      </c>
      <c r="M184" s="69" t="e">
        <f>+GETPIVOTDATA("Recorte SHCP ",#REF!,"No. Ramo",20,"IPP","S","PP",53,"UR","VSS")</f>
        <v>#REF!</v>
      </c>
      <c r="N184" s="69" t="e">
        <f>+GETPIVOTDATA("PEF 2010 ",#REF!,"No. Ramo",20,"IPP","S","PP",53,"UR","VSS")</f>
        <v>#REF!</v>
      </c>
      <c r="O184" s="69" t="e">
        <f>+GETPIVOTDATA("PPEF 2011 ",#REF!,"No. Ramo",20,"IPP","S","PP",53,"UR","VSS")</f>
        <v>#REF!</v>
      </c>
      <c r="P184" s="69" t="e">
        <f>+GETPIVOTDATA("Reducción ",#REF!,"No. Ramo",20,"IPP","S","PP",53,"UR","VSS")</f>
        <v>#REF!</v>
      </c>
      <c r="Q184" s="69" t="e">
        <f>+GETPIVOTDATA("Ampliación ",#REF!,"No. Ramo",20,"IPP","S","PP",53,"UR","VSS")</f>
        <v>#REF!</v>
      </c>
      <c r="R184" s="69" t="e">
        <f t="shared" si="79"/>
        <v>#REF!</v>
      </c>
      <c r="S184" s="69"/>
      <c r="T184" s="69"/>
      <c r="U184" s="69" t="e">
        <f t="shared" si="83"/>
        <v>#REF!</v>
      </c>
      <c r="V184" s="69" t="e">
        <f t="shared" si="83"/>
        <v>#REF!</v>
      </c>
      <c r="W184" s="69" t="e">
        <f t="shared" si="83"/>
        <v>#REF!</v>
      </c>
      <c r="X184" s="69" t="e">
        <f t="shared" si="83"/>
        <v>#REF!</v>
      </c>
      <c r="AH184" s="152"/>
      <c r="AI184" s="157"/>
      <c r="AJ184" s="158" t="s">
        <v>752</v>
      </c>
      <c r="AK184" s="158"/>
      <c r="AL184" s="277"/>
      <c r="AM184" s="277"/>
      <c r="AN184" s="277"/>
      <c r="AO184" s="278"/>
      <c r="AP184" s="146"/>
      <c r="AQ184" s="146"/>
      <c r="AR184" s="146"/>
      <c r="AS184" s="245"/>
      <c r="AT184" s="245"/>
      <c r="AU184" s="146"/>
      <c r="AX184" s="152"/>
      <c r="AY184" s="157"/>
      <c r="AZ184" s="158" t="s">
        <v>752</v>
      </c>
      <c r="BA184" s="158"/>
      <c r="BB184" s="275"/>
      <c r="BC184" s="275"/>
      <c r="BD184" s="275"/>
      <c r="BE184" s="276"/>
      <c r="BF184" s="187">
        <f t="shared" si="84"/>
        <v>0</v>
      </c>
    </row>
    <row r="185" spans="1:75">
      <c r="B185" s="31"/>
      <c r="C185" s="30"/>
      <c r="D185" s="30" t="s">
        <v>733</v>
      </c>
      <c r="E185" s="30"/>
      <c r="F185" s="33" t="s">
        <v>831</v>
      </c>
      <c r="G185" s="33" t="s">
        <v>37</v>
      </c>
      <c r="H185" s="33"/>
      <c r="I185" s="67">
        <v>1</v>
      </c>
      <c r="J185" s="33"/>
      <c r="K185" s="69" t="e">
        <f>+GETPIVOTDATA("PPEF 2010 ",#REF!,"No. Ramo",20,"IPP","S","PP",72,"UR","G00")</f>
        <v>#REF!</v>
      </c>
      <c r="L185" s="69" t="e">
        <f>+GETPIVOTDATA("Ampliación Neta DIP ",#REF!,"No. Ramo",20,"IPP","S","PP",72,"UR","G00")</f>
        <v>#REF!</v>
      </c>
      <c r="M185" s="69" t="e">
        <f>+GETPIVOTDATA("Recorte SHCP ",#REF!,"No. Ramo",20,"IPP","S","PP",72,"UR","G00")</f>
        <v>#REF!</v>
      </c>
      <c r="N185" s="69" t="e">
        <f>+GETPIVOTDATA("PEF 2010 ",#REF!,"No. Ramo",20,"IPP","S","PP",72,"UR","G00")</f>
        <v>#REF!</v>
      </c>
      <c r="O185" s="69" t="e">
        <f>+GETPIVOTDATA("PPEF 2011 ",#REF!,"No. Ramo",20,"IPP","S","PP",72,"UR","G00")</f>
        <v>#REF!</v>
      </c>
      <c r="P185" s="69" t="e">
        <f>+GETPIVOTDATA("Reducción ",#REF!,"No. Ramo",20,"IPP","S","PP",72,"UR","G00")</f>
        <v>#REF!</v>
      </c>
      <c r="Q185" s="69" t="e">
        <f>+GETPIVOTDATA("Ampliación ",#REF!,"No. Ramo",20,"IPP","S","PP",72,"UR","G00")</f>
        <v>#REF!</v>
      </c>
      <c r="R185" s="69" t="e">
        <f t="shared" si="79"/>
        <v>#REF!</v>
      </c>
      <c r="S185" s="69"/>
      <c r="T185" s="69"/>
      <c r="U185" s="69" t="e">
        <f t="shared" si="83"/>
        <v>#REF!</v>
      </c>
      <c r="V185" s="69" t="e">
        <f t="shared" si="83"/>
        <v>#REF!</v>
      </c>
      <c r="W185" s="69" t="e">
        <f t="shared" si="83"/>
        <v>#REF!</v>
      </c>
      <c r="X185" s="69" t="e">
        <f t="shared" si="83"/>
        <v>#REF!</v>
      </c>
      <c r="AH185" s="152"/>
      <c r="AI185" s="157"/>
      <c r="AJ185" s="158" t="s">
        <v>733</v>
      </c>
      <c r="AK185" s="158"/>
      <c r="AL185" s="277"/>
      <c r="AM185" s="277"/>
      <c r="AN185" s="277"/>
      <c r="AO185" s="278"/>
      <c r="AP185" s="146"/>
      <c r="AQ185" s="146"/>
      <c r="AR185" s="146"/>
      <c r="AS185" s="245"/>
      <c r="AT185" s="245"/>
      <c r="AU185" s="146"/>
      <c r="AX185" s="152"/>
      <c r="AY185" s="157"/>
      <c r="AZ185" s="158" t="s">
        <v>733</v>
      </c>
      <c r="BA185" s="158"/>
      <c r="BB185" s="275"/>
      <c r="BC185" s="275"/>
      <c r="BD185" s="275"/>
      <c r="BE185" s="276"/>
      <c r="BF185" s="187">
        <f t="shared" si="84"/>
        <v>0</v>
      </c>
    </row>
    <row r="186" spans="1:75">
      <c r="B186" s="26"/>
      <c r="C186" s="27" t="s">
        <v>753</v>
      </c>
      <c r="D186" s="27"/>
      <c r="E186" s="27"/>
      <c r="F186" s="61"/>
      <c r="G186" s="61"/>
      <c r="H186" s="61"/>
      <c r="I186" s="62"/>
      <c r="J186" s="61"/>
      <c r="K186" s="63" t="e">
        <f t="shared" ref="K186:Q186" si="85">+K187+K190+K194+K196</f>
        <v>#REF!</v>
      </c>
      <c r="L186" s="63" t="e">
        <f t="shared" si="85"/>
        <v>#REF!</v>
      </c>
      <c r="M186" s="63" t="e">
        <f t="shared" si="85"/>
        <v>#REF!</v>
      </c>
      <c r="N186" s="63" t="e">
        <f t="shared" si="85"/>
        <v>#REF!</v>
      </c>
      <c r="O186" s="63" t="e">
        <f t="shared" si="85"/>
        <v>#REF!</v>
      </c>
      <c r="P186" s="63" t="e">
        <f t="shared" si="85"/>
        <v>#REF!</v>
      </c>
      <c r="Q186" s="63" t="e">
        <f t="shared" si="85"/>
        <v>#REF!</v>
      </c>
      <c r="R186" s="63" t="e">
        <f t="shared" si="79"/>
        <v>#REF!</v>
      </c>
      <c r="S186" s="63"/>
      <c r="T186" s="63"/>
      <c r="U186" s="63" t="e">
        <f>+U187+U190+U194+U196</f>
        <v>#REF!</v>
      </c>
      <c r="V186" s="63" t="e">
        <f>+V187+V190+V194+V196</f>
        <v>#REF!</v>
      </c>
      <c r="W186" s="63" t="e">
        <f>+W187+W190+W194+W196</f>
        <v>#REF!</v>
      </c>
      <c r="X186" s="63" t="e">
        <f>+X187+X190+X194+X196</f>
        <v>#REF!</v>
      </c>
      <c r="AH186" s="147"/>
      <c r="AI186" s="148" t="s">
        <v>753</v>
      </c>
      <c r="AJ186" s="160"/>
      <c r="AK186" s="160"/>
      <c r="AL186" s="149"/>
      <c r="AM186" s="277"/>
      <c r="AN186" s="277"/>
      <c r="AO186" s="278"/>
      <c r="AP186" s="146">
        <f>AP187+AP190+AP194+AP196</f>
        <v>0</v>
      </c>
      <c r="AQ186" s="146">
        <f>AQ187+AQ190+AQ194+AQ196</f>
        <v>0</v>
      </c>
      <c r="AR186" s="146">
        <f>AR187+AR190+AR194+AR196</f>
        <v>0</v>
      </c>
      <c r="AS186" s="245"/>
      <c r="AT186" s="245"/>
      <c r="AU186" s="146">
        <f>AU187+AU190+AU194+AU196</f>
        <v>0</v>
      </c>
      <c r="AX186" s="147"/>
      <c r="AY186" s="148" t="s">
        <v>753</v>
      </c>
      <c r="AZ186" s="160"/>
      <c r="BA186" s="160"/>
      <c r="BB186" s="149"/>
      <c r="BC186" s="275"/>
      <c r="BD186" s="275"/>
      <c r="BE186" s="276"/>
      <c r="BF186" s="187">
        <f>BF187+BF190+BF194+BF196</f>
        <v>0</v>
      </c>
    </row>
    <row r="187" spans="1:75">
      <c r="B187" s="28" t="s">
        <v>754</v>
      </c>
      <c r="C187" s="29" t="s">
        <v>739</v>
      </c>
      <c r="D187" s="29"/>
      <c r="E187" s="29"/>
      <c r="F187" s="28"/>
      <c r="G187" s="28"/>
      <c r="H187" s="28"/>
      <c r="I187" s="65"/>
      <c r="J187" s="28"/>
      <c r="K187" s="66" t="e">
        <f t="shared" ref="K187:Q188" si="86">+K188</f>
        <v>#REF!</v>
      </c>
      <c r="L187" s="66" t="e">
        <f t="shared" si="86"/>
        <v>#REF!</v>
      </c>
      <c r="M187" s="66" t="e">
        <f t="shared" si="86"/>
        <v>#REF!</v>
      </c>
      <c r="N187" s="66" t="e">
        <f t="shared" si="86"/>
        <v>#REF!</v>
      </c>
      <c r="O187" s="66" t="e">
        <f t="shared" si="86"/>
        <v>#REF!</v>
      </c>
      <c r="P187" s="66" t="e">
        <f t="shared" si="86"/>
        <v>#REF!</v>
      </c>
      <c r="Q187" s="66" t="e">
        <f t="shared" si="86"/>
        <v>#REF!</v>
      </c>
      <c r="R187" s="66" t="e">
        <f t="shared" si="79"/>
        <v>#REF!</v>
      </c>
      <c r="S187" s="66"/>
      <c r="T187" s="66"/>
      <c r="U187" s="66" t="e">
        <f t="shared" ref="U187:X188" si="87">+U188</f>
        <v>#REF!</v>
      </c>
      <c r="V187" s="66" t="e">
        <f t="shared" si="87"/>
        <v>#REF!</v>
      </c>
      <c r="W187" s="66" t="e">
        <f t="shared" si="87"/>
        <v>#REF!</v>
      </c>
      <c r="X187" s="66" t="e">
        <f t="shared" si="87"/>
        <v>#REF!</v>
      </c>
      <c r="AH187" s="147" t="s">
        <v>754</v>
      </c>
      <c r="AI187" s="148" t="s">
        <v>739</v>
      </c>
      <c r="AJ187" s="160"/>
      <c r="AK187" s="160"/>
      <c r="AL187" s="149"/>
      <c r="AM187" s="277"/>
      <c r="AN187" s="277"/>
      <c r="AO187" s="278"/>
      <c r="AP187" s="146">
        <f>AP188</f>
        <v>0</v>
      </c>
      <c r="AQ187" s="146">
        <f>AQ188</f>
        <v>0</v>
      </c>
      <c r="AR187" s="146">
        <f>AR188</f>
        <v>0</v>
      </c>
      <c r="AS187" s="245"/>
      <c r="AT187" s="245"/>
      <c r="AU187" s="146">
        <f>AU188</f>
        <v>0</v>
      </c>
      <c r="AX187" s="147" t="s">
        <v>754</v>
      </c>
      <c r="AY187" s="148" t="s">
        <v>739</v>
      </c>
      <c r="AZ187" s="160"/>
      <c r="BA187" s="160"/>
      <c r="BB187" s="149"/>
      <c r="BC187" s="275"/>
      <c r="BD187" s="275"/>
      <c r="BE187" s="276"/>
      <c r="BF187" s="187">
        <f>BF188</f>
        <v>0</v>
      </c>
    </row>
    <row r="188" spans="1:75">
      <c r="B188" s="31"/>
      <c r="C188" s="30" t="s">
        <v>754</v>
      </c>
      <c r="D188" s="30"/>
      <c r="E188" s="30"/>
      <c r="F188" s="33"/>
      <c r="G188" s="33"/>
      <c r="H188" s="33"/>
      <c r="I188" s="67"/>
      <c r="J188" s="33"/>
      <c r="K188" s="69" t="e">
        <f t="shared" si="86"/>
        <v>#REF!</v>
      </c>
      <c r="L188" s="69" t="e">
        <f t="shared" si="86"/>
        <v>#REF!</v>
      </c>
      <c r="M188" s="69" t="e">
        <f t="shared" si="86"/>
        <v>#REF!</v>
      </c>
      <c r="N188" s="69" t="e">
        <f t="shared" si="86"/>
        <v>#REF!</v>
      </c>
      <c r="O188" s="69" t="e">
        <f t="shared" si="86"/>
        <v>#REF!</v>
      </c>
      <c r="P188" s="69" t="e">
        <f t="shared" si="86"/>
        <v>#REF!</v>
      </c>
      <c r="Q188" s="69" t="e">
        <f t="shared" si="86"/>
        <v>#REF!</v>
      </c>
      <c r="R188" s="69" t="e">
        <f t="shared" si="79"/>
        <v>#REF!</v>
      </c>
      <c r="S188" s="69"/>
      <c r="T188" s="69"/>
      <c r="U188" s="69" t="e">
        <f t="shared" si="87"/>
        <v>#REF!</v>
      </c>
      <c r="V188" s="69" t="e">
        <f t="shared" si="87"/>
        <v>#REF!</v>
      </c>
      <c r="W188" s="69" t="e">
        <f t="shared" si="87"/>
        <v>#REF!</v>
      </c>
      <c r="X188" s="69" t="e">
        <f t="shared" si="87"/>
        <v>#REF!</v>
      </c>
      <c r="AH188" s="152"/>
      <c r="AI188" s="157" t="s">
        <v>754</v>
      </c>
      <c r="AJ188" s="158"/>
      <c r="AK188" s="158"/>
      <c r="AL188" s="155"/>
      <c r="AM188" s="277"/>
      <c r="AN188" s="277"/>
      <c r="AO188" s="278"/>
      <c r="AP188" s="146"/>
      <c r="AQ188" s="146"/>
      <c r="AR188" s="146"/>
      <c r="AS188" s="245"/>
      <c r="AT188" s="245"/>
      <c r="AU188" s="146"/>
      <c r="AX188" s="152"/>
      <c r="AY188" s="157" t="s">
        <v>754</v>
      </c>
      <c r="AZ188" s="158"/>
      <c r="BA188" s="158"/>
      <c r="BB188" s="155"/>
      <c r="BC188" s="275"/>
      <c r="BD188" s="275"/>
      <c r="BE188" s="276"/>
      <c r="BF188" s="187">
        <f>+AU188</f>
        <v>0</v>
      </c>
    </row>
    <row r="189" spans="1:75" s="195" customFormat="1">
      <c r="A189"/>
      <c r="B189" s="31"/>
      <c r="C189" s="30"/>
      <c r="D189" s="30" t="s">
        <v>755</v>
      </c>
      <c r="E189" s="30"/>
      <c r="F189" s="33" t="s">
        <v>843</v>
      </c>
      <c r="G189" s="33" t="s">
        <v>844</v>
      </c>
      <c r="H189" s="33"/>
      <c r="I189" s="67">
        <v>1</v>
      </c>
      <c r="J189" s="33"/>
      <c r="K189" s="69" t="e">
        <f>+GETPIVOTDATA("PPEF 2010 ",#REF!,"No. Ramo",9,"IPP","K","PP",31)+GETPIVOTDATA("PPEF 2010 ",#REF!,"No. Ramo",9,"IPP","K","PP",37)+GETPIVOTDATA("PPEF 2010 ",#REF!,"No. Ramo",9,"IPP","K","PP",39)</f>
        <v>#REF!</v>
      </c>
      <c r="L189" s="69" t="e">
        <f>+GETPIVOTDATA("Ampliación Neta DIP ",#REF!,"No. Ramo",9,"IPP","K","PP",31)+GETPIVOTDATA("Ampliación Neta DIP ",#REF!,"No. Ramo",9,"IPP","K","PP",37)+GETPIVOTDATA("Ampliación Neta DIP ",#REF!,"No. Ramo",9,"IPP","K","PP",39)</f>
        <v>#REF!</v>
      </c>
      <c r="M189" s="69" t="e">
        <f>+GETPIVOTDATA("Recorte SHCP ",#REF!,"No. Ramo",9,"IPP","K","PP",31)+GETPIVOTDATA("Recorte SHCP ",#REF!,"No. Ramo",9,"IPP","K","PP",37)+GETPIVOTDATA("Recorte SHCP ",#REF!,"No. Ramo",9,"IPP","K","PP",39)</f>
        <v>#REF!</v>
      </c>
      <c r="N189" s="69" t="e">
        <f>+GETPIVOTDATA("PEF 2010 ",#REF!,"No. Ramo",9,"IPP","K","PP",31)+GETPIVOTDATA("PEF 2010 ",#REF!,"No. Ramo",9,"IPP","K","PP",37)+GETPIVOTDATA("PEF 2010 ",#REF!,"No. Ramo",9,"IPP","K","PP",39)</f>
        <v>#REF!</v>
      </c>
      <c r="O189" s="69" t="e">
        <f>+GETPIVOTDATA("PPEF 2011 ",#REF!,"No. Ramo",9,"IPP","K","PP",31)+GETPIVOTDATA("PPEF 2011 ",#REF!,"No. Ramo",9,"IPP","K","PP",37)+GETPIVOTDATA("PPEF 2011 ",#REF!,"No. Ramo",9,"IPP","K","PP",39)</f>
        <v>#REF!</v>
      </c>
      <c r="P189" s="69" t="e">
        <f>+GETPIVOTDATA("Reducción ",#REF!,"No. Ramo",9,"IPP","K","PP",31)+GETPIVOTDATA("Reducción ",#REF!,"No. Ramo",9,"IPP","K","PP",37)+GETPIVOTDATA("Reducción ",#REF!,"No. Ramo",9,"IPP","K","PP",39)</f>
        <v>#REF!</v>
      </c>
      <c r="Q189" s="69" t="e">
        <f>+GETPIVOTDATA("Ampliación ",#REF!,"No. Ramo",9,"IPP","K","PP",31)+GETPIVOTDATA("Ampliación ",#REF!,"No. Ramo",9,"IPP","K","PP",37)+GETPIVOTDATA("Ampliación ",#REF!,"No. Ramo",9,"IPP","K","PP",39)</f>
        <v>#REF!</v>
      </c>
      <c r="R189" s="69" t="e">
        <f t="shared" si="79"/>
        <v>#REF!</v>
      </c>
      <c r="S189" s="69"/>
      <c r="T189" s="69"/>
      <c r="U189" s="69" t="e">
        <f t="shared" si="83"/>
        <v>#REF!</v>
      </c>
      <c r="V189" s="69" t="e">
        <f t="shared" si="83"/>
        <v>#REF!</v>
      </c>
      <c r="W189" s="69" t="e">
        <f t="shared" si="83"/>
        <v>#REF!</v>
      </c>
      <c r="X189" s="69" t="e">
        <f t="shared" si="83"/>
        <v>#REF!</v>
      </c>
      <c r="Y189"/>
      <c r="Z189"/>
      <c r="AA189"/>
      <c r="AB189"/>
      <c r="AC189"/>
      <c r="AD189"/>
      <c r="AE189"/>
      <c r="AF189"/>
      <c r="AG189"/>
      <c r="AH189" s="152"/>
      <c r="AI189" s="157"/>
      <c r="AJ189" s="158" t="s">
        <v>755</v>
      </c>
      <c r="AK189" s="158"/>
      <c r="AL189" s="277"/>
      <c r="AM189" s="277"/>
      <c r="AN189" s="277"/>
      <c r="AO189" s="278"/>
      <c r="AP189" s="146"/>
      <c r="AQ189" s="146"/>
      <c r="AR189" s="146"/>
      <c r="AS189" s="245"/>
      <c r="AT189" s="245"/>
      <c r="AU189" s="146"/>
      <c r="AX189" s="152"/>
      <c r="AY189" s="157"/>
      <c r="AZ189" s="158" t="s">
        <v>755</v>
      </c>
      <c r="BA189" s="158"/>
      <c r="BB189" s="275"/>
      <c r="BC189" s="275"/>
      <c r="BD189" s="275"/>
      <c r="BE189" s="276"/>
      <c r="BF189" s="187">
        <f>+AU189</f>
        <v>0</v>
      </c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95" customFormat="1">
      <c r="A190"/>
      <c r="B190" s="28" t="s">
        <v>754</v>
      </c>
      <c r="C190" s="29" t="s">
        <v>718</v>
      </c>
      <c r="D190" s="29"/>
      <c r="E190" s="29"/>
      <c r="F190" s="28"/>
      <c r="G190" s="28"/>
      <c r="H190" s="28"/>
      <c r="I190" s="65"/>
      <c r="J190" s="28"/>
      <c r="K190" s="66" t="e">
        <f t="shared" ref="K190:Q190" si="88">SUM(K191:K193)</f>
        <v>#REF!</v>
      </c>
      <c r="L190" s="66" t="e">
        <f t="shared" si="88"/>
        <v>#REF!</v>
      </c>
      <c r="M190" s="66" t="e">
        <f t="shared" si="88"/>
        <v>#REF!</v>
      </c>
      <c r="N190" s="66" t="e">
        <f t="shared" si="88"/>
        <v>#REF!</v>
      </c>
      <c r="O190" s="66" t="e">
        <f t="shared" si="88"/>
        <v>#REF!</v>
      </c>
      <c r="P190" s="66" t="e">
        <f t="shared" si="88"/>
        <v>#REF!</v>
      </c>
      <c r="Q190" s="66" t="e">
        <f t="shared" si="88"/>
        <v>#REF!</v>
      </c>
      <c r="R190" s="66" t="e">
        <f t="shared" si="79"/>
        <v>#REF!</v>
      </c>
      <c r="S190" s="66"/>
      <c r="T190" s="66"/>
      <c r="U190" s="66" t="e">
        <f>SUM(U191:U193)</f>
        <v>#REF!</v>
      </c>
      <c r="V190" s="66" t="e">
        <f>SUM(V191:V193)</f>
        <v>#REF!</v>
      </c>
      <c r="W190" s="66" t="e">
        <f>SUM(W191:W193)</f>
        <v>#REF!</v>
      </c>
      <c r="X190" s="66" t="e">
        <f>SUM(X191:X193)</f>
        <v>#REF!</v>
      </c>
      <c r="Y190"/>
      <c r="Z190"/>
      <c r="AA190"/>
      <c r="AB190"/>
      <c r="AC190"/>
      <c r="AD190"/>
      <c r="AE190"/>
      <c r="AF190"/>
      <c r="AG190"/>
      <c r="AH190" s="147" t="s">
        <v>754</v>
      </c>
      <c r="AI190" s="148" t="s">
        <v>718</v>
      </c>
      <c r="AJ190" s="160"/>
      <c r="AK190" s="160"/>
      <c r="AL190" s="149"/>
      <c r="AM190" s="277"/>
      <c r="AN190" s="277"/>
      <c r="AO190" s="278"/>
      <c r="AP190" s="146">
        <f>SUM(AP191:AP193)</f>
        <v>0</v>
      </c>
      <c r="AQ190" s="146">
        <f>SUM(AQ191:AQ193)</f>
        <v>0</v>
      </c>
      <c r="AR190" s="146">
        <f>SUM(AR191:AR193)</f>
        <v>0</v>
      </c>
      <c r="AS190" s="245"/>
      <c r="AT190" s="245"/>
      <c r="AU190" s="146">
        <f>SUM(AU191:AU193)</f>
        <v>0</v>
      </c>
      <c r="AX190" s="147" t="s">
        <v>754</v>
      </c>
      <c r="AY190" s="148" t="s">
        <v>718</v>
      </c>
      <c r="AZ190" s="160"/>
      <c r="BA190" s="160"/>
      <c r="BB190" s="149"/>
      <c r="BC190" s="275"/>
      <c r="BD190" s="275"/>
      <c r="BE190" s="276"/>
      <c r="BF190" s="187">
        <f>SUM(BF191:BF193)</f>
        <v>0</v>
      </c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95" customFormat="1">
      <c r="A191"/>
      <c r="B191" s="31"/>
      <c r="C191" s="30" t="s">
        <v>756</v>
      </c>
      <c r="D191" s="30"/>
      <c r="E191" s="30"/>
      <c r="F191" s="33" t="s">
        <v>809</v>
      </c>
      <c r="G191" s="33" t="s">
        <v>13</v>
      </c>
      <c r="H191" s="33"/>
      <c r="I191" s="67">
        <v>1</v>
      </c>
      <c r="J191" s="33"/>
      <c r="K191" s="69" t="e">
        <f>+GETPIVOTDATA("PPEF 2010 ",#REF!,"No. Ramo",16,"IPP","G","PP",10)*14.5780711978406%+GETPIVOTDATA("PPEF 2010 ",#REF!,"No. Ramo",16,"IPP","G","PP",12)*96.3026593757919%+GETPIVOTDATA("PPEF 2010 ",#REF!,"No. Ramo",16,"IPP","K","PP",28)+GETPIVOTDATA("PPEF 2010 ",#REF!,"No. Ramo",16,"IPP","K","PP",111)+GETPIVOTDATA("PPEF 2010 ",#REF!,"No. Ramo",16,"IPP","K","PP",132)+GETPIVOTDATA("PPEF 2010 ",#REF!,"No. Ramo",16,"IPP","K","PP",133)+GETPIVOTDATA("PPEF 2010 ",#REF!,"No. Ramo",16,"IPP","K","PP",135)+GETPIVOTDATA("PPEF 2010 ",#REF!,"No. Ramo",16,"IPP","R","PP",14,"UR","B05")+GETPIVOTDATA("PPEF 2010 ",#REF!,"No. Ramo",16,"IPP","S","PP",79)+GETPIVOTDATA("PPEF 2010 ",#REF!,"No. Ramo",16,"IPP","S","PP",217)+GETPIVOTDATA("PPEF 2010 ",#REF!,"No. Ramo",16,"IPP","U","PP",19)+GETPIVOTDATA("PPEF 2010 ",#REF!,"No. Ramo",16,"IPP","U","PP",28,"UR","B32")</f>
        <v>#REF!</v>
      </c>
      <c r="L191" s="69" t="e">
        <f>+GETPIVOTDATA("Ampliación Neta DIP ",#REF!,"No. Ramo",16,"IPP","G","PP",10)*14.5780711978406%+GETPIVOTDATA("Ampliación Neta DIP ",#REF!,"No. Ramo",16,"IPP","G","PP",12)*96.3026593757919%+GETPIVOTDATA("Ampliación Neta DIP ",#REF!,"No. Ramo",16,"IPP","K","PP",28)+GETPIVOTDATA("Ampliación Neta DIP ",#REF!,"No. Ramo",16,"IPP","K","PP",111)+GETPIVOTDATA("Ampliación Neta DIP ",#REF!,"No. Ramo",16,"IPP","K","PP",132)+GETPIVOTDATA("Ampliación Neta DIP ",#REF!,"No. Ramo",16,"IPP","K","PP",133)+GETPIVOTDATA("Ampliación Neta DIP ",#REF!,"No. Ramo",16,"IPP","K","PP",135)+GETPIVOTDATA("Ampliación Neta DIP ",#REF!,"No. Ramo",16,"IPP","R","PP",14,"UR","B05")+GETPIVOTDATA("Ampliación Neta DIP ",#REF!,"No. Ramo",16,"IPP","S","PP",79)+GETPIVOTDATA("Ampliación Neta DIP ",#REF!,"No. Ramo",16,"IPP","S","PP",217)+GETPIVOTDATA("Ampliación Neta DIP ",#REF!,"No. Ramo",16,"IPP","U","PP",19)+GETPIVOTDATA("Ampliación Neta DIP ",#REF!,"No. Ramo",16,"IPP","U","PP",28,"UR","B32")</f>
        <v>#REF!</v>
      </c>
      <c r="M191" s="69" t="e">
        <f>+GETPIVOTDATA("Recorte SHCP ",#REF!,"No. Ramo",16,"IPP","G","PP",10)*14.5780711978406%+GETPIVOTDATA("Recorte SHCP ",#REF!,"No. Ramo",16,"IPP","G","PP",12)*96.3026593757919%+GETPIVOTDATA("Recorte SHCP ",#REF!,"No. Ramo",16,"IPP","K","PP",28)+GETPIVOTDATA("Recorte SHCP ",#REF!,"No. Ramo",16,"IPP","K","PP",111)+GETPIVOTDATA("Recorte SHCP ",#REF!,"No. Ramo",16,"IPP","K","PP",132)+GETPIVOTDATA("Recorte SHCP ",#REF!,"No. Ramo",16,"IPP","K","PP",133)+GETPIVOTDATA("Recorte SHCP ",#REF!,"No. Ramo",16,"IPP","K","PP",135)+GETPIVOTDATA("Recorte SHCP ",#REF!,"No. Ramo",16,"IPP","R","PP",14,"UR","B05")+GETPIVOTDATA("Recorte SHCP ",#REF!,"No. Ramo",16,"IPP","S","PP",79)+GETPIVOTDATA("Recorte SHCP ",#REF!,"No. Ramo",16,"IPP","S","PP",217)+GETPIVOTDATA("Recorte SHCP ",#REF!,"No. Ramo",16,"IPP","U","PP",19)+GETPIVOTDATA("Recorte SHCP ",#REF!,"No. Ramo",16,"IPP","U","PP",28,"UR","B32")</f>
        <v>#REF!</v>
      </c>
      <c r="N191" s="69" t="e">
        <f>+GETPIVOTDATA("PEF 2010 ",#REF!,"No. Ramo",16,"IPP","G","PP",10)*14.5780711978406%+GETPIVOTDATA("PEF 2010 ",#REF!,"No. Ramo",16,"IPP","G","PP",12)*96.3026593757919%+GETPIVOTDATA("PEF 2010 ",#REF!,"No. Ramo",16,"IPP","K","PP",28)+GETPIVOTDATA("PEF 2010 ",#REF!,"No. Ramo",16,"IPP","K","PP",111)+GETPIVOTDATA("PEF 2010 ",#REF!,"No. Ramo",16,"IPP","K","PP",132)+GETPIVOTDATA("PEF 2010 ",#REF!,"No. Ramo",16,"IPP","K","PP",133)+GETPIVOTDATA("PEF 2010 ",#REF!,"No. Ramo",16,"IPP","K","PP",135)+GETPIVOTDATA("PEF 2010 ",#REF!,"No. Ramo",16,"IPP","R","PP",14,"UR","B05")+GETPIVOTDATA("PEF 2010 ",#REF!,"No. Ramo",16,"IPP","S","PP",79)+GETPIVOTDATA("PEF 2010 ",#REF!,"No. Ramo",16,"IPP","S","PP",217)+GETPIVOTDATA("PEF 2010 ",#REF!,"No. Ramo",16,"IPP","U","PP",19)+GETPIVOTDATA("PEF 2010 ",#REF!,"No. Ramo",16,"IPP","U","PP",28,"UR","B32")</f>
        <v>#REF!</v>
      </c>
      <c r="O191" s="69" t="e">
        <f>+GETPIVOTDATA("PPEF 2011 ",#REF!,"No. Ramo",16,"IPP","G","PP",10)*14.5780711978406%+GETPIVOTDATA("PPEF 2011 ",#REF!,"No. Ramo",16,"IPP","G","PP",12)*96.3026593757919%+GETPIVOTDATA("PPEF 2011 ",#REF!,"No. Ramo",16,"IPP","K","PP",28)+GETPIVOTDATA("PPEF 2011 ",#REF!,"No. Ramo",16,"IPP","K","PP",111)+GETPIVOTDATA("PPEF 2011 ",#REF!,"No. Ramo",16,"IPP","K","PP",132)+GETPIVOTDATA("PPEF 2011 ",#REF!,"No. Ramo",16,"IPP","K","PP",133)+GETPIVOTDATA("PPEF 2011 ",#REF!,"No. Ramo",16,"IPP","K","PP",135)+GETPIVOTDATA("PPEF 2011 ",#REF!,"No. Ramo",16,"IPP","R","PP",14,"UR","B05")+GETPIVOTDATA("PPEF 2011 ",#REF!,"No. Ramo",16,"IPP","S","PP",79)+GETPIVOTDATA("PPEF 2011 ",#REF!,"No. Ramo",16,"IPP","S","PP",217)+GETPIVOTDATA("PPEF 2011 ",#REF!,"No. Ramo",16,"IPP","U","PP",19)+GETPIVOTDATA("PPEF 2011 ",#REF!,"No. Ramo",16,"IPP","U","PP",28,"UR","B32")</f>
        <v>#REF!</v>
      </c>
      <c r="P191" s="69" t="e">
        <f>+GETPIVOTDATA("Reducción ",#REF!,"No. Ramo",16,"IPP","G","PP",10)*14.5780711978406%+GETPIVOTDATA("Reducción ",#REF!,"No. Ramo",16,"IPP","G","PP",12)*96.3026593757919%+GETPIVOTDATA("Reducción ",#REF!,"No. Ramo",16,"IPP","K","PP",28)+GETPIVOTDATA("Reducción ",#REF!,"No. Ramo",16,"IPP","K","PP",111)+GETPIVOTDATA("Reducción ",#REF!,"No. Ramo",16,"IPP","K","PP",132)+GETPIVOTDATA("Reducción ",#REF!,"No. Ramo",16,"IPP","K","PP",133)+GETPIVOTDATA("Reducción ",#REF!,"No. Ramo",16,"IPP","K","PP",135)+GETPIVOTDATA("Reducción ",#REF!,"No. Ramo",16,"IPP","R","PP",14,"UR","B05")+GETPIVOTDATA("Reducción ",#REF!,"No. Ramo",16,"IPP","S","PP",79)+GETPIVOTDATA("Reducción ",#REF!,"No. Ramo",16,"IPP","S","PP",217)+GETPIVOTDATA("Reducción ",#REF!,"No. Ramo",16,"IPP","U","PP",19)+GETPIVOTDATA("Reducción ",#REF!,"No. Ramo",16,"IPP","U","PP",28,"UR","B32")</f>
        <v>#REF!</v>
      </c>
      <c r="Q191" s="69" t="e">
        <f>+GETPIVOTDATA("Ampliación ",#REF!,"No. Ramo",16,"IPP","G","PP",10)*14.5780711978406%+GETPIVOTDATA("Ampliación ",#REF!,"No. Ramo",16,"IPP","G","PP",12)*96.3026593757919%+GETPIVOTDATA("Ampliación ",#REF!,"No. Ramo",16,"IPP","K","PP",28)+GETPIVOTDATA("Ampliación ",#REF!,"No. Ramo",16,"IPP","K","PP",111)+GETPIVOTDATA("Ampliación ",#REF!,"No. Ramo",16,"IPP","K","PP",132)+GETPIVOTDATA("Ampliación ",#REF!,"No. Ramo",16,"IPP","K","PP",133)+GETPIVOTDATA("Ampliación ",#REF!,"No. Ramo",16,"IPP","K","PP",135)+GETPIVOTDATA("Ampliación ",#REF!,"No. Ramo",16,"IPP","R","PP",14,"UR","B05")+GETPIVOTDATA("Ampliación ",#REF!,"No. Ramo",16,"IPP","S","PP",79)+GETPIVOTDATA("Ampliación ",#REF!,"No. Ramo",16,"IPP","S","PP",217)+GETPIVOTDATA("Ampliación ",#REF!,"No. Ramo",16,"IPP","U","PP",19)+GETPIVOTDATA("Ampliación ",#REF!,"No. Ramo",16,"IPP","U","PP",28,"UR","B32")</f>
        <v>#REF!</v>
      </c>
      <c r="R191" s="69" t="e">
        <f t="shared" si="79"/>
        <v>#REF!</v>
      </c>
      <c r="S191" s="69"/>
      <c r="T191" s="69"/>
      <c r="U191" s="69" t="e">
        <f t="shared" si="83"/>
        <v>#REF!</v>
      </c>
      <c r="V191" s="69" t="e">
        <f t="shared" si="83"/>
        <v>#REF!</v>
      </c>
      <c r="W191" s="69" t="e">
        <f t="shared" si="83"/>
        <v>#REF!</v>
      </c>
      <c r="X191" s="69" t="e">
        <f t="shared" si="83"/>
        <v>#REF!</v>
      </c>
      <c r="Y191"/>
      <c r="Z191"/>
      <c r="AA191"/>
      <c r="AB191"/>
      <c r="AC191"/>
      <c r="AD191"/>
      <c r="AE191"/>
      <c r="AF191"/>
      <c r="AG191"/>
      <c r="AH191" s="152"/>
      <c r="AI191" s="157" t="s">
        <v>756</v>
      </c>
      <c r="AJ191" s="158"/>
      <c r="AK191" s="158"/>
      <c r="AL191" s="277"/>
      <c r="AM191" s="277"/>
      <c r="AN191" s="277"/>
      <c r="AO191" s="278"/>
      <c r="AP191" s="146"/>
      <c r="AQ191" s="146"/>
      <c r="AR191" s="146"/>
      <c r="AS191" s="245"/>
      <c r="AT191" s="245"/>
      <c r="AU191" s="146"/>
      <c r="AX191" s="152"/>
      <c r="AY191" s="157" t="s">
        <v>756</v>
      </c>
      <c r="AZ191" s="158"/>
      <c r="BA191" s="158"/>
      <c r="BB191" s="275"/>
      <c r="BC191" s="275"/>
      <c r="BD191" s="275"/>
      <c r="BE191" s="276"/>
      <c r="BF191" s="187">
        <f>+AU191</f>
        <v>0</v>
      </c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95" customFormat="1">
      <c r="A192"/>
      <c r="B192" s="31"/>
      <c r="C192" s="30" t="s">
        <v>757</v>
      </c>
      <c r="D192" s="30"/>
      <c r="E192" s="30"/>
      <c r="F192" s="33"/>
      <c r="G192" s="33" t="s">
        <v>307</v>
      </c>
      <c r="H192" s="33"/>
      <c r="I192" s="67">
        <v>1</v>
      </c>
      <c r="J192" s="33"/>
      <c r="K192" s="69" t="e">
        <f>+GETPIVOTDATA("PPEF 2010 ",#REF!,"No. Ramo",16,"IPP","E","PP",9,"UR","RJE")+GETPIVOTDATA("PPEF 2010 ",#REF!,"No. Ramo",16,"IPP","K","PP",138,"UR","RJE")+GETPIVOTDATA("PPEF 2010 ",#REF!,"No. Ramo",16,"IPP","M","PP",1,"UR","RJE")+GETPIVOTDATA("PPEF 2010 ",#REF!,"No. Ramo",16,"IPP","O","PP",1,"UR","RJE")</f>
        <v>#REF!</v>
      </c>
      <c r="L192" s="69" t="e">
        <f>+GETPIVOTDATA("Ampliación Neta DIP ",#REF!,"No. Ramo",16,"IPP","E","PP",9,"UR","RJE")+GETPIVOTDATA("Ampliación Neta DIP ",#REF!,"No. Ramo",16,"IPP","K","PP",138,"UR","RJE")+GETPIVOTDATA("Ampliación Neta DIP ",#REF!,"No. Ramo",16,"IPP","M","PP",1,"UR","RJE")+GETPIVOTDATA("Ampliación Neta DIP ",#REF!,"No. Ramo",16,"IPP","O","PP",1,"UR","RJE")</f>
        <v>#REF!</v>
      </c>
      <c r="M192" s="69" t="e">
        <f>+GETPIVOTDATA("Recorte SHCP ",#REF!,"No. Ramo",16,"IPP","E","PP",9,"UR","RJE")+GETPIVOTDATA("Recorte SHCP ",#REF!,"No. Ramo",16,"IPP","K","PP",138,"UR","RJE")+GETPIVOTDATA("Recorte SHCP ",#REF!,"No. Ramo",16,"IPP","M","PP",1,"UR","RJE")+GETPIVOTDATA("Recorte SHCP ",#REF!,"No. Ramo",16,"IPP","O","PP",1,"UR","RJE")</f>
        <v>#REF!</v>
      </c>
      <c r="N192" s="69" t="e">
        <f>+GETPIVOTDATA("PEF 2010 ",#REF!,"No. Ramo",16,"IPP","E","PP",9,"UR","RJE")+GETPIVOTDATA("PEF 2010 ",#REF!,"No. Ramo",16,"IPP","K","PP",138,"UR","RJE")+GETPIVOTDATA("PEF 2010 ",#REF!,"No. Ramo",16,"IPP","M","PP",1,"UR","RJE")+GETPIVOTDATA("PEF 2010 ",#REF!,"No. Ramo",16,"IPP","O","PP",1,"UR","RJE")</f>
        <v>#REF!</v>
      </c>
      <c r="O192" s="69" t="e">
        <f>+GETPIVOTDATA("PPEF 2011 ",#REF!,"No. Ramo",16,"IPP","E","PP",9,"UR","RJE")+GETPIVOTDATA("PPEF 2011 ",#REF!,"No. Ramo",16,"IPP","K","PP",138,"UR","RJE")+GETPIVOTDATA("PPEF 2011 ",#REF!,"No. Ramo",16,"IPP","M","PP",1,"UR","RJE")+GETPIVOTDATA("PPEF 2011 ",#REF!,"No. Ramo",16,"IPP","O","PP",1,"UR","RJE")</f>
        <v>#REF!</v>
      </c>
      <c r="P192" s="69" t="e">
        <f>+GETPIVOTDATA("Reducción ",#REF!,"No. Ramo",16,"IPP","E","PP",9,"UR","RJE")+GETPIVOTDATA("Reducción ",#REF!,"No. Ramo",16,"IPP","K","PP",138,"UR","RJE")+GETPIVOTDATA("Reducción ",#REF!,"No. Ramo",16,"IPP","M","PP",1,"UR","RJE")+GETPIVOTDATA("Reducción ",#REF!,"No. Ramo",16,"IPP","O","PP",1,"UR","RJE")</f>
        <v>#REF!</v>
      </c>
      <c r="Q192" s="69" t="e">
        <f>+GETPIVOTDATA("Ampliación ",#REF!,"No. Ramo",16,"IPP","E","PP",9,"UR","RJE")+GETPIVOTDATA("Ampliación ",#REF!,"No. Ramo",16,"IPP","K","PP",138,"UR","RJE")+GETPIVOTDATA("Ampliación ",#REF!,"No. Ramo",16,"IPP","M","PP",1,"UR","RJE")+GETPIVOTDATA("Ampliación ",#REF!,"No. Ramo",16,"IPP","O","PP",1,"UR","RJE")</f>
        <v>#REF!</v>
      </c>
      <c r="R192" s="69" t="e">
        <f t="shared" si="79"/>
        <v>#REF!</v>
      </c>
      <c r="S192" s="69"/>
      <c r="T192" s="69"/>
      <c r="U192" s="69" t="e">
        <f t="shared" si="83"/>
        <v>#REF!</v>
      </c>
      <c r="V192" s="69" t="e">
        <f t="shared" si="83"/>
        <v>#REF!</v>
      </c>
      <c r="W192" s="69" t="e">
        <f t="shared" si="83"/>
        <v>#REF!</v>
      </c>
      <c r="X192" s="69" t="e">
        <f t="shared" si="83"/>
        <v>#REF!</v>
      </c>
      <c r="Y192"/>
      <c r="Z192"/>
      <c r="AA192"/>
      <c r="AB192"/>
      <c r="AC192"/>
      <c r="AD192"/>
      <c r="AE192"/>
      <c r="AF192"/>
      <c r="AG192"/>
      <c r="AH192" s="152"/>
      <c r="AI192" s="157" t="s">
        <v>757</v>
      </c>
      <c r="AJ192" s="158"/>
      <c r="AK192" s="158"/>
      <c r="AL192" s="277"/>
      <c r="AM192" s="277"/>
      <c r="AN192" s="277"/>
      <c r="AO192" s="278"/>
      <c r="AP192" s="146"/>
      <c r="AQ192" s="146"/>
      <c r="AR192" s="146"/>
      <c r="AS192" s="245"/>
      <c r="AT192" s="245"/>
      <c r="AU192" s="146"/>
      <c r="AX192" s="152"/>
      <c r="AY192" s="157" t="s">
        <v>757</v>
      </c>
      <c r="AZ192" s="158"/>
      <c r="BA192" s="158"/>
      <c r="BB192" s="275"/>
      <c r="BC192" s="275"/>
      <c r="BD192" s="275"/>
      <c r="BE192" s="276"/>
      <c r="BF192" s="187">
        <f>+AU192</f>
        <v>0</v>
      </c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95" customFormat="1">
      <c r="A193"/>
      <c r="B193" s="31"/>
      <c r="C193" s="30" t="s">
        <v>758</v>
      </c>
      <c r="D193" s="30"/>
      <c r="E193" s="30"/>
      <c r="F193" s="33" t="s">
        <v>809</v>
      </c>
      <c r="G193" s="33" t="s">
        <v>13</v>
      </c>
      <c r="H193" s="33"/>
      <c r="I193" s="67">
        <v>1</v>
      </c>
      <c r="J193" s="33"/>
      <c r="K193" s="69" t="e">
        <f>+GETPIVOTDATA("PPEF 2010 ",#REF!,"No. Ramo",16,"IPP","K","PP",129)+GETPIVOTDATA("PPEF 2010 ",#REF!,"No. Ramo",16,"IPP","K","PP",134)+GETPIVOTDATA("PPEF 2010 ",#REF!,"No. Ramo",16,"IPP","K","PP",137)+GETPIVOTDATA("PPEF 2010 ",#REF!,"No. Ramo",16,"IPP","S","PP",74)+GETPIVOTDATA("PPEF 2010 ",#REF!,"No. Ramo",16,"IPP","S","PP",75)</f>
        <v>#REF!</v>
      </c>
      <c r="L193" s="69" t="e">
        <f>+GETPIVOTDATA("Ampliación Neta DIP ",#REF!,"No. Ramo",16,"IPP","K","PP",129)+GETPIVOTDATA("Ampliación Neta DIP ",#REF!,"No. Ramo",16,"IPP","K","PP",134)+GETPIVOTDATA("Ampliación Neta DIP ",#REF!,"No. Ramo",16,"IPP","K","PP",137)+GETPIVOTDATA("Ampliación Neta DIP ",#REF!,"No. Ramo",16,"IPP","S","PP",74)+GETPIVOTDATA("Ampliación Neta DIP ",#REF!,"No. Ramo",16,"IPP","S","PP",75)</f>
        <v>#REF!</v>
      </c>
      <c r="M193" s="69" t="e">
        <f>+GETPIVOTDATA("Recorte SHCP ",#REF!,"No. Ramo",16,"IPP","K","PP",129)+GETPIVOTDATA("Recorte SHCP ",#REF!,"No. Ramo",16,"IPP","K","PP",134)+GETPIVOTDATA("Recorte SHCP ",#REF!,"No. Ramo",16,"IPP","K","PP",137)+GETPIVOTDATA("Recorte SHCP ",#REF!,"No. Ramo",16,"IPP","S","PP",74)+GETPIVOTDATA("Recorte SHCP ",#REF!,"No. Ramo",16,"IPP","S","PP",75)</f>
        <v>#REF!</v>
      </c>
      <c r="N193" s="69" t="e">
        <f>+GETPIVOTDATA("PEF 2010 ",#REF!,"No. Ramo",16,"IPP","K","PP",129)+GETPIVOTDATA("PEF 2010 ",#REF!,"No. Ramo",16,"IPP","K","PP",134)+GETPIVOTDATA("PEF 2010 ",#REF!,"No. Ramo",16,"IPP","K","PP",137)+GETPIVOTDATA("PEF 2010 ",#REF!,"No. Ramo",16,"IPP","S","PP",74)+GETPIVOTDATA("PEF 2010 ",#REF!,"No. Ramo",16,"IPP","S","PP",75)</f>
        <v>#REF!</v>
      </c>
      <c r="O193" s="69" t="e">
        <f>+GETPIVOTDATA("PPEF 2011 ",#REF!,"No. Ramo",16,"IPP","K","PP",129)+GETPIVOTDATA("PPEF 2011 ",#REF!,"No. Ramo",16,"IPP","K","PP",134)+GETPIVOTDATA("PPEF 2011 ",#REF!,"No. Ramo",16,"IPP","K","PP",137)+GETPIVOTDATA("PPEF 2011 ",#REF!,"No. Ramo",16,"IPP","S","PP",74)+GETPIVOTDATA("PPEF 2011 ",#REF!,"No. Ramo",16,"IPP","S","PP",75)</f>
        <v>#REF!</v>
      </c>
      <c r="P193" s="69" t="e">
        <f>+GETPIVOTDATA("Reducción ",#REF!,"No. Ramo",16,"IPP","K","PP",129)+GETPIVOTDATA("Reducción ",#REF!,"No. Ramo",16,"IPP","K","PP",134)+GETPIVOTDATA("Reducción ",#REF!,"No. Ramo",16,"IPP","K","PP",137)+GETPIVOTDATA("Reducción ",#REF!,"No. Ramo",16,"IPP","S","PP",74)+GETPIVOTDATA("Reducción ",#REF!,"No. Ramo",16,"IPP","S","PP",75)</f>
        <v>#REF!</v>
      </c>
      <c r="Q193" s="69" t="e">
        <f>+GETPIVOTDATA("Ampliación ",#REF!,"No. Ramo",16,"IPP","K","PP",129)+GETPIVOTDATA("Ampliación ",#REF!,"No. Ramo",16,"IPP","K","PP",134)+GETPIVOTDATA("Ampliación ",#REF!,"No. Ramo",16,"IPP","K","PP",137)+GETPIVOTDATA("Ampliación ",#REF!,"No. Ramo",16,"IPP","S","PP",74)+GETPIVOTDATA("Ampliación ",#REF!,"No. Ramo",16,"IPP","S","PP",75)</f>
        <v>#REF!</v>
      </c>
      <c r="R193" s="69" t="e">
        <f t="shared" si="79"/>
        <v>#REF!</v>
      </c>
      <c r="S193" s="69"/>
      <c r="T193" s="69"/>
      <c r="U193" s="69" t="e">
        <f t="shared" si="83"/>
        <v>#REF!</v>
      </c>
      <c r="V193" s="69" t="e">
        <f t="shared" si="83"/>
        <v>#REF!</v>
      </c>
      <c r="W193" s="69" t="e">
        <f t="shared" si="83"/>
        <v>#REF!</v>
      </c>
      <c r="X193" s="69" t="e">
        <f t="shared" si="83"/>
        <v>#REF!</v>
      </c>
      <c r="Y193"/>
      <c r="Z193"/>
      <c r="AA193"/>
      <c r="AB193"/>
      <c r="AC193"/>
      <c r="AD193"/>
      <c r="AE193"/>
      <c r="AF193"/>
      <c r="AG193"/>
      <c r="AH193" s="152"/>
      <c r="AI193" s="157" t="s">
        <v>758</v>
      </c>
      <c r="AJ193" s="158"/>
      <c r="AK193" s="158"/>
      <c r="AL193" s="277"/>
      <c r="AM193" s="277"/>
      <c r="AN193" s="277"/>
      <c r="AO193" s="278"/>
      <c r="AP193" s="146"/>
      <c r="AQ193" s="146"/>
      <c r="AR193" s="146"/>
      <c r="AS193" s="245"/>
      <c r="AT193" s="245"/>
      <c r="AU193" s="146"/>
      <c r="AX193" s="152"/>
      <c r="AY193" s="157" t="s">
        <v>758</v>
      </c>
      <c r="AZ193" s="158"/>
      <c r="BA193" s="158"/>
      <c r="BB193" s="275"/>
      <c r="BC193" s="275"/>
      <c r="BD193" s="275"/>
      <c r="BE193" s="276"/>
      <c r="BF193" s="187">
        <f>+AU193</f>
        <v>0</v>
      </c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95" customFormat="1">
      <c r="A194"/>
      <c r="B194" s="28" t="s">
        <v>754</v>
      </c>
      <c r="C194" s="29" t="s">
        <v>759</v>
      </c>
      <c r="D194" s="29"/>
      <c r="E194" s="29"/>
      <c r="F194" s="28"/>
      <c r="G194" s="28"/>
      <c r="H194" s="28"/>
      <c r="I194" s="65"/>
      <c r="J194" s="28"/>
      <c r="K194" s="66" t="e">
        <f t="shared" ref="K194:Q194" si="89">+K195</f>
        <v>#REF!</v>
      </c>
      <c r="L194" s="66" t="e">
        <f t="shared" si="89"/>
        <v>#REF!</v>
      </c>
      <c r="M194" s="66" t="e">
        <f t="shared" si="89"/>
        <v>#REF!</v>
      </c>
      <c r="N194" s="66" t="e">
        <f t="shared" si="89"/>
        <v>#REF!</v>
      </c>
      <c r="O194" s="66" t="e">
        <f t="shared" si="89"/>
        <v>#REF!</v>
      </c>
      <c r="P194" s="66" t="e">
        <f t="shared" si="89"/>
        <v>#REF!</v>
      </c>
      <c r="Q194" s="66" t="e">
        <f t="shared" si="89"/>
        <v>#REF!</v>
      </c>
      <c r="R194" s="66" t="e">
        <f t="shared" si="79"/>
        <v>#REF!</v>
      </c>
      <c r="S194" s="66"/>
      <c r="T194" s="66"/>
      <c r="U194" s="66" t="e">
        <f>+U195</f>
        <v>#REF!</v>
      </c>
      <c r="V194" s="66" t="e">
        <f>+V195</f>
        <v>#REF!</v>
      </c>
      <c r="W194" s="66" t="e">
        <f>+W195</f>
        <v>#REF!</v>
      </c>
      <c r="X194" s="66" t="e">
        <f>+X195</f>
        <v>#REF!</v>
      </c>
      <c r="Y194"/>
      <c r="Z194"/>
      <c r="AA194"/>
      <c r="AB194"/>
      <c r="AC194"/>
      <c r="AD194"/>
      <c r="AE194"/>
      <c r="AF194"/>
      <c r="AG194"/>
      <c r="AH194" s="147" t="s">
        <v>754</v>
      </c>
      <c r="AI194" s="148" t="s">
        <v>759</v>
      </c>
      <c r="AJ194" s="160"/>
      <c r="AK194" s="160"/>
      <c r="AL194" s="149"/>
      <c r="AM194" s="277"/>
      <c r="AN194" s="277"/>
      <c r="AO194" s="278"/>
      <c r="AP194" s="146">
        <f>AP195</f>
        <v>0</v>
      </c>
      <c r="AQ194" s="146">
        <f>AQ195</f>
        <v>0</v>
      </c>
      <c r="AR194" s="146">
        <f>AR195</f>
        <v>0</v>
      </c>
      <c r="AS194" s="245"/>
      <c r="AT194" s="245"/>
      <c r="AU194" s="146">
        <f>AU195</f>
        <v>0</v>
      </c>
      <c r="AX194" s="147" t="s">
        <v>754</v>
      </c>
      <c r="AY194" s="148" t="s">
        <v>759</v>
      </c>
      <c r="AZ194" s="160"/>
      <c r="BA194" s="160"/>
      <c r="BB194" s="149"/>
      <c r="BC194" s="275"/>
      <c r="BD194" s="275"/>
      <c r="BE194" s="276"/>
      <c r="BF194" s="187">
        <f>BF195</f>
        <v>0</v>
      </c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95" customFormat="1">
      <c r="A195"/>
      <c r="B195" s="31"/>
      <c r="C195" s="30" t="s">
        <v>760</v>
      </c>
      <c r="D195" s="30"/>
      <c r="E195" s="30"/>
      <c r="F195" s="33" t="s">
        <v>845</v>
      </c>
      <c r="G195" s="33">
        <v>411</v>
      </c>
      <c r="H195" s="33"/>
      <c r="I195" s="67">
        <v>1</v>
      </c>
      <c r="J195" s="33"/>
      <c r="K195" s="69" t="e">
        <f>+GETPIVOTDATA("PPEF 2010 ",#REF!,"No. Ramo",23,"IPP","U","PP",23,"UR",411)</f>
        <v>#REF!</v>
      </c>
      <c r="L195" s="69" t="e">
        <f>+GETPIVOTDATA("Ampliación Neta DIP ",#REF!,"No. Ramo",23,"IPP","U","PP",23,"UR",411)</f>
        <v>#REF!</v>
      </c>
      <c r="M195" s="69" t="e">
        <f>+GETPIVOTDATA("Recorte SHCP ",#REF!,"No. Ramo",23,"IPP","U","PP",23,"UR",411)</f>
        <v>#REF!</v>
      </c>
      <c r="N195" s="69" t="e">
        <f>+GETPIVOTDATA("PEF 2010 ",#REF!,"No. Ramo",23,"IPP","U","PP",23,"UR",411)</f>
        <v>#REF!</v>
      </c>
      <c r="O195" s="69" t="e">
        <f>+GETPIVOTDATA("PPEF 2011 ",#REF!,"No. Ramo",23,"IPP","U","PP",23,"UR",411)</f>
        <v>#REF!</v>
      </c>
      <c r="P195" s="69" t="e">
        <f>+GETPIVOTDATA("Reducción ",#REF!,"No. Ramo",23,"IPP","U","PP",23,"UR",411)</f>
        <v>#REF!</v>
      </c>
      <c r="Q195" s="69" t="e">
        <f>+GETPIVOTDATA("Ampliación ",#REF!,"No. Ramo",23,"IPP","U","PP",23,"UR",411)</f>
        <v>#REF!</v>
      </c>
      <c r="R195" s="69" t="e">
        <f t="shared" si="79"/>
        <v>#REF!</v>
      </c>
      <c r="S195" s="69"/>
      <c r="T195" s="69"/>
      <c r="U195" s="69" t="e">
        <f t="shared" si="83"/>
        <v>#REF!</v>
      </c>
      <c r="V195" s="69" t="e">
        <f t="shared" si="83"/>
        <v>#REF!</v>
      </c>
      <c r="W195" s="69" t="e">
        <f t="shared" si="83"/>
        <v>#REF!</v>
      </c>
      <c r="X195" s="69" t="e">
        <f t="shared" si="83"/>
        <v>#REF!</v>
      </c>
      <c r="Y195"/>
      <c r="Z195"/>
      <c r="AA195"/>
      <c r="AB195"/>
      <c r="AC195"/>
      <c r="AD195"/>
      <c r="AE195"/>
      <c r="AF195"/>
      <c r="AG195"/>
      <c r="AH195" s="152"/>
      <c r="AI195" s="157" t="s">
        <v>760</v>
      </c>
      <c r="AJ195" s="158"/>
      <c r="AK195" s="158"/>
      <c r="AL195" s="277"/>
      <c r="AM195" s="277"/>
      <c r="AN195" s="277"/>
      <c r="AO195" s="278"/>
      <c r="AP195" s="146">
        <v>0</v>
      </c>
      <c r="AQ195" s="146">
        <v>0</v>
      </c>
      <c r="AR195" s="146">
        <v>0</v>
      </c>
      <c r="AS195" s="245"/>
      <c r="AT195" s="245"/>
      <c r="AU195" s="146">
        <v>0</v>
      </c>
      <c r="AX195" s="152"/>
      <c r="AY195" s="157" t="s">
        <v>760</v>
      </c>
      <c r="AZ195" s="158"/>
      <c r="BA195" s="158"/>
      <c r="BB195" s="275"/>
      <c r="BC195" s="275"/>
      <c r="BD195" s="275"/>
      <c r="BE195" s="276"/>
      <c r="BF195" s="187">
        <v>0</v>
      </c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95" customFormat="1">
      <c r="A196"/>
      <c r="B196" s="28" t="s">
        <v>754</v>
      </c>
      <c r="C196" s="29" t="s">
        <v>761</v>
      </c>
      <c r="D196" s="29"/>
      <c r="E196" s="29"/>
      <c r="F196" s="28"/>
      <c r="G196" s="28"/>
      <c r="H196" s="28"/>
      <c r="I196" s="89"/>
      <c r="J196" s="28"/>
      <c r="K196" s="66" t="e">
        <f t="shared" ref="K196:Q196" si="90">+SUM(K197:K199)</f>
        <v>#REF!</v>
      </c>
      <c r="L196" s="66" t="e">
        <f t="shared" si="90"/>
        <v>#REF!</v>
      </c>
      <c r="M196" s="66" t="e">
        <f t="shared" si="90"/>
        <v>#REF!</v>
      </c>
      <c r="N196" s="66" t="e">
        <f t="shared" si="90"/>
        <v>#REF!</v>
      </c>
      <c r="O196" s="66" t="e">
        <f t="shared" si="90"/>
        <v>#REF!</v>
      </c>
      <c r="P196" s="66" t="e">
        <f t="shared" si="90"/>
        <v>#REF!</v>
      </c>
      <c r="Q196" s="66" t="e">
        <f t="shared" si="90"/>
        <v>#REF!</v>
      </c>
      <c r="R196" s="66" t="e">
        <f t="shared" si="79"/>
        <v>#REF!</v>
      </c>
      <c r="S196" s="66"/>
      <c r="T196" s="66"/>
      <c r="U196" s="66" t="e">
        <f>+SUM(U197:U199)</f>
        <v>#REF!</v>
      </c>
      <c r="V196" s="66" t="e">
        <f>+SUM(V197:V199)</f>
        <v>#REF!</v>
      </c>
      <c r="W196" s="66" t="e">
        <f>+SUM(W197:W199)</f>
        <v>#REF!</v>
      </c>
      <c r="X196" s="66" t="e">
        <f>+SUM(X197:X199)</f>
        <v>#REF!</v>
      </c>
      <c r="Y196"/>
      <c r="Z196"/>
      <c r="AA196"/>
      <c r="AB196"/>
      <c r="AC196"/>
      <c r="AD196"/>
      <c r="AE196"/>
      <c r="AF196"/>
      <c r="AG196"/>
      <c r="AH196" s="147" t="s">
        <v>754</v>
      </c>
      <c r="AI196" s="148" t="s">
        <v>761</v>
      </c>
      <c r="AJ196" s="160"/>
      <c r="AK196" s="160"/>
      <c r="AL196" s="149"/>
      <c r="AM196" s="277"/>
      <c r="AN196" s="277"/>
      <c r="AO196" s="278"/>
      <c r="AP196" s="146">
        <f>AP197+AP198+AP199</f>
        <v>0</v>
      </c>
      <c r="AQ196" s="146">
        <f>AQ197+AQ198+AQ199</f>
        <v>0</v>
      </c>
      <c r="AR196" s="146">
        <f>AR197+AR198+AR199</f>
        <v>0</v>
      </c>
      <c r="AS196" s="245"/>
      <c r="AT196" s="245"/>
      <c r="AU196" s="146">
        <f>AU197+AU198+AU199</f>
        <v>0</v>
      </c>
      <c r="AX196" s="147" t="s">
        <v>754</v>
      </c>
      <c r="AY196" s="148" t="s">
        <v>761</v>
      </c>
      <c r="AZ196" s="160"/>
      <c r="BA196" s="160"/>
      <c r="BB196" s="149"/>
      <c r="BC196" s="275"/>
      <c r="BD196" s="275"/>
      <c r="BE196" s="276"/>
      <c r="BF196" s="187">
        <f>BF197+BF198+BF199</f>
        <v>0</v>
      </c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95" customFormat="1">
      <c r="A197"/>
      <c r="B197" s="28"/>
      <c r="C197" s="29"/>
      <c r="D197" s="30" t="s">
        <v>846</v>
      </c>
      <c r="E197" s="29"/>
      <c r="F197" s="28"/>
      <c r="G197" s="28"/>
      <c r="H197" s="28"/>
      <c r="I197" s="67">
        <v>0.60112941558638422</v>
      </c>
      <c r="J197" s="67"/>
      <c r="K197" s="69" t="e">
        <f>+GETPIVOTDATA("PPEF 2010 ",#REF!,"No. Ramo",33,"IPP","I","PP",501,"UR",416)+GETPIVOTDATA("PPEF 2010 ",#REF!,"No. Ramo",33,"IPP","I","PP",502,"UR",416)+GETPIVOTDATA("PPEF 2010 ",#REF!,"No. Ramo",33,"IPP","I","PP",503,"UR",416)+GETPIVOTDATA("PPEF 2010 ",#REF!,"No. Ramo",33,"IPP","I","PP",504,"UR",416)+GETPIVOTDATA("PPEF 2010 ",#REF!,"No. Ramo",33,"IPP","I","PP",505,"UR",416)+GETPIVOTDATA("PPEF 2010 ",#REF!,"No. Ramo",33,"IPP","I","PP",506,"UR",416)+GETPIVOTDATA("PPEF 2010 ",#REF!,"No. Ramo",33,"IPP","I","PP",507,"UR",416)+GETPIVOTDATA("PPEF 2010 ",#REF!,"No. Ramo",33,"IPP","I","PP",508,"UR",416)+GETPIVOTDATA("PPEF 2010 ",#REF!,"No. Ramo",33,"IPP","I","PP",509,"UR",416)+GETPIVOTDATA("PPEF 2010 ",#REF!,"No. Ramo",33,"IPP","I","PP",510,"UR",416)+GETPIVOTDATA("PPEF 2010 ",#REF!,"No. Ramo",33,"IPP","I","PP",511,"UR",416)+GETPIVOTDATA("PPEF 2010 ",#REF!,"No. Ramo",33,"IPP","I","PP",512,"UR",416)+GETPIVOTDATA("PPEF 2010 ",#REF!,"No. Ramo",33,"IPP","I","PP",513,"UR",416)+GETPIVOTDATA("PPEF 2010 ",#REF!,"No. Ramo",33,"IPP","I","PP",514,"UR",416)+GETPIVOTDATA("PPEF 2010 ",#REF!,"No. Ramo",33,"IPP","I","PP",515,"UR",416)+GETPIVOTDATA("PPEF 2010 ",#REF!,"No. Ramo",33,"IPP","I","PP",516,"UR",416)+GETPIVOTDATA("PPEF 2010 ",#REF!,"No. Ramo",33,"IPP","I","PP",517,"UR",416)+GETPIVOTDATA("PPEF 2010 ",#REF!,"No. Ramo",33,"IPP","I","PP",518,"UR",416)+GETPIVOTDATA("PPEF 2010 ",#REF!,"No. Ramo",33,"IPP","I","PP",519,"UR",416)+GETPIVOTDATA("PPEF 2010 ",#REF!,"No. Ramo",33,"IPP","I","PP",520,"UR",416)+GETPIVOTDATA("PPEF 2010 ",#REF!,"No. Ramo",33,"IPP","I","PP",521,"UR",416)+GETPIVOTDATA("PPEF 2010 ",#REF!,"No. Ramo",33,"IPP","I","PP",522,"UR",416)+GETPIVOTDATA("PPEF 2010 ",#REF!,"No. Ramo",33,"IPP","I","PP",523,"UR",416)+GETPIVOTDATA("PPEF 2010 ",#REF!,"No. Ramo",33,"IPP","I","PP",524,"UR",416)+GETPIVOTDATA("PPEF 2010 ",#REF!,"No. Ramo",33,"IPP","I","PP",525,"UR",416)+GETPIVOTDATA("PPEF 2010 ",#REF!,"No. Ramo",33,"IPP","I","PP",526,"UR",416)+GETPIVOTDATA("PPEF 2010 ",#REF!,"No. Ramo",33,"IPP","I","PP",527,"UR",416)+GETPIVOTDATA("PPEF 2010 ",#REF!,"No. Ramo",33,"IPP","I","PP",528,"UR",416)+GETPIVOTDATA("PPEF 2010 ",#REF!,"No. Ramo",33,"IPP","I","PP",529,"UR",416)+GETPIVOTDATA("PPEF 2010 ",#REF!,"No. Ramo",33,"IPP","I","PP",530,"UR",416)+GETPIVOTDATA("PPEF 2010 ",#REF!,"No. Ramo",33,"IPP","I","PP",531,"UR",416)+GETPIVOTDATA("PPEF 2010 ",#REF!,"No. Ramo",33,"IPP","I","PP",532,"UR",416)</f>
        <v>#REF!</v>
      </c>
      <c r="L197" s="69" t="e">
        <f>+GETPIVOTDATA("Ampliación Neta DIP ",#REF!,"No. Ramo",33,"IPP","I","PP",501,"UR",416)+GETPIVOTDATA("Ampliación Neta DIP ",#REF!,"No. Ramo",33,"IPP","I","PP",502,"UR",416)+GETPIVOTDATA("Ampliación Neta DIP ",#REF!,"No. Ramo",33,"IPP","I","PP",503,"UR",416)+GETPIVOTDATA("Ampliación Neta DIP ",#REF!,"No. Ramo",33,"IPP","I","PP",504,"UR",416)+GETPIVOTDATA("Ampliación Neta DIP ",#REF!,"No. Ramo",33,"IPP","I","PP",505,"UR",416)+GETPIVOTDATA("Ampliación Neta DIP ",#REF!,"No. Ramo",33,"IPP","I","PP",506,"UR",416)+GETPIVOTDATA("Ampliación Neta DIP ",#REF!,"No. Ramo",33,"IPP","I","PP",507,"UR",416)+GETPIVOTDATA("Ampliación Neta DIP ",#REF!,"No. Ramo",33,"IPP","I","PP",508,"UR",416)+GETPIVOTDATA("Ampliación Neta DIP ",#REF!,"No. Ramo",33,"IPP","I","PP",509,"UR",416)+GETPIVOTDATA("Ampliación Neta DIP ",#REF!,"No. Ramo",33,"IPP","I","PP",510,"UR",416)+GETPIVOTDATA("Ampliación Neta DIP ",#REF!,"No. Ramo",33,"IPP","I","PP",511,"UR",416)+GETPIVOTDATA("Ampliación Neta DIP ",#REF!,"No. Ramo",33,"IPP","I","PP",512,"UR",416)+GETPIVOTDATA("Ampliación Neta DIP ",#REF!,"No. Ramo",33,"IPP","I","PP",513,"UR",416)+GETPIVOTDATA("Ampliación Neta DIP ",#REF!,"No. Ramo",33,"IPP","I","PP",514,"UR",416)+GETPIVOTDATA("Ampliación Neta DIP ",#REF!,"No. Ramo",33,"IPP","I","PP",515,"UR",416)+GETPIVOTDATA("Ampliación Neta DIP ",#REF!,"No. Ramo",33,"IPP","I","PP",516,"UR",416)+GETPIVOTDATA("Ampliación Neta DIP ",#REF!,"No. Ramo",33,"IPP","I","PP",517,"UR",416)+GETPIVOTDATA("Ampliación Neta DIP ",#REF!,"No. Ramo",33,"IPP","I","PP",518,"UR",416)+GETPIVOTDATA("Ampliación Neta DIP ",#REF!,"No. Ramo",33,"IPP","I","PP",519,"UR",416)+GETPIVOTDATA("Ampliación Neta DIP ",#REF!,"No. Ramo",33,"IPP","I","PP",520,"UR",416)+GETPIVOTDATA("Ampliación Neta DIP ",#REF!,"No. Ramo",33,"IPP","I","PP",521,"UR",416)+GETPIVOTDATA("Ampliación Neta DIP ",#REF!,"No. Ramo",33,"IPP","I","PP",522,"UR",416)+GETPIVOTDATA("Ampliación Neta DIP ",#REF!,"No. Ramo",33,"IPP","I","PP",523,"UR",416)+GETPIVOTDATA("Ampliación Neta DIP ",#REF!,"No. Ramo",33,"IPP","I","PP",524,"UR",416)+GETPIVOTDATA("Ampliación Neta DIP ",#REF!,"No. Ramo",33,"IPP","I","PP",525,"UR",416)+GETPIVOTDATA("Ampliación Neta DIP ",#REF!,"No. Ramo",33,"IPP","I","PP",526,"UR",416)+GETPIVOTDATA("Ampliación Neta DIP ",#REF!,"No. Ramo",33,"IPP","I","PP",527,"UR",416)+GETPIVOTDATA("Ampliación Neta DIP ",#REF!,"No. Ramo",33,"IPP","I","PP",528,"UR",416)+GETPIVOTDATA("Ampliación Neta DIP ",#REF!,"No. Ramo",33,"IPP","I","PP",529,"UR",416)+GETPIVOTDATA("Ampliación Neta DIP ",#REF!,"No. Ramo",33,"IPP","I","PP",530,"UR",416)+GETPIVOTDATA("Ampliación Neta DIP ",#REF!,"No. Ramo",33,"IPP","I","PP",531,"UR",416)+GETPIVOTDATA("Ampliación Neta DIP ",#REF!,"No. Ramo",33,"IPP","I","PP",532,"UR",416)</f>
        <v>#REF!</v>
      </c>
      <c r="M197" s="69" t="e">
        <f>+GETPIVOTDATA("Recorte SHCP ",#REF!,"No. Ramo",33,"IPP","I","PP",501,"UR",416)+GETPIVOTDATA("Recorte SHCP ",#REF!,"No. Ramo",33,"IPP","I","PP",502,"UR",416)+GETPIVOTDATA("Recorte SHCP ",#REF!,"No. Ramo",33,"IPP","I","PP",503,"UR",416)+GETPIVOTDATA("Recorte SHCP ",#REF!,"No. Ramo",33,"IPP","I","PP",504,"UR",416)+GETPIVOTDATA("Recorte SHCP ",#REF!,"No. Ramo",33,"IPP","I","PP",505,"UR",416)+GETPIVOTDATA("Recorte SHCP ",#REF!,"No. Ramo",33,"IPP","I","PP",506,"UR",416)+GETPIVOTDATA("Recorte SHCP ",#REF!,"No. Ramo",33,"IPP","I","PP",507,"UR",416)+GETPIVOTDATA("Recorte SHCP ",#REF!,"No. Ramo",33,"IPP","I","PP",508,"UR",416)+GETPIVOTDATA("Recorte SHCP ",#REF!,"No. Ramo",33,"IPP","I","PP",509,"UR",416)+GETPIVOTDATA("Recorte SHCP ",#REF!,"No. Ramo",33,"IPP","I","PP",510,"UR",416)+GETPIVOTDATA("Recorte SHCP ",#REF!,"No. Ramo",33,"IPP","I","PP",511,"UR",416)+GETPIVOTDATA("Recorte SHCP ",#REF!,"No. Ramo",33,"IPP","I","PP",512,"UR",416)+GETPIVOTDATA("Recorte SHCP ",#REF!,"No. Ramo",33,"IPP","I","PP",513,"UR",416)+GETPIVOTDATA("Recorte SHCP ",#REF!,"No. Ramo",33,"IPP","I","PP",514,"UR",416)+GETPIVOTDATA("Recorte SHCP ",#REF!,"No. Ramo",33,"IPP","I","PP",515,"UR",416)+GETPIVOTDATA("Recorte SHCP ",#REF!,"No. Ramo",33,"IPP","I","PP",516,"UR",416)+GETPIVOTDATA("Recorte SHCP ",#REF!,"No. Ramo",33,"IPP","I","PP",517,"UR",416)+GETPIVOTDATA("Recorte SHCP ",#REF!,"No. Ramo",33,"IPP","I","PP",518,"UR",416)+GETPIVOTDATA("Recorte SHCP ",#REF!,"No. Ramo",33,"IPP","I","PP",519,"UR",416)+GETPIVOTDATA("Recorte SHCP ",#REF!,"No. Ramo",33,"IPP","I","PP",520,"UR",416)+GETPIVOTDATA("Recorte SHCP ",#REF!,"No. Ramo",33,"IPP","I","PP",521,"UR",416)+GETPIVOTDATA("Recorte SHCP ",#REF!,"No. Ramo",33,"IPP","I","PP",522,"UR",416)+GETPIVOTDATA("Recorte SHCP ",#REF!,"No. Ramo",33,"IPP","I","PP",523,"UR",416)+GETPIVOTDATA("Recorte SHCP ",#REF!,"No. Ramo",33,"IPP","I","PP",524,"UR",416)+GETPIVOTDATA("Recorte SHCP ",#REF!,"No. Ramo",33,"IPP","I","PP",525,"UR",416)+GETPIVOTDATA("Recorte SHCP ",#REF!,"No. Ramo",33,"IPP","I","PP",526,"UR",416)+GETPIVOTDATA("Recorte SHCP ",#REF!,"No. Ramo",33,"IPP","I","PP",527,"UR",416)+GETPIVOTDATA("Recorte SHCP ",#REF!,"No. Ramo",33,"IPP","I","PP",528,"UR",416)+GETPIVOTDATA("Recorte SHCP ",#REF!,"No. Ramo",33,"IPP","I","PP",529,"UR",416)+GETPIVOTDATA("Recorte SHCP ",#REF!,"No. Ramo",33,"IPP","I","PP",530,"UR",416)+GETPIVOTDATA("Recorte SHCP ",#REF!,"No. Ramo",33,"IPP","I","PP",531,"UR",416)+GETPIVOTDATA("Recorte SHCP ",#REF!,"No. Ramo",33,"IPP","I","PP",532,"UR",416)</f>
        <v>#REF!</v>
      </c>
      <c r="N197" s="69" t="e">
        <f>+GETPIVOTDATA("PEF 2010 ",#REF!,"No. Ramo",33,"IPP","I","PP",501,"UR",416)+GETPIVOTDATA("PEF 2010 ",#REF!,"No. Ramo",33,"IPP","I","PP",502,"UR",416)+GETPIVOTDATA("PEF 2010 ",#REF!,"No. Ramo",33,"IPP","I","PP",503,"UR",416)+GETPIVOTDATA("PEF 2010 ",#REF!,"No. Ramo",33,"IPP","I","PP",504,"UR",416)+GETPIVOTDATA("PEF 2010 ",#REF!,"No. Ramo",33,"IPP","I","PP",505,"UR",416)+GETPIVOTDATA("PEF 2010 ",#REF!,"No. Ramo",33,"IPP","I","PP",506,"UR",416)+GETPIVOTDATA("PEF 2010 ",#REF!,"No. Ramo",33,"IPP","I","PP",507,"UR",416)+GETPIVOTDATA("PEF 2010 ",#REF!,"No. Ramo",33,"IPP","I","PP",508,"UR",416)+GETPIVOTDATA("PEF 2010 ",#REF!,"No. Ramo",33,"IPP","I","PP",509,"UR",416)+GETPIVOTDATA("PEF 2010 ",#REF!,"No. Ramo",33,"IPP","I","PP",510,"UR",416)+GETPIVOTDATA("PEF 2010 ",#REF!,"No. Ramo",33,"IPP","I","PP",511,"UR",416)+GETPIVOTDATA("PEF 2010 ",#REF!,"No. Ramo",33,"IPP","I","PP",512,"UR",416)+GETPIVOTDATA("PEF 2010 ",#REF!,"No. Ramo",33,"IPP","I","PP",513,"UR",416)+GETPIVOTDATA("PEF 2010 ",#REF!,"No. Ramo",33,"IPP","I","PP",514,"UR",416)+GETPIVOTDATA("PEF 2010 ",#REF!,"No. Ramo",33,"IPP","I","PP",515,"UR",416)+GETPIVOTDATA("PEF 2010 ",#REF!,"No. Ramo",33,"IPP","I","PP",516,"UR",416)+GETPIVOTDATA("PEF 2010 ",#REF!,"No. Ramo",33,"IPP","I","PP",517,"UR",416)+GETPIVOTDATA("PEF 2010 ",#REF!,"No. Ramo",33,"IPP","I","PP",518,"UR",416)+GETPIVOTDATA("PEF 2010 ",#REF!,"No. Ramo",33,"IPP","I","PP",519,"UR",416)+GETPIVOTDATA("PEF 2010 ",#REF!,"No. Ramo",33,"IPP","I","PP",520,"UR",416)+GETPIVOTDATA("PEF 2010 ",#REF!,"No. Ramo",33,"IPP","I","PP",521,"UR",416)+GETPIVOTDATA("PEF 2010 ",#REF!,"No. Ramo",33,"IPP","I","PP",522,"UR",416)+GETPIVOTDATA("PEF 2010 ",#REF!,"No. Ramo",33,"IPP","I","PP",523,"UR",416)+GETPIVOTDATA("PEF 2010 ",#REF!,"No. Ramo",33,"IPP","I","PP",524,"UR",416)+GETPIVOTDATA("PEF 2010 ",#REF!,"No. Ramo",33,"IPP","I","PP",525,"UR",416)+GETPIVOTDATA("PEF 2010 ",#REF!,"No. Ramo",33,"IPP","I","PP",526,"UR",416)+GETPIVOTDATA("PEF 2010 ",#REF!,"No. Ramo",33,"IPP","I","PP",527,"UR",416)+GETPIVOTDATA("PEF 2010 ",#REF!,"No. Ramo",33,"IPP","I","PP",528,"UR",416)+GETPIVOTDATA("PEF 2010 ",#REF!,"No. Ramo",33,"IPP","I","PP",529,"UR",416)+GETPIVOTDATA("PEF 2010 ",#REF!,"No. Ramo",33,"IPP","I","PP",530,"UR",416)+GETPIVOTDATA("PEF 2010 ",#REF!,"No. Ramo",33,"IPP","I","PP",531,"UR",416)+GETPIVOTDATA("PEF 2010 ",#REF!,"No. Ramo",33,"IPP","I","PP",532,"UR",416)</f>
        <v>#REF!</v>
      </c>
      <c r="O197" s="69" t="e">
        <f>+GETPIVOTDATA("PPEF 2011 ",#REF!,"No. Ramo",33,"IPP","I","PP",501,"UR",416)+GETPIVOTDATA("PPEF 2011 ",#REF!,"No. Ramo",33,"IPP","I","PP",502,"UR",416)+GETPIVOTDATA("PPEF 2011 ",#REF!,"No. Ramo",33,"IPP","I","PP",503,"UR",416)+GETPIVOTDATA("PPEF 2011 ",#REF!,"No. Ramo",33,"IPP","I","PP",504,"UR",416)+GETPIVOTDATA("PPEF 2011 ",#REF!,"No. Ramo",33,"IPP","I","PP",505,"UR",416)+GETPIVOTDATA("PPEF 2011 ",#REF!,"No. Ramo",33,"IPP","I","PP",506,"UR",416)+GETPIVOTDATA("PPEF 2011 ",#REF!,"No. Ramo",33,"IPP","I","PP",507,"UR",416)+GETPIVOTDATA("PPEF 2011 ",#REF!,"No. Ramo",33,"IPP","I","PP",508,"UR",416)+GETPIVOTDATA("PPEF 2011 ",#REF!,"No. Ramo",33,"IPP","I","PP",509,"UR",416)+GETPIVOTDATA("PPEF 2011 ",#REF!,"No. Ramo",33,"IPP","I","PP",510,"UR",416)+GETPIVOTDATA("PPEF 2011 ",#REF!,"No. Ramo",33,"IPP","I","PP",511,"UR",416)+GETPIVOTDATA("PPEF 2011 ",#REF!,"No. Ramo",33,"IPP","I","PP",512,"UR",416)+GETPIVOTDATA("PPEF 2011 ",#REF!,"No. Ramo",33,"IPP","I","PP",513,"UR",416)+GETPIVOTDATA("PPEF 2011 ",#REF!,"No. Ramo",33,"IPP","I","PP",514,"UR",416)+GETPIVOTDATA("PPEF 2011 ",#REF!,"No. Ramo",33,"IPP","I","PP",515,"UR",416)+GETPIVOTDATA("PPEF 2011 ",#REF!,"No. Ramo",33,"IPP","I","PP",516,"UR",416)+GETPIVOTDATA("PPEF 2011 ",#REF!,"No. Ramo",33,"IPP","I","PP",517,"UR",416)+GETPIVOTDATA("PPEF 2011 ",#REF!,"No. Ramo",33,"IPP","I","PP",518,"UR",416)+GETPIVOTDATA("PPEF 2011 ",#REF!,"No. Ramo",33,"IPP","I","PP",519,"UR",416)+GETPIVOTDATA("PPEF 2011 ",#REF!,"No. Ramo",33,"IPP","I","PP",520,"UR",416)+GETPIVOTDATA("PPEF 2011 ",#REF!,"No. Ramo",33,"IPP","I","PP",521,"UR",416)+GETPIVOTDATA("PPEF 2011 ",#REF!,"No. Ramo",33,"IPP","I","PP",522,"UR",416)+GETPIVOTDATA("PPEF 2011 ",#REF!,"No. Ramo",33,"IPP","I","PP",523,"UR",416)+GETPIVOTDATA("PPEF 2011 ",#REF!,"No. Ramo",33,"IPP","I","PP",524,"UR",416)+GETPIVOTDATA("PPEF 2011 ",#REF!,"No. Ramo",33,"IPP","I","PP",525,"UR",416)+GETPIVOTDATA("PPEF 2011 ",#REF!,"No. Ramo",33,"IPP","I","PP",526,"UR",416)+GETPIVOTDATA("PPEF 2011 ",#REF!,"No. Ramo",33,"IPP","I","PP",527,"UR",416)+GETPIVOTDATA("PPEF 2011 ",#REF!,"No. Ramo",33,"IPP","I","PP",528,"UR",416)+GETPIVOTDATA("PPEF 2011 ",#REF!,"No. Ramo",33,"IPP","I","PP",529,"UR",416)+GETPIVOTDATA("PPEF 2011 ",#REF!,"No. Ramo",33,"IPP","I","PP",530,"UR",416)+GETPIVOTDATA("PPEF 2011 ",#REF!,"No. Ramo",33,"IPP","I","PP",531,"UR",416)+GETPIVOTDATA("PPEF 2011 ",#REF!,"No. Ramo",33,"IPP","I","PP",532,"UR",416)</f>
        <v>#REF!</v>
      </c>
      <c r="P197" s="69" t="e">
        <f>+GETPIVOTDATA("Reducción ",#REF!,"No. Ramo",33,"IPP","I","PP",501,"UR",416)+GETPIVOTDATA("Reducción ",#REF!,"No. Ramo",33,"IPP","I","PP",502,"UR",416)+GETPIVOTDATA("Reducción ",#REF!,"No. Ramo",33,"IPP","I","PP",503,"UR",416)+GETPIVOTDATA("Reducción ",#REF!,"No. Ramo",33,"IPP","I","PP",504,"UR",416)+GETPIVOTDATA("Reducción ",#REF!,"No. Ramo",33,"IPP","I","PP",505,"UR",416)+GETPIVOTDATA("Reducción ",#REF!,"No. Ramo",33,"IPP","I","PP",506,"UR",416)+GETPIVOTDATA("Reducción ",#REF!,"No. Ramo",33,"IPP","I","PP",507,"UR",416)+GETPIVOTDATA("Reducción ",#REF!,"No. Ramo",33,"IPP","I","PP",508,"UR",416)+GETPIVOTDATA("Reducción ",#REF!,"No. Ramo",33,"IPP","I","PP",509,"UR",416)+GETPIVOTDATA("Reducción ",#REF!,"No. Ramo",33,"IPP","I","PP",510,"UR",416)+GETPIVOTDATA("Reducción ",#REF!,"No. Ramo",33,"IPP","I","PP",511,"UR",416)+GETPIVOTDATA("Reducción ",#REF!,"No. Ramo",33,"IPP","I","PP",512,"UR",416)+GETPIVOTDATA("Reducción ",#REF!,"No. Ramo",33,"IPP","I","PP",513,"UR",416)+GETPIVOTDATA("Reducción ",#REF!,"No. Ramo",33,"IPP","I","PP",514,"UR",416)+GETPIVOTDATA("Reducción ",#REF!,"No. Ramo",33,"IPP","I","PP",515,"UR",416)+GETPIVOTDATA("Reducción ",#REF!,"No. Ramo",33,"IPP","I","PP",516,"UR",416)+GETPIVOTDATA("Reducción ",#REF!,"No. Ramo",33,"IPP","I","PP",517,"UR",416)+GETPIVOTDATA("Reducción ",#REF!,"No. Ramo",33,"IPP","I","PP",518,"UR",416)+GETPIVOTDATA("Reducción ",#REF!,"No. Ramo",33,"IPP","I","PP",519,"UR",416)+GETPIVOTDATA("Reducción ",#REF!,"No. Ramo",33,"IPP","I","PP",520,"UR",416)+GETPIVOTDATA("Reducción ",#REF!,"No. Ramo",33,"IPP","I","PP",521,"UR",416)+GETPIVOTDATA("Reducción ",#REF!,"No. Ramo",33,"IPP","I","PP",522,"UR",416)+GETPIVOTDATA("Reducción ",#REF!,"No. Ramo",33,"IPP","I","PP",523,"UR",416)+GETPIVOTDATA("Reducción ",#REF!,"No. Ramo",33,"IPP","I","PP",524,"UR",416)+GETPIVOTDATA("Reducción ",#REF!,"No. Ramo",33,"IPP","I","PP",525,"UR",416)+GETPIVOTDATA("Reducción ",#REF!,"No. Ramo",33,"IPP","I","PP",526,"UR",416)+GETPIVOTDATA("Reducción ",#REF!,"No. Ramo",33,"IPP","I","PP",527,"UR",416)+GETPIVOTDATA("Reducción ",#REF!,"No. Ramo",33,"IPP","I","PP",528,"UR",416)+GETPIVOTDATA("Reducción ",#REF!,"No. Ramo",33,"IPP","I","PP",529,"UR",416)+GETPIVOTDATA("Reducción ",#REF!,"No. Ramo",33,"IPP","I","PP",530,"UR",416)+GETPIVOTDATA("Reducción ",#REF!,"No. Ramo",33,"IPP","I","PP",531,"UR",416)+GETPIVOTDATA("Reducción ",#REF!,"No. Ramo",33,"IPP","I","PP",532,"UR",416)</f>
        <v>#REF!</v>
      </c>
      <c r="Q197" s="69" t="e">
        <f>+GETPIVOTDATA("Ampliación ",#REF!,"No. Ramo",33,"IPP","I","PP",501,"UR",416)+GETPIVOTDATA("Ampliación ",#REF!,"No. Ramo",33,"IPP","I","PP",502,"UR",416)+GETPIVOTDATA("Ampliación ",#REF!,"No. Ramo",33,"IPP","I","PP",503,"UR",416)+GETPIVOTDATA("Ampliación ",#REF!,"No. Ramo",33,"IPP","I","PP",504,"UR",416)+GETPIVOTDATA("Ampliación ",#REF!,"No. Ramo",33,"IPP","I","PP",505,"UR",416)+GETPIVOTDATA("Ampliación ",#REF!,"No. Ramo",33,"IPP","I","PP",506,"UR",416)+GETPIVOTDATA("Ampliación ",#REF!,"No. Ramo",33,"IPP","I","PP",507,"UR",416)+GETPIVOTDATA("Ampliación ",#REF!,"No. Ramo",33,"IPP","I","PP",508,"UR",416)+GETPIVOTDATA("Ampliación ",#REF!,"No. Ramo",33,"IPP","I","PP",509,"UR",416)+GETPIVOTDATA("Ampliación ",#REF!,"No. Ramo",33,"IPP","I","PP",510,"UR",416)+GETPIVOTDATA("Ampliación ",#REF!,"No. Ramo",33,"IPP","I","PP",511,"UR",416)+GETPIVOTDATA("Ampliación ",#REF!,"No. Ramo",33,"IPP","I","PP",512,"UR",416)+GETPIVOTDATA("Ampliación ",#REF!,"No. Ramo",33,"IPP","I","PP",513,"UR",416)+GETPIVOTDATA("Ampliación ",#REF!,"No. Ramo",33,"IPP","I","PP",514,"UR",416)+GETPIVOTDATA("Ampliación ",#REF!,"No. Ramo",33,"IPP","I","PP",515,"UR",416)+GETPIVOTDATA("Ampliación ",#REF!,"No. Ramo",33,"IPP","I","PP",516,"UR",416)+GETPIVOTDATA("Ampliación ",#REF!,"No. Ramo",33,"IPP","I","PP",517,"UR",416)+GETPIVOTDATA("Ampliación ",#REF!,"No. Ramo",33,"IPP","I","PP",518,"UR",416)+GETPIVOTDATA("Ampliación ",#REF!,"No. Ramo",33,"IPP","I","PP",519,"UR",416)+GETPIVOTDATA("Ampliación ",#REF!,"No. Ramo",33,"IPP","I","PP",520,"UR",416)+GETPIVOTDATA("Ampliación ",#REF!,"No. Ramo",33,"IPP","I","PP",521,"UR",416)+GETPIVOTDATA("Ampliación ",#REF!,"No. Ramo",33,"IPP","I","PP",522,"UR",416)+GETPIVOTDATA("Ampliación ",#REF!,"No. Ramo",33,"IPP","I","PP",523,"UR",416)+GETPIVOTDATA("Ampliación ",#REF!,"No. Ramo",33,"IPP","I","PP",524,"UR",416)+GETPIVOTDATA("Ampliación ",#REF!,"No. Ramo",33,"IPP","I","PP",525,"UR",416)+GETPIVOTDATA("Ampliación ",#REF!,"No. Ramo",33,"IPP","I","PP",526,"UR",416)+GETPIVOTDATA("Ampliación ",#REF!,"No. Ramo",33,"IPP","I","PP",527,"UR",416)+GETPIVOTDATA("Ampliación ",#REF!,"No. Ramo",33,"IPP","I","PP",528,"UR",416)+GETPIVOTDATA("Ampliación ",#REF!,"No. Ramo",33,"IPP","I","PP",529,"UR",416)+GETPIVOTDATA("Ampliación ",#REF!,"No. Ramo",33,"IPP","I","PP",530,"UR",416)+GETPIVOTDATA("Ampliación ",#REF!,"No. Ramo",33,"IPP","I","PP",531,"UR",416)+GETPIVOTDATA("Ampliación ",#REF!,"No. Ramo",33,"IPP","I","PP",532,"UR",416)</f>
        <v>#REF!</v>
      </c>
      <c r="R197" s="69" t="e">
        <f t="shared" si="79"/>
        <v>#REF!</v>
      </c>
      <c r="S197" s="66"/>
      <c r="T197" s="66"/>
      <c r="U197" s="69" t="e">
        <f>+$I197*O197</f>
        <v>#REF!</v>
      </c>
      <c r="V197" s="69" t="e">
        <f t="shared" ref="V197:X199" si="91">+$I197*P197</f>
        <v>#REF!</v>
      </c>
      <c r="W197" s="69" t="e">
        <f t="shared" si="91"/>
        <v>#REF!</v>
      </c>
      <c r="X197" s="69" t="e">
        <f t="shared" si="91"/>
        <v>#REF!</v>
      </c>
      <c r="Y197"/>
      <c r="Z197"/>
      <c r="AA197"/>
      <c r="AB197"/>
      <c r="AC197"/>
      <c r="AD197"/>
      <c r="AE197"/>
      <c r="AF197"/>
      <c r="AG197"/>
      <c r="AH197" s="147"/>
      <c r="AI197" s="148"/>
      <c r="AJ197" s="158" t="s">
        <v>846</v>
      </c>
      <c r="AK197" s="160"/>
      <c r="AL197" s="149"/>
      <c r="AM197" s="277"/>
      <c r="AN197" s="277"/>
      <c r="AO197" s="278"/>
      <c r="AP197" s="146"/>
      <c r="AQ197" s="146"/>
      <c r="AR197" s="146"/>
      <c r="AS197" s="245"/>
      <c r="AT197" s="245"/>
      <c r="AU197" s="146"/>
      <c r="AX197" s="147"/>
      <c r="AY197" s="148"/>
      <c r="AZ197" s="158" t="s">
        <v>846</v>
      </c>
      <c r="BA197" s="160"/>
      <c r="BB197" s="149"/>
      <c r="BC197" s="275"/>
      <c r="BD197" s="275"/>
      <c r="BE197" s="276"/>
      <c r="BF197" s="187">
        <f>+AU197</f>
        <v>0</v>
      </c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95" customFormat="1">
      <c r="A198"/>
      <c r="B198" s="28"/>
      <c r="C198" s="29"/>
      <c r="D198" s="30" t="s">
        <v>847</v>
      </c>
      <c r="E198" s="29"/>
      <c r="F198" s="28"/>
      <c r="G198" s="28"/>
      <c r="H198" s="28"/>
      <c r="I198" s="67">
        <v>0.11500098003113327</v>
      </c>
      <c r="J198" s="67"/>
      <c r="K198" s="69" t="e">
        <f>+GETPIVOTDATA("PPEF 2010 ",#REF!,"No. Ramo",33,"IPP","I","PP",401,"UR",416)+GETPIVOTDATA("PPEF 2010 ",#REF!,"No. Ramo",33,"IPP","I","PP",402,"UR",416)+GETPIVOTDATA("PPEF 2010 ",#REF!,"No. Ramo",33,"IPP","I","PP",403,"UR",416)+GETPIVOTDATA("PPEF 2010 ",#REF!,"No. Ramo",33,"IPP","I","PP",404,"UR",416)+GETPIVOTDATA("PPEF 2010 ",#REF!,"No. Ramo",33,"IPP","I","PP",405,"UR",416)+GETPIVOTDATA("PPEF 2010 ",#REF!,"No. Ramo",33,"IPP","I","PP",406,"UR",416)+GETPIVOTDATA("PPEF 2010 ",#REF!,"No. Ramo",33,"IPP","I","PP",407,"UR",416)+GETPIVOTDATA("PPEF 2010 ",#REF!,"No. Ramo",33,"IPP","I","PP",408,"UR",416)+GETPIVOTDATA("PPEF 2010 ",#REF!,"No. Ramo",33,"IPP","I","PP",409,"UR",416)+GETPIVOTDATA("PPEF 2010 ",#REF!,"No. Ramo",33,"IPP","I","PP",410,"UR",416)+GETPIVOTDATA("PPEF 2010 ",#REF!,"No. Ramo",33,"IPP","I","PP",411,"UR",416)+GETPIVOTDATA("PPEF 2010 ",#REF!,"No. Ramo",33,"IPP","I","PP",412,"UR",416)+GETPIVOTDATA("PPEF 2010 ",#REF!,"No. Ramo",33,"IPP","I","PP",413,"UR",416)+GETPIVOTDATA("PPEF 2010 ",#REF!,"No. Ramo",33,"IPP","I","PP",414,"UR",416)+GETPIVOTDATA("PPEF 2010 ",#REF!,"No. Ramo",33,"IPP","I","PP",415,"UR",416)+GETPIVOTDATA("PPEF 2010 ",#REF!,"No. Ramo",33,"IPP","I","PP",416,"UR",416)+GETPIVOTDATA("PPEF 2010 ",#REF!,"No. Ramo",33,"IPP","I","PP",417,"UR",416)+GETPIVOTDATA("PPEF 2010 ",#REF!,"No. Ramo",33,"IPP","I","PP",418,"UR",416)+GETPIVOTDATA("PPEF 2010 ",#REF!,"No. Ramo",33,"IPP","I","PP",419,"UR",416)+GETPIVOTDATA("PPEF 2010 ",#REF!,"No. Ramo",33,"IPP","I","PP",420,"UR",416)+GETPIVOTDATA("PPEF 2010 ",#REF!,"No. Ramo",33,"IPP","I","PP",421,"UR",416)+GETPIVOTDATA("PPEF 2010 ",#REF!,"No. Ramo",33,"IPP","I","PP",422,"UR",416)+GETPIVOTDATA("PPEF 2010 ",#REF!,"No. Ramo",33,"IPP","I","PP",423,"UR",416)+GETPIVOTDATA("PPEF 2010 ",#REF!,"No. Ramo",33,"IPP","I","PP",424,"UR",416)+GETPIVOTDATA("PPEF 2010 ",#REF!,"No. Ramo",33,"IPP","I","PP",425,"UR",416)+GETPIVOTDATA("PPEF 2010 ",#REF!,"No. Ramo",33,"IPP","I","PP",426,"UR",416)+GETPIVOTDATA("PPEF 2010 ",#REF!,"No. Ramo",33,"IPP","I","PP",427,"UR",416)+GETPIVOTDATA("PPEF 2010 ",#REF!,"No. Ramo",33,"IPP","I","PP",428,"UR",416)+GETPIVOTDATA("PPEF 2010 ",#REF!,"No. Ramo",33,"IPP","I","PP",429,"UR",416)+GETPIVOTDATA("PPEF 2010 ",#REF!,"No. Ramo",33,"IPP","I","PP",430,"UR",416)+GETPIVOTDATA("PPEF 2010 ",#REF!,"No. Ramo",33,"IPP","I","PP",431,"UR",416)+GETPIVOTDATA("PPEF 2010 ",#REF!,"No. Ramo",33,"IPP","I","PP",432,"UR",416)</f>
        <v>#REF!</v>
      </c>
      <c r="L198" s="69" t="e">
        <f>+GETPIVOTDATA("Ampliación Neta DIP ",#REF!,"No. Ramo",33,"IPP","I","PP",401,"UR",416)+GETPIVOTDATA("Ampliación Neta DIP ",#REF!,"No. Ramo",33,"IPP","I","PP",402,"UR",416)+GETPIVOTDATA("Ampliación Neta DIP ",#REF!,"No. Ramo",33,"IPP","I","PP",403,"UR",416)+GETPIVOTDATA("Ampliación Neta DIP ",#REF!,"No. Ramo",33,"IPP","I","PP",404,"UR",416)+GETPIVOTDATA("Ampliación Neta DIP ",#REF!,"No. Ramo",33,"IPP","I","PP",405,"UR",416)+GETPIVOTDATA("Ampliación Neta DIP ",#REF!,"No. Ramo",33,"IPP","I","PP",406,"UR",416)+GETPIVOTDATA("Ampliación Neta DIP ",#REF!,"No. Ramo",33,"IPP","I","PP",407,"UR",416)+GETPIVOTDATA("Ampliación Neta DIP ",#REF!,"No. Ramo",33,"IPP","I","PP",408,"UR",416)+GETPIVOTDATA("Ampliación Neta DIP ",#REF!,"No. Ramo",33,"IPP","I","PP",409,"UR",416)+GETPIVOTDATA("Ampliación Neta DIP ",#REF!,"No. Ramo",33,"IPP","I","PP",410,"UR",416)+GETPIVOTDATA("Ampliación Neta DIP ",#REF!,"No. Ramo",33,"IPP","I","PP",411,"UR",416)+GETPIVOTDATA("Ampliación Neta DIP ",#REF!,"No. Ramo",33,"IPP","I","PP",412,"UR",416)+GETPIVOTDATA("Ampliación Neta DIP ",#REF!,"No. Ramo",33,"IPP","I","PP",413,"UR",416)+GETPIVOTDATA("Ampliación Neta DIP ",#REF!,"No. Ramo",33,"IPP","I","PP",414,"UR",416)+GETPIVOTDATA("Ampliación Neta DIP ",#REF!,"No. Ramo",33,"IPP","I","PP",415,"UR",416)+GETPIVOTDATA("Ampliación Neta DIP ",#REF!,"No. Ramo",33,"IPP","I","PP",416,"UR",416)+GETPIVOTDATA("Ampliación Neta DIP ",#REF!,"No. Ramo",33,"IPP","I","PP",417,"UR",416)+GETPIVOTDATA("Ampliación Neta DIP ",#REF!,"No. Ramo",33,"IPP","I","PP",418,"UR",416)+GETPIVOTDATA("Ampliación Neta DIP ",#REF!,"No. Ramo",33,"IPP","I","PP",419,"UR",416)+GETPIVOTDATA("Ampliación Neta DIP ",#REF!,"No. Ramo",33,"IPP","I","PP",420,"UR",416)+GETPIVOTDATA("Ampliación Neta DIP ",#REF!,"No. Ramo",33,"IPP","I","PP",421,"UR",416)+GETPIVOTDATA("Ampliación Neta DIP ",#REF!,"No. Ramo",33,"IPP","I","PP",422,"UR",416)+GETPIVOTDATA("Ampliación Neta DIP ",#REF!,"No. Ramo",33,"IPP","I","PP",423,"UR",416)+GETPIVOTDATA("Ampliación Neta DIP ",#REF!,"No. Ramo",33,"IPP","I","PP",424,"UR",416)+GETPIVOTDATA("Ampliación Neta DIP ",#REF!,"No. Ramo",33,"IPP","I","PP",425,"UR",416)+GETPIVOTDATA("Ampliación Neta DIP ",#REF!,"No. Ramo",33,"IPP","I","PP",426,"UR",416)+GETPIVOTDATA("Ampliación Neta DIP ",#REF!,"No. Ramo",33,"IPP","I","PP",427,"UR",416)+GETPIVOTDATA("Ampliación Neta DIP ",#REF!,"No. Ramo",33,"IPP","I","PP",428,"UR",416)+GETPIVOTDATA("Ampliación Neta DIP ",#REF!,"No. Ramo",33,"IPP","I","PP",429,"UR",416)+GETPIVOTDATA("Ampliación Neta DIP ",#REF!,"No. Ramo",33,"IPP","I","PP",430,"UR",416)+GETPIVOTDATA("Ampliación Neta DIP ",#REF!,"No. Ramo",33,"IPP","I","PP",431,"UR",416)+GETPIVOTDATA("Ampliación Neta DIP ",#REF!,"No. Ramo",33,"IPP","I","PP",432,"UR",416)</f>
        <v>#REF!</v>
      </c>
      <c r="M198" s="69" t="e">
        <f>+GETPIVOTDATA("Recorte SHCP ",#REF!,"No. Ramo",33,"IPP","I","PP",401,"UR",416)+GETPIVOTDATA("Recorte SHCP ",#REF!,"No. Ramo",33,"IPP","I","PP",402,"UR",416)+GETPIVOTDATA("Recorte SHCP ",#REF!,"No. Ramo",33,"IPP","I","PP",403,"UR",416)+GETPIVOTDATA("Recorte SHCP ",#REF!,"No. Ramo",33,"IPP","I","PP",404,"UR",416)+GETPIVOTDATA("Recorte SHCP ",#REF!,"No. Ramo",33,"IPP","I","PP",405,"UR",416)+GETPIVOTDATA("Recorte SHCP ",#REF!,"No. Ramo",33,"IPP","I","PP",406,"UR",416)+GETPIVOTDATA("Recorte SHCP ",#REF!,"No. Ramo",33,"IPP","I","PP",407,"UR",416)+GETPIVOTDATA("Recorte SHCP ",#REF!,"No. Ramo",33,"IPP","I","PP",408,"UR",416)+GETPIVOTDATA("Recorte SHCP ",#REF!,"No. Ramo",33,"IPP","I","PP",409,"UR",416)+GETPIVOTDATA("Recorte SHCP ",#REF!,"No. Ramo",33,"IPP","I","PP",410,"UR",416)+GETPIVOTDATA("Recorte SHCP ",#REF!,"No. Ramo",33,"IPP","I","PP",411,"UR",416)+GETPIVOTDATA("Recorte SHCP ",#REF!,"No. Ramo",33,"IPP","I","PP",412,"UR",416)+GETPIVOTDATA("Recorte SHCP ",#REF!,"No. Ramo",33,"IPP","I","PP",413,"UR",416)+GETPIVOTDATA("Recorte SHCP ",#REF!,"No. Ramo",33,"IPP","I","PP",414,"UR",416)+GETPIVOTDATA("Recorte SHCP ",#REF!,"No. Ramo",33,"IPP","I","PP",415,"UR",416)+GETPIVOTDATA("Recorte SHCP ",#REF!,"No. Ramo",33,"IPP","I","PP",416,"UR",416)+GETPIVOTDATA("Recorte SHCP ",#REF!,"No. Ramo",33,"IPP","I","PP",417,"UR",416)+GETPIVOTDATA("Recorte SHCP ",#REF!,"No. Ramo",33,"IPP","I","PP",418,"UR",416)+GETPIVOTDATA("Recorte SHCP ",#REF!,"No. Ramo",33,"IPP","I","PP",419,"UR",416)+GETPIVOTDATA("Recorte SHCP ",#REF!,"No. Ramo",33,"IPP","I","PP",420,"UR",416)+GETPIVOTDATA("Recorte SHCP ",#REF!,"No. Ramo",33,"IPP","I","PP",421,"UR",416)+GETPIVOTDATA("Recorte SHCP ",#REF!,"No. Ramo",33,"IPP","I","PP",422,"UR",416)+GETPIVOTDATA("Recorte SHCP ",#REF!,"No. Ramo",33,"IPP","I","PP",423,"UR",416)+GETPIVOTDATA("Recorte SHCP ",#REF!,"No. Ramo",33,"IPP","I","PP",424,"UR",416)+GETPIVOTDATA("Recorte SHCP ",#REF!,"No. Ramo",33,"IPP","I","PP",425,"UR",416)+GETPIVOTDATA("Recorte SHCP ",#REF!,"No. Ramo",33,"IPP","I","PP",426,"UR",416)+GETPIVOTDATA("Recorte SHCP ",#REF!,"No. Ramo",33,"IPP","I","PP",427,"UR",416)+GETPIVOTDATA("Recorte SHCP ",#REF!,"No. Ramo",33,"IPP","I","PP",428,"UR",416)+GETPIVOTDATA("Recorte SHCP ",#REF!,"No. Ramo",33,"IPP","I","PP",429,"UR",416)+GETPIVOTDATA("Recorte SHCP ",#REF!,"No. Ramo",33,"IPP","I","PP",430,"UR",416)+GETPIVOTDATA("Recorte SHCP ",#REF!,"No. Ramo",33,"IPP","I","PP",431,"UR",416)+GETPIVOTDATA("Recorte SHCP ",#REF!,"No. Ramo",33,"IPP","I","PP",432,"UR",416)</f>
        <v>#REF!</v>
      </c>
      <c r="N198" s="69" t="e">
        <f>+GETPIVOTDATA("PEF 2010 ",#REF!,"No. Ramo",33,"IPP","I","PP",401,"UR",416)+GETPIVOTDATA("PEF 2010 ",#REF!,"No. Ramo",33,"IPP","I","PP",402,"UR",416)+GETPIVOTDATA("PEF 2010 ",#REF!,"No. Ramo",33,"IPP","I","PP",403,"UR",416)+GETPIVOTDATA("PEF 2010 ",#REF!,"No. Ramo",33,"IPP","I","PP",404,"UR",416)+GETPIVOTDATA("PEF 2010 ",#REF!,"No. Ramo",33,"IPP","I","PP",405,"UR",416)+GETPIVOTDATA("PEF 2010 ",#REF!,"No. Ramo",33,"IPP","I","PP",406,"UR",416)+GETPIVOTDATA("PEF 2010 ",#REF!,"No. Ramo",33,"IPP","I","PP",407,"UR",416)+GETPIVOTDATA("PEF 2010 ",#REF!,"No. Ramo",33,"IPP","I","PP",408,"UR",416)+GETPIVOTDATA("PEF 2010 ",#REF!,"No. Ramo",33,"IPP","I","PP",409,"UR",416)+GETPIVOTDATA("PEF 2010 ",#REF!,"No. Ramo",33,"IPP","I","PP",410,"UR",416)+GETPIVOTDATA("PEF 2010 ",#REF!,"No. Ramo",33,"IPP","I","PP",411,"UR",416)+GETPIVOTDATA("PEF 2010 ",#REF!,"No. Ramo",33,"IPP","I","PP",412,"UR",416)+GETPIVOTDATA("PEF 2010 ",#REF!,"No. Ramo",33,"IPP","I","PP",413,"UR",416)+GETPIVOTDATA("PEF 2010 ",#REF!,"No. Ramo",33,"IPP","I","PP",414,"UR",416)+GETPIVOTDATA("PEF 2010 ",#REF!,"No. Ramo",33,"IPP","I","PP",415,"UR",416)+GETPIVOTDATA("PEF 2010 ",#REF!,"No. Ramo",33,"IPP","I","PP",416,"UR",416)+GETPIVOTDATA("PEF 2010 ",#REF!,"No. Ramo",33,"IPP","I","PP",417,"UR",416)+GETPIVOTDATA("PEF 2010 ",#REF!,"No. Ramo",33,"IPP","I","PP",418,"UR",416)+GETPIVOTDATA("PEF 2010 ",#REF!,"No. Ramo",33,"IPP","I","PP",419,"UR",416)+GETPIVOTDATA("PEF 2010 ",#REF!,"No. Ramo",33,"IPP","I","PP",420,"UR",416)+GETPIVOTDATA("PEF 2010 ",#REF!,"No. Ramo",33,"IPP","I","PP",421,"UR",416)+GETPIVOTDATA("PEF 2010 ",#REF!,"No. Ramo",33,"IPP","I","PP",422,"UR",416)+GETPIVOTDATA("PEF 2010 ",#REF!,"No. Ramo",33,"IPP","I","PP",423,"UR",416)+GETPIVOTDATA("PEF 2010 ",#REF!,"No. Ramo",33,"IPP","I","PP",424,"UR",416)+GETPIVOTDATA("PEF 2010 ",#REF!,"No. Ramo",33,"IPP","I","PP",425,"UR",416)+GETPIVOTDATA("PEF 2010 ",#REF!,"No. Ramo",33,"IPP","I","PP",426,"UR",416)+GETPIVOTDATA("PEF 2010 ",#REF!,"No. Ramo",33,"IPP","I","PP",427,"UR",416)+GETPIVOTDATA("PEF 2010 ",#REF!,"No. Ramo",33,"IPP","I","PP",428,"UR",416)+GETPIVOTDATA("PEF 2010 ",#REF!,"No. Ramo",33,"IPP","I","PP",429,"UR",416)+GETPIVOTDATA("PEF 2010 ",#REF!,"No. Ramo",33,"IPP","I","PP",430,"UR",416)+GETPIVOTDATA("PEF 2010 ",#REF!,"No. Ramo",33,"IPP","I","PP",431,"UR",416)+GETPIVOTDATA("PEF 2010 ",#REF!,"No. Ramo",33,"IPP","I","PP",432,"UR",416)</f>
        <v>#REF!</v>
      </c>
      <c r="O198" s="69" t="e">
        <f>+GETPIVOTDATA("PPEF 2011 ",#REF!,"No. Ramo",33,"IPP","I","PP",401,"UR",416)+GETPIVOTDATA("PPEF 2011 ",#REF!,"No. Ramo",33,"IPP","I","PP",402,"UR",416)+GETPIVOTDATA("PPEF 2011 ",#REF!,"No. Ramo",33,"IPP","I","PP",403,"UR",416)+GETPIVOTDATA("PPEF 2011 ",#REF!,"No. Ramo",33,"IPP","I","PP",404,"UR",416)+GETPIVOTDATA("PPEF 2011 ",#REF!,"No. Ramo",33,"IPP","I","PP",405,"UR",416)+GETPIVOTDATA("PPEF 2011 ",#REF!,"No. Ramo",33,"IPP","I","PP",406,"UR",416)+GETPIVOTDATA("PPEF 2011 ",#REF!,"No. Ramo",33,"IPP","I","PP",407,"UR",416)+GETPIVOTDATA("PPEF 2011 ",#REF!,"No. Ramo",33,"IPP","I","PP",408,"UR",416)+GETPIVOTDATA("PPEF 2011 ",#REF!,"No. Ramo",33,"IPP","I","PP",409,"UR",416)+GETPIVOTDATA("PPEF 2011 ",#REF!,"No. Ramo",33,"IPP","I","PP",410,"UR",416)+GETPIVOTDATA("PPEF 2011 ",#REF!,"No. Ramo",33,"IPP","I","PP",411,"UR",416)+GETPIVOTDATA("PPEF 2011 ",#REF!,"No. Ramo",33,"IPP","I","PP",412,"UR",416)+GETPIVOTDATA("PPEF 2011 ",#REF!,"No. Ramo",33,"IPP","I","PP",413,"UR",416)+GETPIVOTDATA("PPEF 2011 ",#REF!,"No. Ramo",33,"IPP","I","PP",414,"UR",416)+GETPIVOTDATA("PPEF 2011 ",#REF!,"No. Ramo",33,"IPP","I","PP",415,"UR",416)+GETPIVOTDATA("PPEF 2011 ",#REF!,"No. Ramo",33,"IPP","I","PP",416,"UR",416)+GETPIVOTDATA("PPEF 2011 ",#REF!,"No. Ramo",33,"IPP","I","PP",417,"UR",416)+GETPIVOTDATA("PPEF 2011 ",#REF!,"No. Ramo",33,"IPP","I","PP",418,"UR",416)+GETPIVOTDATA("PPEF 2011 ",#REF!,"No. Ramo",33,"IPP","I","PP",419,"UR",416)+GETPIVOTDATA("PPEF 2011 ",#REF!,"No. Ramo",33,"IPP","I","PP",420,"UR",416)+GETPIVOTDATA("PPEF 2011 ",#REF!,"No. Ramo",33,"IPP","I","PP",421,"UR",416)+GETPIVOTDATA("PPEF 2011 ",#REF!,"No. Ramo",33,"IPP","I","PP",422,"UR",416)+GETPIVOTDATA("PPEF 2011 ",#REF!,"No. Ramo",33,"IPP","I","PP",423,"UR",416)+GETPIVOTDATA("PPEF 2011 ",#REF!,"No. Ramo",33,"IPP","I","PP",424,"UR",416)+GETPIVOTDATA("PPEF 2011 ",#REF!,"No. Ramo",33,"IPP","I","PP",425,"UR",416)+GETPIVOTDATA("PPEF 2011 ",#REF!,"No. Ramo",33,"IPP","I","PP",426,"UR",416)+GETPIVOTDATA("PPEF 2011 ",#REF!,"No. Ramo",33,"IPP","I","PP",427,"UR",416)+GETPIVOTDATA("PPEF 2011 ",#REF!,"No. Ramo",33,"IPP","I","PP",428,"UR",416)+GETPIVOTDATA("PPEF 2011 ",#REF!,"No. Ramo",33,"IPP","I","PP",429,"UR",416)+GETPIVOTDATA("PPEF 2011 ",#REF!,"No. Ramo",33,"IPP","I","PP",430,"UR",416)+GETPIVOTDATA("PPEF 2011 ",#REF!,"No. Ramo",33,"IPP","I","PP",431,"UR",416)+GETPIVOTDATA("PPEF 2011 ",#REF!,"No. Ramo",33,"IPP","I","PP",432,"UR",416)</f>
        <v>#REF!</v>
      </c>
      <c r="P198" s="69" t="e">
        <f>+GETPIVOTDATA("Reducción ",#REF!,"No. Ramo",33,"IPP","I","PP",401,"UR",416)+GETPIVOTDATA("Reducción ",#REF!,"No. Ramo",33,"IPP","I","PP",402,"UR",416)+GETPIVOTDATA("Reducción ",#REF!,"No. Ramo",33,"IPP","I","PP",403,"UR",416)+GETPIVOTDATA("Reducción ",#REF!,"No. Ramo",33,"IPP","I","PP",404,"UR",416)+GETPIVOTDATA("Reducción ",#REF!,"No. Ramo",33,"IPP","I","PP",405,"UR",416)+GETPIVOTDATA("Reducción ",#REF!,"No. Ramo",33,"IPP","I","PP",406,"UR",416)+GETPIVOTDATA("Reducción ",#REF!,"No. Ramo",33,"IPP","I","PP",407,"UR",416)+GETPIVOTDATA("Reducción ",#REF!,"No. Ramo",33,"IPP","I","PP",408,"UR",416)+GETPIVOTDATA("Reducción ",#REF!,"No. Ramo",33,"IPP","I","PP",409,"UR",416)+GETPIVOTDATA("Reducción ",#REF!,"No. Ramo",33,"IPP","I","PP",410,"UR",416)+GETPIVOTDATA("Reducción ",#REF!,"No. Ramo",33,"IPP","I","PP",411,"UR",416)+GETPIVOTDATA("Reducción ",#REF!,"No. Ramo",33,"IPP","I","PP",412,"UR",416)+GETPIVOTDATA("Reducción ",#REF!,"No. Ramo",33,"IPP","I","PP",413,"UR",416)+GETPIVOTDATA("Reducción ",#REF!,"No. Ramo",33,"IPP","I","PP",414,"UR",416)+GETPIVOTDATA("Reducción ",#REF!,"No. Ramo",33,"IPP","I","PP",415,"UR",416)+GETPIVOTDATA("Reducción ",#REF!,"No. Ramo",33,"IPP","I","PP",416,"UR",416)+GETPIVOTDATA("Reducción ",#REF!,"No. Ramo",33,"IPP","I","PP",417,"UR",416)+GETPIVOTDATA("Reducción ",#REF!,"No. Ramo",33,"IPP","I","PP",418,"UR",416)+GETPIVOTDATA("Reducción ",#REF!,"No. Ramo",33,"IPP","I","PP",419,"UR",416)+GETPIVOTDATA("Reducción ",#REF!,"No. Ramo",33,"IPP","I","PP",420,"UR",416)+GETPIVOTDATA("Reducción ",#REF!,"No. Ramo",33,"IPP","I","PP",421,"UR",416)+GETPIVOTDATA("Reducción ",#REF!,"No. Ramo",33,"IPP","I","PP",422,"UR",416)+GETPIVOTDATA("Reducción ",#REF!,"No. Ramo",33,"IPP","I","PP",423,"UR",416)+GETPIVOTDATA("Reducción ",#REF!,"No. Ramo",33,"IPP","I","PP",424,"UR",416)+GETPIVOTDATA("Reducción ",#REF!,"No. Ramo",33,"IPP","I","PP",425,"UR",416)+GETPIVOTDATA("Reducción ",#REF!,"No. Ramo",33,"IPP","I","PP",426,"UR",416)+GETPIVOTDATA("Reducción ",#REF!,"No. Ramo",33,"IPP","I","PP",427,"UR",416)+GETPIVOTDATA("Reducción ",#REF!,"No. Ramo",33,"IPP","I","PP",428,"UR",416)+GETPIVOTDATA("Reducción ",#REF!,"No. Ramo",33,"IPP","I","PP",429,"UR",416)+GETPIVOTDATA("Reducción ",#REF!,"No. Ramo",33,"IPP","I","PP",430,"UR",416)+GETPIVOTDATA("Reducción ",#REF!,"No. Ramo",33,"IPP","I","PP",431,"UR",416)+GETPIVOTDATA("Reducción ",#REF!,"No. Ramo",33,"IPP","I","PP",432,"UR",416)</f>
        <v>#REF!</v>
      </c>
      <c r="Q198" s="69" t="e">
        <f>+GETPIVOTDATA("Ampliación ",#REF!,"No. Ramo",33,"IPP","I","PP",401,"UR",416)+GETPIVOTDATA("Ampliación ",#REF!,"No. Ramo",33,"IPP","I","PP",402,"UR",416)+GETPIVOTDATA("Ampliación ",#REF!,"No. Ramo",33,"IPP","I","PP",403,"UR",416)+GETPIVOTDATA("Ampliación ",#REF!,"No. Ramo",33,"IPP","I","PP",404,"UR",416)+GETPIVOTDATA("Ampliación ",#REF!,"No. Ramo",33,"IPP","I","PP",405,"UR",416)+GETPIVOTDATA("Ampliación ",#REF!,"No. Ramo",33,"IPP","I","PP",406,"UR",416)+GETPIVOTDATA("Ampliación ",#REF!,"No. Ramo",33,"IPP","I","PP",407,"UR",416)+GETPIVOTDATA("Ampliación ",#REF!,"No. Ramo",33,"IPP","I","PP",408,"UR",416)+GETPIVOTDATA("Ampliación ",#REF!,"No. Ramo",33,"IPP","I","PP",409,"UR",416)+GETPIVOTDATA("Ampliación ",#REF!,"No. Ramo",33,"IPP","I","PP",410,"UR",416)+GETPIVOTDATA("Ampliación ",#REF!,"No. Ramo",33,"IPP","I","PP",411,"UR",416)+GETPIVOTDATA("Ampliación ",#REF!,"No. Ramo",33,"IPP","I","PP",412,"UR",416)+GETPIVOTDATA("Ampliación ",#REF!,"No. Ramo",33,"IPP","I","PP",413,"UR",416)+GETPIVOTDATA("Ampliación ",#REF!,"No. Ramo",33,"IPP","I","PP",414,"UR",416)+GETPIVOTDATA("Ampliación ",#REF!,"No. Ramo",33,"IPP","I","PP",415,"UR",416)+GETPIVOTDATA("Ampliación ",#REF!,"No. Ramo",33,"IPP","I","PP",416,"UR",416)+GETPIVOTDATA("Ampliación ",#REF!,"No. Ramo",33,"IPP","I","PP",417,"UR",416)+GETPIVOTDATA("Ampliación ",#REF!,"No. Ramo",33,"IPP","I","PP",418,"UR",416)+GETPIVOTDATA("Ampliación ",#REF!,"No. Ramo",33,"IPP","I","PP",419,"UR",416)+GETPIVOTDATA("Ampliación ",#REF!,"No. Ramo",33,"IPP","I","PP",420,"UR",416)+GETPIVOTDATA("Ampliación ",#REF!,"No. Ramo",33,"IPP","I","PP",421,"UR",416)+GETPIVOTDATA("Ampliación ",#REF!,"No. Ramo",33,"IPP","I","PP",422,"UR",416)+GETPIVOTDATA("Ampliación ",#REF!,"No. Ramo",33,"IPP","I","PP",423,"UR",416)+GETPIVOTDATA("Ampliación ",#REF!,"No. Ramo",33,"IPP","I","PP",424,"UR",416)+GETPIVOTDATA("Ampliación ",#REF!,"No. Ramo",33,"IPP","I","PP",425,"UR",416)+GETPIVOTDATA("Ampliación ",#REF!,"No. Ramo",33,"IPP","I","PP",426,"UR",416)+GETPIVOTDATA("Ampliación ",#REF!,"No. Ramo",33,"IPP","I","PP",427,"UR",416)+GETPIVOTDATA("Ampliación ",#REF!,"No. Ramo",33,"IPP","I","PP",428,"UR",416)+GETPIVOTDATA("Ampliación ",#REF!,"No. Ramo",33,"IPP","I","PP",429,"UR",416)+GETPIVOTDATA("Ampliación ",#REF!,"No. Ramo",33,"IPP","I","PP",430,"UR",416)+GETPIVOTDATA("Ampliación ",#REF!,"No. Ramo",33,"IPP","I","PP",431,"UR",416)+GETPIVOTDATA("Ampliación ",#REF!,"No. Ramo",33,"IPP","I","PP",432,"UR",416)</f>
        <v>#REF!</v>
      </c>
      <c r="R198" s="69" t="e">
        <f t="shared" si="79"/>
        <v>#REF!</v>
      </c>
      <c r="S198" s="66"/>
      <c r="T198" s="66"/>
      <c r="U198" s="69" t="e">
        <f t="shared" si="83"/>
        <v>#REF!</v>
      </c>
      <c r="V198" s="69" t="e">
        <f t="shared" si="91"/>
        <v>#REF!</v>
      </c>
      <c r="W198" s="69" t="e">
        <f t="shared" si="91"/>
        <v>#REF!</v>
      </c>
      <c r="X198" s="69" t="e">
        <f t="shared" si="91"/>
        <v>#REF!</v>
      </c>
      <c r="Y198"/>
      <c r="Z198"/>
      <c r="AA198"/>
      <c r="AB198"/>
      <c r="AC198"/>
      <c r="AD198"/>
      <c r="AE198"/>
      <c r="AF198"/>
      <c r="AG198"/>
      <c r="AH198" s="147"/>
      <c r="AI198" s="148"/>
      <c r="AJ198" s="392" t="s">
        <v>847</v>
      </c>
      <c r="AK198" s="392"/>
      <c r="AL198" s="392"/>
      <c r="AM198" s="392"/>
      <c r="AN198" s="392"/>
      <c r="AO198" s="393"/>
      <c r="AP198" s="146"/>
      <c r="AQ198" s="146"/>
      <c r="AR198" s="146"/>
      <c r="AS198" s="245"/>
      <c r="AT198" s="245"/>
      <c r="AU198" s="146"/>
      <c r="AX198" s="147"/>
      <c r="AY198" s="148"/>
      <c r="AZ198" s="392" t="s">
        <v>847</v>
      </c>
      <c r="BA198" s="392"/>
      <c r="BB198" s="392"/>
      <c r="BC198" s="392"/>
      <c r="BD198" s="392"/>
      <c r="BE198" s="393"/>
      <c r="BF198" s="187">
        <f>+AU198</f>
        <v>0</v>
      </c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95" customFormat="1">
      <c r="A199"/>
      <c r="B199" s="28"/>
      <c r="C199" s="29"/>
      <c r="D199" s="30" t="s">
        <v>848</v>
      </c>
      <c r="E199" s="29"/>
      <c r="F199" s="28"/>
      <c r="G199" s="28"/>
      <c r="H199" s="28"/>
      <c r="I199" s="67">
        <v>0.57491105310553348</v>
      </c>
      <c r="J199" s="67"/>
      <c r="K199" s="69" t="e">
        <f>+GETPIVOTDATA("PPEF 2010 ",#REF!,"No. Ramo",33,"IPP","I","PP",301,"UR",416)+GETPIVOTDATA("PPEF 2010 ",#REF!,"No. Ramo",33,"IPP","I","PP",302,"UR",416)+GETPIVOTDATA("PPEF 2010 ",#REF!,"No. Ramo",33,"IPP","I","PP",303,"UR",416)+GETPIVOTDATA("PPEF 2010 ",#REF!,"No. Ramo",33,"IPP","I","PP",304,"UR",416)+GETPIVOTDATA("PPEF 2010 ",#REF!,"No. Ramo",33,"IPP","I","PP",305,"UR",416)+GETPIVOTDATA("PPEF 2010 ",#REF!,"No. Ramo",33,"IPP","I","PP",306,"UR",416)+GETPIVOTDATA("PPEF 2010 ",#REF!,"No. Ramo",33,"IPP","I","PP",307,"UR",416)+GETPIVOTDATA("PPEF 2010 ",#REF!,"No. Ramo",33,"IPP","I","PP",308,"UR",416)+GETPIVOTDATA("PPEF 2010 ",#REF!,"No. Ramo",33,"IPP","I","PP",310,"UR",416)+GETPIVOTDATA("PPEF 2010 ",#REF!,"No. Ramo",33,"IPP","I","PP",311,"UR",416)+GETPIVOTDATA("PPEF 2010 ",#REF!,"No. Ramo",33,"IPP","I","PP",312,"UR",416)+GETPIVOTDATA("PPEF 2010 ",#REF!,"No. Ramo",33,"IPP","I","PP",313,"UR",416)+GETPIVOTDATA("PPEF 2010 ",#REF!,"No. Ramo",33,"IPP","I","PP",314,"UR",416)+GETPIVOTDATA("PPEF 2010 ",#REF!,"No. Ramo",33,"IPP","I","PP",315,"UR",416)+GETPIVOTDATA("PPEF 2010 ",#REF!,"No. Ramo",33,"IPP","I","PP",316,"UR",416)+GETPIVOTDATA("PPEF 2010 ",#REF!,"No. Ramo",33,"IPP","I","PP",317,"UR",416)+GETPIVOTDATA("PPEF 2010 ",#REF!,"No. Ramo",33,"IPP","I","PP",318,"UR",416)+GETPIVOTDATA("PPEF 2010 ",#REF!,"No. Ramo",33,"IPP","I","PP",319,"UR",416)+GETPIVOTDATA("PPEF 2010 ",#REF!,"No. Ramo",33,"IPP","I","PP",320,"UR",416)+GETPIVOTDATA("PPEF 2010 ",#REF!,"No. Ramo",33,"IPP","I","PP",321,"UR",416)+GETPIVOTDATA("PPEF 2010 ",#REF!,"No. Ramo",33,"IPP","I","PP",322,"UR",416)+GETPIVOTDATA("PPEF 2010 ",#REF!,"No. Ramo",33,"IPP","I","PP",323,"UR",416)+GETPIVOTDATA("PPEF 2010 ",#REF!,"No. Ramo",33,"IPP","I","PP",324,"UR",416)+GETPIVOTDATA("PPEF 2010 ",#REF!,"No. Ramo",33,"IPP","I","PP",325,"UR",416)+GETPIVOTDATA("PPEF 2010 ",#REF!,"No. Ramo",33,"IPP","I","PP",326,"UR",416)+GETPIVOTDATA("PPEF 2010 ",#REF!,"No. Ramo",33,"IPP","I","PP",327,"UR",416)+GETPIVOTDATA("PPEF 2010 ",#REF!,"No. Ramo",33,"IPP","I","PP",328,"UR",416)+GETPIVOTDATA("PPEF 2010 ",#REF!,"No. Ramo",33,"IPP","I","PP",329,"UR",416)+GETPIVOTDATA("PPEF 2010 ",#REF!,"No. Ramo",33,"IPP","I","PP",330,"UR",416)+GETPIVOTDATA("PPEF 2010 ",#REF!,"No. Ramo",33,"IPP","I","PP",331,"UR",416)+GETPIVOTDATA("PPEF 2010 ",#REF!,"No. Ramo",33,"IPP","I","PP",332,"UR",416)</f>
        <v>#REF!</v>
      </c>
      <c r="L199" s="69" t="e">
        <f>+GETPIVOTDATA("Ampliación Neta DIP ",#REF!,"No. Ramo",33,"IPP","I","PP",301,"UR",416)+GETPIVOTDATA("Ampliación Neta DIP ",#REF!,"No. Ramo",33,"IPP","I","PP",302,"UR",416)+GETPIVOTDATA("Ampliación Neta DIP ",#REF!,"No. Ramo",33,"IPP","I","PP",303,"UR",416)+GETPIVOTDATA("Ampliación Neta DIP ",#REF!,"No. Ramo",33,"IPP","I","PP",304,"UR",416)+GETPIVOTDATA("Ampliación Neta DIP ",#REF!,"No. Ramo",33,"IPP","I","PP",305,"UR",416)+GETPIVOTDATA("Ampliación Neta DIP ",#REF!,"No. Ramo",33,"IPP","I","PP",306,"UR",416)+GETPIVOTDATA("Ampliación Neta DIP ",#REF!,"No. Ramo",33,"IPP","I","PP",307,"UR",416)+GETPIVOTDATA("Ampliación Neta DIP ",#REF!,"No. Ramo",33,"IPP","I","PP",308,"UR",416)+GETPIVOTDATA("Ampliación Neta DIP ",#REF!,"No. Ramo",33,"IPP","I","PP",310,"UR",416)+GETPIVOTDATA("Ampliación Neta DIP ",#REF!,"No. Ramo",33,"IPP","I","PP",311,"UR",416)+GETPIVOTDATA("Ampliación Neta DIP ",#REF!,"No. Ramo",33,"IPP","I","PP",312,"UR",416)+GETPIVOTDATA("Ampliación Neta DIP ",#REF!,"No. Ramo",33,"IPP","I","PP",313,"UR",416)+GETPIVOTDATA("Ampliación Neta DIP ",#REF!,"No. Ramo",33,"IPP","I","PP",314,"UR",416)+GETPIVOTDATA("Ampliación Neta DIP ",#REF!,"No. Ramo",33,"IPP","I","PP",315,"UR",416)+GETPIVOTDATA("Ampliación Neta DIP ",#REF!,"No. Ramo",33,"IPP","I","PP",316,"UR",416)+GETPIVOTDATA("Ampliación Neta DIP ",#REF!,"No. Ramo",33,"IPP","I","PP",317,"UR",416)+GETPIVOTDATA("Ampliación Neta DIP ",#REF!,"No. Ramo",33,"IPP","I","PP",318,"UR",416)+GETPIVOTDATA("Ampliación Neta DIP ",#REF!,"No. Ramo",33,"IPP","I","PP",319,"UR",416)+GETPIVOTDATA("Ampliación Neta DIP ",#REF!,"No. Ramo",33,"IPP","I","PP",320,"UR",416)+GETPIVOTDATA("Ampliación Neta DIP ",#REF!,"No. Ramo",33,"IPP","I","PP",321,"UR",416)+GETPIVOTDATA("Ampliación Neta DIP ",#REF!,"No. Ramo",33,"IPP","I","PP",322,"UR",416)+GETPIVOTDATA("Ampliación Neta DIP ",#REF!,"No. Ramo",33,"IPP","I","PP",323,"UR",416)+GETPIVOTDATA("Ampliación Neta DIP ",#REF!,"No. Ramo",33,"IPP","I","PP",324,"UR",416)+GETPIVOTDATA("Ampliación Neta DIP ",#REF!,"No. Ramo",33,"IPP","I","PP",325,"UR",416)+GETPIVOTDATA("Ampliación Neta DIP ",#REF!,"No. Ramo",33,"IPP","I","PP",326,"UR",416)+GETPIVOTDATA("Ampliación Neta DIP ",#REF!,"No. Ramo",33,"IPP","I","PP",327,"UR",416)+GETPIVOTDATA("Ampliación Neta DIP ",#REF!,"No. Ramo",33,"IPP","I","PP",328,"UR",416)+GETPIVOTDATA("Ampliación Neta DIP ",#REF!,"No. Ramo",33,"IPP","I","PP",329,"UR",416)+GETPIVOTDATA("Ampliación Neta DIP ",#REF!,"No. Ramo",33,"IPP","I","PP",330,"UR",416)+GETPIVOTDATA("Ampliación Neta DIP ",#REF!,"No. Ramo",33,"IPP","I","PP",331,"UR",416)+GETPIVOTDATA("Ampliación Neta DIP ",#REF!,"No. Ramo",33,"IPP","I","PP",332,"UR",416)</f>
        <v>#REF!</v>
      </c>
      <c r="M199" s="69" t="e">
        <f>+GETPIVOTDATA("Recorte SHCP ",#REF!,"No. Ramo",33,"IPP","I","PP",301,"UR",416)+GETPIVOTDATA("Recorte SHCP ",#REF!,"No. Ramo",33,"IPP","I","PP",302,"UR",416)+GETPIVOTDATA("Recorte SHCP ",#REF!,"No. Ramo",33,"IPP","I","PP",303,"UR",416)+GETPIVOTDATA("Recorte SHCP ",#REF!,"No. Ramo",33,"IPP","I","PP",304,"UR",416)+GETPIVOTDATA("Recorte SHCP ",#REF!,"No. Ramo",33,"IPP","I","PP",305,"UR",416)+GETPIVOTDATA("Recorte SHCP ",#REF!,"No. Ramo",33,"IPP","I","PP",306,"UR",416)+GETPIVOTDATA("Recorte SHCP ",#REF!,"No. Ramo",33,"IPP","I","PP",307,"UR",416)+GETPIVOTDATA("Recorte SHCP ",#REF!,"No. Ramo",33,"IPP","I","PP",308,"UR",416)+GETPIVOTDATA("Recorte SHCP ",#REF!,"No. Ramo",33,"IPP","I","PP",310,"UR",416)+GETPIVOTDATA("Recorte SHCP ",#REF!,"No. Ramo",33,"IPP","I","PP",311,"UR",416)+GETPIVOTDATA("Recorte SHCP ",#REF!,"No. Ramo",33,"IPP","I","PP",312,"UR",416)+GETPIVOTDATA("Recorte SHCP ",#REF!,"No. Ramo",33,"IPP","I","PP",313,"UR",416)+GETPIVOTDATA("Recorte SHCP ",#REF!,"No. Ramo",33,"IPP","I","PP",314,"UR",416)+GETPIVOTDATA("Recorte SHCP ",#REF!,"No. Ramo",33,"IPP","I","PP",315,"UR",416)+GETPIVOTDATA("Recorte SHCP ",#REF!,"No. Ramo",33,"IPP","I","PP",316,"UR",416)+GETPIVOTDATA("Recorte SHCP ",#REF!,"No. Ramo",33,"IPP","I","PP",317,"UR",416)+GETPIVOTDATA("Recorte SHCP ",#REF!,"No. Ramo",33,"IPP","I","PP",318,"UR",416)+GETPIVOTDATA("Recorte SHCP ",#REF!,"No. Ramo",33,"IPP","I","PP",319,"UR",416)+GETPIVOTDATA("Recorte SHCP ",#REF!,"No. Ramo",33,"IPP","I","PP",320,"UR",416)+GETPIVOTDATA("Recorte SHCP ",#REF!,"No. Ramo",33,"IPP","I","PP",321,"UR",416)+GETPIVOTDATA("Recorte SHCP ",#REF!,"No. Ramo",33,"IPP","I","PP",322,"UR",416)+GETPIVOTDATA("Recorte SHCP ",#REF!,"No. Ramo",33,"IPP","I","PP",323,"UR",416)+GETPIVOTDATA("Recorte SHCP ",#REF!,"No. Ramo",33,"IPP","I","PP",324,"UR",416)+GETPIVOTDATA("Recorte SHCP ",#REF!,"No. Ramo",33,"IPP","I","PP",325,"UR",416)+GETPIVOTDATA("Recorte SHCP ",#REF!,"No. Ramo",33,"IPP","I","PP",326,"UR",416)+GETPIVOTDATA("Recorte SHCP ",#REF!,"No. Ramo",33,"IPP","I","PP",327,"UR",416)+GETPIVOTDATA("Recorte SHCP ",#REF!,"No. Ramo",33,"IPP","I","PP",328,"UR",416)+GETPIVOTDATA("Recorte SHCP ",#REF!,"No. Ramo",33,"IPP","I","PP",329,"UR",416)+GETPIVOTDATA("Recorte SHCP ",#REF!,"No. Ramo",33,"IPP","I","PP",330,"UR",416)+GETPIVOTDATA("Recorte SHCP ",#REF!,"No. Ramo",33,"IPP","I","PP",331,"UR",416)+GETPIVOTDATA("Recorte SHCP ",#REF!,"No. Ramo",33,"IPP","I","PP",332,"UR",416)</f>
        <v>#REF!</v>
      </c>
      <c r="N199" s="69" t="e">
        <f>+GETPIVOTDATA("PEF 2010 ",#REF!,"No. Ramo",33,"IPP","I","PP",301,"UR",416)+GETPIVOTDATA("PEF 2010 ",#REF!,"No. Ramo",33,"IPP","I","PP",302,"UR",416)+GETPIVOTDATA("PEF 2010 ",#REF!,"No. Ramo",33,"IPP","I","PP",303,"UR",416)+GETPIVOTDATA("PEF 2010 ",#REF!,"No. Ramo",33,"IPP","I","PP",304,"UR",416)+GETPIVOTDATA("PEF 2010 ",#REF!,"No. Ramo",33,"IPP","I","PP",305,"UR",416)+GETPIVOTDATA("PEF 2010 ",#REF!,"No. Ramo",33,"IPP","I","PP",306,"UR",416)+GETPIVOTDATA("PEF 2010 ",#REF!,"No. Ramo",33,"IPP","I","PP",307,"UR",416)+GETPIVOTDATA("PEF 2010 ",#REF!,"No. Ramo",33,"IPP","I","PP",308,"UR",416)+GETPIVOTDATA("PEF 2010 ",#REF!,"No. Ramo",33,"IPP","I","PP",310,"UR",416)+GETPIVOTDATA("PEF 2010 ",#REF!,"No. Ramo",33,"IPP","I","PP",311,"UR",416)+GETPIVOTDATA("PEF 2010 ",#REF!,"No. Ramo",33,"IPP","I","PP",312,"UR",416)+GETPIVOTDATA("PEF 2010 ",#REF!,"No. Ramo",33,"IPP","I","PP",313,"UR",416)+GETPIVOTDATA("PEF 2010 ",#REF!,"No. Ramo",33,"IPP","I","PP",314,"UR",416)+GETPIVOTDATA("PEF 2010 ",#REF!,"No. Ramo",33,"IPP","I","PP",315,"UR",416)+GETPIVOTDATA("PEF 2010 ",#REF!,"No. Ramo",33,"IPP","I","PP",316,"UR",416)+GETPIVOTDATA("PEF 2010 ",#REF!,"No. Ramo",33,"IPP","I","PP",317,"UR",416)+GETPIVOTDATA("PEF 2010 ",#REF!,"No. Ramo",33,"IPP","I","PP",318,"UR",416)+GETPIVOTDATA("PEF 2010 ",#REF!,"No. Ramo",33,"IPP","I","PP",319,"UR",416)+GETPIVOTDATA("PEF 2010 ",#REF!,"No. Ramo",33,"IPP","I","PP",320,"UR",416)+GETPIVOTDATA("PEF 2010 ",#REF!,"No. Ramo",33,"IPP","I","PP",321,"UR",416)+GETPIVOTDATA("PEF 2010 ",#REF!,"No. Ramo",33,"IPP","I","PP",322,"UR",416)+GETPIVOTDATA("PEF 2010 ",#REF!,"No. Ramo",33,"IPP","I","PP",323,"UR",416)+GETPIVOTDATA("PEF 2010 ",#REF!,"No. Ramo",33,"IPP","I","PP",324,"UR",416)+GETPIVOTDATA("PEF 2010 ",#REF!,"No. Ramo",33,"IPP","I","PP",325,"UR",416)+GETPIVOTDATA("PEF 2010 ",#REF!,"No. Ramo",33,"IPP","I","PP",326,"UR",416)+GETPIVOTDATA("PEF 2010 ",#REF!,"No. Ramo",33,"IPP","I","PP",327,"UR",416)+GETPIVOTDATA("PEF 2010 ",#REF!,"No. Ramo",33,"IPP","I","PP",328,"UR",416)+GETPIVOTDATA("PEF 2010 ",#REF!,"No. Ramo",33,"IPP","I","PP",329,"UR",416)+GETPIVOTDATA("PEF 2010 ",#REF!,"No. Ramo",33,"IPP","I","PP",330,"UR",416)+GETPIVOTDATA("PEF 2010 ",#REF!,"No. Ramo",33,"IPP","I","PP",331,"UR",416)+GETPIVOTDATA("PEF 2010 ",#REF!,"No. Ramo",33,"IPP","I","PP",332,"UR",416)</f>
        <v>#REF!</v>
      </c>
      <c r="O199" s="69" t="e">
        <f>+GETPIVOTDATA("PPEF 2011 ",#REF!,"No. Ramo",33,"IPP","I","PP",301,"UR",416)+GETPIVOTDATA("PPEF 2011 ",#REF!,"No. Ramo",33,"IPP","I","PP",302,"UR",416)+GETPIVOTDATA("PPEF 2011 ",#REF!,"No. Ramo",33,"IPP","I","PP",303,"UR",416)+GETPIVOTDATA("PPEF 2011 ",#REF!,"No. Ramo",33,"IPP","I","PP",304,"UR",416)+GETPIVOTDATA("PPEF 2011 ",#REF!,"No. Ramo",33,"IPP","I","PP",305,"UR",416)+GETPIVOTDATA("PPEF 2011 ",#REF!,"No. Ramo",33,"IPP","I","PP",306,"UR",416)+GETPIVOTDATA("PPEF 2011 ",#REF!,"No. Ramo",33,"IPP","I","PP",307,"UR",416)+GETPIVOTDATA("PPEF 2011 ",#REF!,"No. Ramo",33,"IPP","I","PP",308,"UR",416)+GETPIVOTDATA("PPEF 2011 ",#REF!,"No. Ramo",33,"IPP","I","PP",310,"UR",416)+GETPIVOTDATA("PPEF 2011 ",#REF!,"No. Ramo",33,"IPP","I","PP",311,"UR",416)+GETPIVOTDATA("PPEF 2011 ",#REF!,"No. Ramo",33,"IPP","I","PP",312,"UR",416)+GETPIVOTDATA("PPEF 2011 ",#REF!,"No. Ramo",33,"IPP","I","PP",313,"UR",416)+GETPIVOTDATA("PPEF 2011 ",#REF!,"No. Ramo",33,"IPP","I","PP",314,"UR",416)+GETPIVOTDATA("PPEF 2011 ",#REF!,"No. Ramo",33,"IPP","I","PP",315,"UR",416)+GETPIVOTDATA("PPEF 2011 ",#REF!,"No. Ramo",33,"IPP","I","PP",316,"UR",416)+GETPIVOTDATA("PPEF 2011 ",#REF!,"No. Ramo",33,"IPP","I","PP",317,"UR",416)+GETPIVOTDATA("PPEF 2011 ",#REF!,"No. Ramo",33,"IPP","I","PP",318,"UR",416)+GETPIVOTDATA("PPEF 2011 ",#REF!,"No. Ramo",33,"IPP","I","PP",319,"UR",416)+GETPIVOTDATA("PPEF 2011 ",#REF!,"No. Ramo",33,"IPP","I","PP",320,"UR",416)+GETPIVOTDATA("PPEF 2011 ",#REF!,"No. Ramo",33,"IPP","I","PP",321,"UR",416)+GETPIVOTDATA("PPEF 2011 ",#REF!,"No. Ramo",33,"IPP","I","PP",322,"UR",416)+GETPIVOTDATA("PPEF 2011 ",#REF!,"No. Ramo",33,"IPP","I","PP",323,"UR",416)+GETPIVOTDATA("PPEF 2011 ",#REF!,"No. Ramo",33,"IPP","I","PP",324,"UR",416)+GETPIVOTDATA("PPEF 2011 ",#REF!,"No. Ramo",33,"IPP","I","PP",325,"UR",416)+GETPIVOTDATA("PPEF 2011 ",#REF!,"No. Ramo",33,"IPP","I","PP",326,"UR",416)+GETPIVOTDATA("PPEF 2011 ",#REF!,"No. Ramo",33,"IPP","I","PP",327,"UR",416)+GETPIVOTDATA("PPEF 2011 ",#REF!,"No. Ramo",33,"IPP","I","PP",328,"UR",416)+GETPIVOTDATA("PPEF 2011 ",#REF!,"No. Ramo",33,"IPP","I","PP",329,"UR",416)+GETPIVOTDATA("PPEF 2011 ",#REF!,"No. Ramo",33,"IPP","I","PP",330,"UR",416)+GETPIVOTDATA("PPEF 2011 ",#REF!,"No. Ramo",33,"IPP","I","PP",331,"UR",416)+GETPIVOTDATA("PPEF 2011 ",#REF!,"No. Ramo",33,"IPP","I","PP",332,"UR",416)</f>
        <v>#REF!</v>
      </c>
      <c r="P199" s="69" t="e">
        <f>+GETPIVOTDATA("Reducción ",#REF!,"No. Ramo",33,"IPP","I","PP",301,"UR",416)+GETPIVOTDATA("Reducción ",#REF!,"No. Ramo",33,"IPP","I","PP",302,"UR",416)+GETPIVOTDATA("Reducción ",#REF!,"No. Ramo",33,"IPP","I","PP",303,"UR",416)+GETPIVOTDATA("Reducción ",#REF!,"No. Ramo",33,"IPP","I","PP",304,"UR",416)+GETPIVOTDATA("Reducción ",#REF!,"No. Ramo",33,"IPP","I","PP",305,"UR",416)+GETPIVOTDATA("Reducción ",#REF!,"No. Ramo",33,"IPP","I","PP",306,"UR",416)+GETPIVOTDATA("Reducción ",#REF!,"No. Ramo",33,"IPP","I","PP",307,"UR",416)+GETPIVOTDATA("Reducción ",#REF!,"No. Ramo",33,"IPP","I","PP",308,"UR",416)+GETPIVOTDATA("Reducción ",#REF!,"No. Ramo",33,"IPP","I","PP",310,"UR",416)+GETPIVOTDATA("Reducción ",#REF!,"No. Ramo",33,"IPP","I","PP",311,"UR",416)+GETPIVOTDATA("Reducción ",#REF!,"No. Ramo",33,"IPP","I","PP",312,"UR",416)+GETPIVOTDATA("Reducción ",#REF!,"No. Ramo",33,"IPP","I","PP",313,"UR",416)+GETPIVOTDATA("Reducción ",#REF!,"No. Ramo",33,"IPP","I","PP",314,"UR",416)+GETPIVOTDATA("Reducción ",#REF!,"No. Ramo",33,"IPP","I","PP",315,"UR",416)+GETPIVOTDATA("Reducción ",#REF!,"No. Ramo",33,"IPP","I","PP",316,"UR",416)+GETPIVOTDATA("Reducción ",#REF!,"No. Ramo",33,"IPP","I","PP",317,"UR",416)+GETPIVOTDATA("Reducción ",#REF!,"No. Ramo",33,"IPP","I","PP",318,"UR",416)+GETPIVOTDATA("Reducción ",#REF!,"No. Ramo",33,"IPP","I","PP",319,"UR",416)+GETPIVOTDATA("Reducción ",#REF!,"No. Ramo",33,"IPP","I","PP",320,"UR",416)+GETPIVOTDATA("Reducción ",#REF!,"No. Ramo",33,"IPP","I","PP",321,"UR",416)+GETPIVOTDATA("Reducción ",#REF!,"No. Ramo",33,"IPP","I","PP",322,"UR",416)+GETPIVOTDATA("Reducción ",#REF!,"No. Ramo",33,"IPP","I","PP",323,"UR",416)+GETPIVOTDATA("Reducción ",#REF!,"No. Ramo",33,"IPP","I","PP",324,"UR",416)+GETPIVOTDATA("Reducción ",#REF!,"No. Ramo",33,"IPP","I","PP",325,"UR",416)+GETPIVOTDATA("Reducción ",#REF!,"No. Ramo",33,"IPP","I","PP",326,"UR",416)+GETPIVOTDATA("Reducción ",#REF!,"No. Ramo",33,"IPP","I","PP",327,"UR",416)+GETPIVOTDATA("Reducción ",#REF!,"No. Ramo",33,"IPP","I","PP",328,"UR",416)+GETPIVOTDATA("Reducción ",#REF!,"No. Ramo",33,"IPP","I","PP",329,"UR",416)+GETPIVOTDATA("Reducción ",#REF!,"No. Ramo",33,"IPP","I","PP",330,"UR",416)+GETPIVOTDATA("Reducción ",#REF!,"No. Ramo",33,"IPP","I","PP",331,"UR",416)+GETPIVOTDATA("Reducción ",#REF!,"No. Ramo",33,"IPP","I","PP",332,"UR",416)</f>
        <v>#REF!</v>
      </c>
      <c r="Q199" s="69" t="e">
        <f>+GETPIVOTDATA("Ampliación ",#REF!,"No. Ramo",33,"IPP","I","PP",301,"UR",416)+GETPIVOTDATA("Ampliación ",#REF!,"No. Ramo",33,"IPP","I","PP",302,"UR",416)+GETPIVOTDATA("Ampliación ",#REF!,"No. Ramo",33,"IPP","I","PP",303,"UR",416)+GETPIVOTDATA("Ampliación ",#REF!,"No. Ramo",33,"IPP","I","PP",304,"UR",416)+GETPIVOTDATA("Ampliación ",#REF!,"No. Ramo",33,"IPP","I","PP",305,"UR",416)+GETPIVOTDATA("Ampliación ",#REF!,"No. Ramo",33,"IPP","I","PP",306,"UR",416)+GETPIVOTDATA("Ampliación ",#REF!,"No. Ramo",33,"IPP","I","PP",307,"UR",416)+GETPIVOTDATA("Ampliación ",#REF!,"No. Ramo",33,"IPP","I","PP",308,"UR",416)+GETPIVOTDATA("Ampliación ",#REF!,"No. Ramo",33,"IPP","I","PP",310,"UR",416)+GETPIVOTDATA("Ampliación ",#REF!,"No. Ramo",33,"IPP","I","PP",311,"UR",416)+GETPIVOTDATA("Ampliación ",#REF!,"No. Ramo",33,"IPP","I","PP",312,"UR",416)+GETPIVOTDATA("Ampliación ",#REF!,"No. Ramo",33,"IPP","I","PP",313,"UR",416)+GETPIVOTDATA("Ampliación ",#REF!,"No. Ramo",33,"IPP","I","PP",314,"UR",416)+GETPIVOTDATA("Ampliación ",#REF!,"No. Ramo",33,"IPP","I","PP",315,"UR",416)+GETPIVOTDATA("Ampliación ",#REF!,"No. Ramo",33,"IPP","I","PP",316,"UR",416)+GETPIVOTDATA("Ampliación ",#REF!,"No. Ramo",33,"IPP","I","PP",317,"UR",416)+GETPIVOTDATA("Ampliación ",#REF!,"No. Ramo",33,"IPP","I","PP",318,"UR",416)+GETPIVOTDATA("Ampliación ",#REF!,"No. Ramo",33,"IPP","I","PP",319,"UR",416)+GETPIVOTDATA("Ampliación ",#REF!,"No. Ramo",33,"IPP","I","PP",320,"UR",416)+GETPIVOTDATA("Ampliación ",#REF!,"No. Ramo",33,"IPP","I","PP",321,"UR",416)+GETPIVOTDATA("Ampliación ",#REF!,"No. Ramo",33,"IPP","I","PP",322,"UR",416)+GETPIVOTDATA("Ampliación ",#REF!,"No. Ramo",33,"IPP","I","PP",323,"UR",416)+GETPIVOTDATA("Ampliación ",#REF!,"No. Ramo",33,"IPP","I","PP",324,"UR",416)+GETPIVOTDATA("Ampliación ",#REF!,"No. Ramo",33,"IPP","I","PP",325,"UR",416)+GETPIVOTDATA("Ampliación ",#REF!,"No. Ramo",33,"IPP","I","PP",326,"UR",416)+GETPIVOTDATA("Ampliación ",#REF!,"No. Ramo",33,"IPP","I","PP",327,"UR",416)+GETPIVOTDATA("Ampliación ",#REF!,"No. Ramo",33,"IPP","I","PP",328,"UR",416)+GETPIVOTDATA("Ampliación ",#REF!,"No. Ramo",33,"IPP","I","PP",329,"UR",416)+GETPIVOTDATA("Ampliación ",#REF!,"No. Ramo",33,"IPP","I","PP",330,"UR",416)+GETPIVOTDATA("Ampliación ",#REF!,"No. Ramo",33,"IPP","I","PP",331,"UR",416)+GETPIVOTDATA("Ampliación ",#REF!,"No. Ramo",33,"IPP","I","PP",332,"UR",416)</f>
        <v>#REF!</v>
      </c>
      <c r="R199" s="69" t="e">
        <f t="shared" si="79"/>
        <v>#REF!</v>
      </c>
      <c r="S199" s="66"/>
      <c r="T199" s="66"/>
      <c r="U199" s="69" t="e">
        <f t="shared" si="83"/>
        <v>#REF!</v>
      </c>
      <c r="V199" s="69" t="e">
        <f t="shared" si="91"/>
        <v>#REF!</v>
      </c>
      <c r="W199" s="69" t="e">
        <f t="shared" si="91"/>
        <v>#REF!</v>
      </c>
      <c r="X199" s="69" t="e">
        <f t="shared" si="91"/>
        <v>#REF!</v>
      </c>
      <c r="Y199"/>
      <c r="Z199"/>
      <c r="AA199"/>
      <c r="AB199"/>
      <c r="AC199"/>
      <c r="AD199"/>
      <c r="AE199"/>
      <c r="AF199"/>
      <c r="AG199"/>
      <c r="AH199" s="147"/>
      <c r="AI199" s="148"/>
      <c r="AJ199" s="158" t="s">
        <v>848</v>
      </c>
      <c r="AK199" s="160"/>
      <c r="AL199" s="149"/>
      <c r="AM199" s="277"/>
      <c r="AN199" s="277"/>
      <c r="AO199" s="278"/>
      <c r="AP199" s="146"/>
      <c r="AQ199" s="146"/>
      <c r="AR199" s="146"/>
      <c r="AS199" s="245"/>
      <c r="AT199" s="245"/>
      <c r="AU199" s="146"/>
      <c r="AX199" s="147"/>
      <c r="AY199" s="148"/>
      <c r="AZ199" s="158" t="s">
        <v>848</v>
      </c>
      <c r="BA199" s="160"/>
      <c r="BB199" s="149"/>
      <c r="BC199" s="275"/>
      <c r="BD199" s="275"/>
      <c r="BE199" s="276"/>
      <c r="BF199" s="187">
        <f>+AU199</f>
        <v>0</v>
      </c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95" customFormat="1">
      <c r="A200"/>
      <c r="B200" s="26"/>
      <c r="C200" s="27" t="s">
        <v>762</v>
      </c>
      <c r="D200" s="27"/>
      <c r="E200" s="27"/>
      <c r="F200" s="61"/>
      <c r="G200" s="61"/>
      <c r="H200" s="61"/>
      <c r="I200" s="62"/>
      <c r="J200" s="61"/>
      <c r="K200" s="71" t="e">
        <f t="shared" ref="K200:Q200" si="92">+K201+K206</f>
        <v>#REF!</v>
      </c>
      <c r="L200" s="71" t="e">
        <f t="shared" si="92"/>
        <v>#REF!</v>
      </c>
      <c r="M200" s="71" t="e">
        <f t="shared" si="92"/>
        <v>#REF!</v>
      </c>
      <c r="N200" s="71" t="e">
        <f t="shared" si="92"/>
        <v>#REF!</v>
      </c>
      <c r="O200" s="71" t="e">
        <f t="shared" si="92"/>
        <v>#REF!</v>
      </c>
      <c r="P200" s="71" t="e">
        <f t="shared" si="92"/>
        <v>#REF!</v>
      </c>
      <c r="Q200" s="71" t="e">
        <f t="shared" si="92"/>
        <v>#REF!</v>
      </c>
      <c r="R200" s="63" t="e">
        <f t="shared" si="79"/>
        <v>#REF!</v>
      </c>
      <c r="S200" s="63"/>
      <c r="T200" s="63"/>
      <c r="U200" s="63" t="e">
        <f>+U201+U206</f>
        <v>#REF!</v>
      </c>
      <c r="V200" s="63" t="e">
        <f>+V201+V206</f>
        <v>#REF!</v>
      </c>
      <c r="W200" s="63" t="e">
        <f>+W201+W206</f>
        <v>#REF!</v>
      </c>
      <c r="X200" s="63" t="e">
        <f>+X201+X206</f>
        <v>#REF!</v>
      </c>
      <c r="Y200"/>
      <c r="Z200"/>
      <c r="AA200"/>
      <c r="AB200"/>
      <c r="AC200"/>
      <c r="AD200"/>
      <c r="AE200"/>
      <c r="AF200"/>
      <c r="AG200"/>
      <c r="AH200" s="147"/>
      <c r="AI200" s="148" t="s">
        <v>762</v>
      </c>
      <c r="AJ200" s="160"/>
      <c r="AK200" s="160"/>
      <c r="AL200" s="149"/>
      <c r="AM200" s="277"/>
      <c r="AN200" s="277"/>
      <c r="AO200" s="278"/>
      <c r="AP200" s="146" t="e">
        <f>AP201+AP206</f>
        <v>#REF!</v>
      </c>
      <c r="AQ200" s="146" t="e">
        <f>AQ201+AQ206</f>
        <v>#REF!</v>
      </c>
      <c r="AR200" s="146" t="e">
        <f>AR201+AR206</f>
        <v>#REF!</v>
      </c>
      <c r="AS200" s="245"/>
      <c r="AT200" s="245"/>
      <c r="AU200" s="146" t="e">
        <f>AU201+AU206</f>
        <v>#REF!</v>
      </c>
      <c r="AX200" s="147"/>
      <c r="AY200" s="148" t="s">
        <v>762</v>
      </c>
      <c r="AZ200" s="160"/>
      <c r="BA200" s="160"/>
      <c r="BB200" s="149"/>
      <c r="BC200" s="275"/>
      <c r="BD200" s="275"/>
      <c r="BE200" s="276"/>
      <c r="BF200" s="187" t="e">
        <f>BF201+BF206</f>
        <v>#REF!</v>
      </c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95" customFormat="1">
      <c r="A201"/>
      <c r="B201" s="28" t="s">
        <v>101</v>
      </c>
      <c r="C201" s="29" t="s">
        <v>763</v>
      </c>
      <c r="D201" s="29"/>
      <c r="E201" s="29"/>
      <c r="F201" s="28"/>
      <c r="G201" s="28"/>
      <c r="H201" s="28"/>
      <c r="I201" s="65"/>
      <c r="J201" s="28"/>
      <c r="K201" s="66" t="e">
        <f t="shared" ref="K201:Q201" si="93">+K202</f>
        <v>#REF!</v>
      </c>
      <c r="L201" s="66" t="e">
        <f t="shared" si="93"/>
        <v>#REF!</v>
      </c>
      <c r="M201" s="66" t="e">
        <f t="shared" si="93"/>
        <v>#REF!</v>
      </c>
      <c r="N201" s="66" t="e">
        <f t="shared" si="93"/>
        <v>#REF!</v>
      </c>
      <c r="O201" s="66" t="e">
        <f t="shared" si="93"/>
        <v>#REF!</v>
      </c>
      <c r="P201" s="66" t="e">
        <f t="shared" si="93"/>
        <v>#REF!</v>
      </c>
      <c r="Q201" s="66" t="e">
        <f t="shared" si="93"/>
        <v>#REF!</v>
      </c>
      <c r="R201" s="66" t="e">
        <f t="shared" si="79"/>
        <v>#REF!</v>
      </c>
      <c r="S201" s="66"/>
      <c r="T201" s="66"/>
      <c r="U201" s="66" t="e">
        <f>+U202</f>
        <v>#REF!</v>
      </c>
      <c r="V201" s="66" t="e">
        <f>+V202</f>
        <v>#REF!</v>
      </c>
      <c r="W201" s="66" t="e">
        <f>+W202</f>
        <v>#REF!</v>
      </c>
      <c r="X201" s="66" t="e">
        <f>+X202</f>
        <v>#REF!</v>
      </c>
      <c r="Y201"/>
      <c r="Z201"/>
      <c r="AA201"/>
      <c r="AB201"/>
      <c r="AC201"/>
      <c r="AD201"/>
      <c r="AE201"/>
      <c r="AF201"/>
      <c r="AG201"/>
      <c r="AH201" s="147" t="s">
        <v>101</v>
      </c>
      <c r="AI201" s="148" t="s">
        <v>763</v>
      </c>
      <c r="AJ201" s="160"/>
      <c r="AK201" s="160"/>
      <c r="AL201" s="149"/>
      <c r="AM201" s="277"/>
      <c r="AN201" s="277"/>
      <c r="AO201" s="278"/>
      <c r="AP201" s="146">
        <f>AP202</f>
        <v>0</v>
      </c>
      <c r="AQ201" s="146">
        <f>AQ202</f>
        <v>0</v>
      </c>
      <c r="AR201" s="146">
        <f>AR202</f>
        <v>0</v>
      </c>
      <c r="AS201" s="245"/>
      <c r="AT201" s="245"/>
      <c r="AU201" s="146">
        <f>AU202</f>
        <v>0</v>
      </c>
      <c r="AX201" s="147" t="s">
        <v>101</v>
      </c>
      <c r="AY201" s="148" t="s">
        <v>763</v>
      </c>
      <c r="AZ201" s="160"/>
      <c r="BA201" s="160"/>
      <c r="BB201" s="149"/>
      <c r="BC201" s="275"/>
      <c r="BD201" s="275"/>
      <c r="BE201" s="276"/>
      <c r="BF201" s="187">
        <f>BF202</f>
        <v>0</v>
      </c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95" customFormat="1">
      <c r="A202"/>
      <c r="B202" s="31"/>
      <c r="C202" s="30" t="s">
        <v>764</v>
      </c>
      <c r="D202" s="30"/>
      <c r="E202" s="30"/>
      <c r="F202" s="33"/>
      <c r="G202" s="33"/>
      <c r="H202" s="33"/>
      <c r="I202" s="67"/>
      <c r="J202" s="33"/>
      <c r="K202" s="69" t="e">
        <f t="shared" ref="K202:Q202" si="94">SUM(K203:K205)</f>
        <v>#REF!</v>
      </c>
      <c r="L202" s="69" t="e">
        <f t="shared" si="94"/>
        <v>#REF!</v>
      </c>
      <c r="M202" s="69" t="e">
        <f t="shared" si="94"/>
        <v>#REF!</v>
      </c>
      <c r="N202" s="69" t="e">
        <f t="shared" si="94"/>
        <v>#REF!</v>
      </c>
      <c r="O202" s="69" t="e">
        <f t="shared" si="94"/>
        <v>#REF!</v>
      </c>
      <c r="P202" s="69" t="e">
        <f t="shared" si="94"/>
        <v>#REF!</v>
      </c>
      <c r="Q202" s="69" t="e">
        <f t="shared" si="94"/>
        <v>#REF!</v>
      </c>
      <c r="R202" s="69" t="e">
        <f t="shared" si="79"/>
        <v>#REF!</v>
      </c>
      <c r="S202" s="69"/>
      <c r="T202" s="69"/>
      <c r="U202" s="69" t="e">
        <f>SUM(U203:U205)</f>
        <v>#REF!</v>
      </c>
      <c r="V202" s="69" t="e">
        <f>SUM(V203:V205)</f>
        <v>#REF!</v>
      </c>
      <c r="W202" s="69" t="e">
        <f>SUM(W203:W205)</f>
        <v>#REF!</v>
      </c>
      <c r="X202" s="69" t="e">
        <f>SUM(X203:X205)</f>
        <v>#REF!</v>
      </c>
      <c r="Y202"/>
      <c r="Z202"/>
      <c r="AA202"/>
      <c r="AB202"/>
      <c r="AC202"/>
      <c r="AD202"/>
      <c r="AE202"/>
      <c r="AF202"/>
      <c r="AG202"/>
      <c r="AH202" s="152"/>
      <c r="AI202" s="157" t="s">
        <v>764</v>
      </c>
      <c r="AJ202" s="158"/>
      <c r="AK202" s="158"/>
      <c r="AL202" s="155"/>
      <c r="AM202" s="277"/>
      <c r="AN202" s="277"/>
      <c r="AO202" s="278"/>
      <c r="AP202" s="146">
        <f>AP203+AP204+AP205</f>
        <v>0</v>
      </c>
      <c r="AQ202" s="146">
        <f>AQ203+AQ204+AQ205</f>
        <v>0</v>
      </c>
      <c r="AR202" s="146">
        <f>AR203+AR204+AR205</f>
        <v>0</v>
      </c>
      <c r="AS202" s="245"/>
      <c r="AT202" s="245"/>
      <c r="AU202" s="146">
        <f>AU203+AU204+AU205</f>
        <v>0</v>
      </c>
      <c r="AX202" s="152"/>
      <c r="AY202" s="157" t="s">
        <v>764</v>
      </c>
      <c r="AZ202" s="158"/>
      <c r="BA202" s="158"/>
      <c r="BB202" s="155"/>
      <c r="BC202" s="275"/>
      <c r="BD202" s="275"/>
      <c r="BE202" s="276"/>
      <c r="BF202" s="187">
        <f>BF203+BF204+BF205</f>
        <v>0</v>
      </c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95" customFormat="1">
      <c r="A203"/>
      <c r="B203" s="31"/>
      <c r="C203" s="30" t="s">
        <v>765</v>
      </c>
      <c r="D203" s="35" t="s">
        <v>733</v>
      </c>
      <c r="E203" s="35"/>
      <c r="F203" s="90" t="s">
        <v>831</v>
      </c>
      <c r="G203" s="35" t="s">
        <v>39</v>
      </c>
      <c r="H203" s="90"/>
      <c r="I203" s="67" t="e">
        <f>4057200000/O203</f>
        <v>#REF!</v>
      </c>
      <c r="J203" s="90"/>
      <c r="K203" s="69" t="e">
        <f>+GETPIVOTDATA("PPEF 2010 ",#REF!,"No. Ramo",12,"IPP","S","PP",72,"UR","U00")</f>
        <v>#REF!</v>
      </c>
      <c r="L203" s="69" t="e">
        <f>+GETPIVOTDATA("Ampliación Neta DIP ",#REF!,"No. Ramo",12,"IPP","S","PP",72,"UR","U00")</f>
        <v>#REF!</v>
      </c>
      <c r="M203" s="69" t="e">
        <f>+GETPIVOTDATA("Recorte SHCP ",#REF!,"No. Ramo",12,"IPP","S","PP",72,"UR","U00")</f>
        <v>#REF!</v>
      </c>
      <c r="N203" s="69" t="e">
        <f>+GETPIVOTDATA("PEF 2010 ",#REF!,"No. Ramo",12,"IPP","S","PP",72,"UR","U00")</f>
        <v>#REF!</v>
      </c>
      <c r="O203" s="69" t="e">
        <f>+GETPIVOTDATA("PPEF 2011 ",#REF!,"No. Ramo",12,"IPP","S","PP",72,"UR","U00")</f>
        <v>#REF!</v>
      </c>
      <c r="P203" s="69" t="e">
        <f>+GETPIVOTDATA("Reducción ",#REF!,"No. Ramo",12,"IPP","S","PP",72,"UR","U00")</f>
        <v>#REF!</v>
      </c>
      <c r="Q203" s="69" t="e">
        <f>+GETPIVOTDATA("Ampliación ",#REF!,"No. Ramo",12,"IPP","S","PP",72,"UR","U00")</f>
        <v>#REF!</v>
      </c>
      <c r="R203" s="69" t="e">
        <f t="shared" si="79"/>
        <v>#REF!</v>
      </c>
      <c r="S203" s="69"/>
      <c r="T203" s="69"/>
      <c r="U203" s="69" t="e">
        <f t="shared" si="83"/>
        <v>#REF!</v>
      </c>
      <c r="V203" s="69" t="e">
        <f t="shared" si="83"/>
        <v>#REF!</v>
      </c>
      <c r="W203" s="69" t="e">
        <f t="shared" si="83"/>
        <v>#REF!</v>
      </c>
      <c r="X203" s="69" t="e">
        <f t="shared" si="83"/>
        <v>#REF!</v>
      </c>
      <c r="Y203"/>
      <c r="Z203"/>
      <c r="AA203"/>
      <c r="AB203"/>
      <c r="AC203"/>
      <c r="AD203"/>
      <c r="AE203"/>
      <c r="AF203"/>
      <c r="AG203"/>
      <c r="AH203" s="152"/>
      <c r="AI203" s="157" t="s">
        <v>765</v>
      </c>
      <c r="AJ203" s="175" t="s">
        <v>733</v>
      </c>
      <c r="AK203" s="175"/>
      <c r="AL203" s="277"/>
      <c r="AM203" s="277"/>
      <c r="AN203" s="277"/>
      <c r="AO203" s="278"/>
      <c r="AP203" s="146"/>
      <c r="AQ203" s="146"/>
      <c r="AR203" s="146"/>
      <c r="AS203" s="245"/>
      <c r="AT203" s="245"/>
      <c r="AU203" s="146"/>
      <c r="AX203" s="152"/>
      <c r="AY203" s="157" t="s">
        <v>765</v>
      </c>
      <c r="AZ203" s="175" t="s">
        <v>733</v>
      </c>
      <c r="BA203" s="175"/>
      <c r="BB203" s="275"/>
      <c r="BC203" s="275"/>
      <c r="BD203" s="275"/>
      <c r="BE203" s="276"/>
      <c r="BF203" s="187">
        <f>+AU203</f>
        <v>0</v>
      </c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95" customFormat="1">
      <c r="A204"/>
      <c r="B204" s="31"/>
      <c r="C204" s="30" t="s">
        <v>765</v>
      </c>
      <c r="D204" s="30" t="s">
        <v>734</v>
      </c>
      <c r="E204" s="30"/>
      <c r="F204" s="33" t="s">
        <v>809</v>
      </c>
      <c r="G204" s="33" t="s">
        <v>809</v>
      </c>
      <c r="H204" s="33"/>
      <c r="I204" s="67" t="e">
        <f>296300000/O204</f>
        <v>#REF!</v>
      </c>
      <c r="J204" s="33"/>
      <c r="K204" s="69" t="e">
        <f>+GETPIVOTDATA("PPEF 2010 ",#REF!,"No. Ramo",12,"IPP","P","PP",17,"UR","L00")+GETPIVOTDATA("PPEF 2010 ",#REF!,"No. Ramo",12,"IPP","R","PP",1,"UR",172)+GETPIVOTDATA("PPEF 2010 ",#REF!,"No. Ramo",12,"IPP","S","PP",37,"UR",310)+GETPIVOTDATA("PPEF 2010 ",#REF!,"No. Ramo",12,"IPP","S","PP",200,"UR",611)</f>
        <v>#REF!</v>
      </c>
      <c r="L204" s="69" t="e">
        <f>+GETPIVOTDATA("Ampliación Neta DIP ",#REF!,"No. Ramo",12,"IPP","P","PP",17,"UR","L00")+GETPIVOTDATA("Ampliación Neta DIP ",#REF!,"No. Ramo",12,"IPP","R","PP",1,"UR",172)+GETPIVOTDATA("Ampliación Neta DIP ",#REF!,"No. Ramo",12,"IPP","S","PP",37,"UR",310)+GETPIVOTDATA("Ampliación Neta DIP ",#REF!,"No. Ramo",12,"IPP","S","PP",200,"UR",611)</f>
        <v>#REF!</v>
      </c>
      <c r="M204" s="69" t="e">
        <f>+GETPIVOTDATA("Recorte SHCP ",#REF!,"No. Ramo",12,"IPP","P","PP",17,"UR","L00")+GETPIVOTDATA("Recorte SHCP ",#REF!,"No. Ramo",12,"IPP","R","PP",1,"UR",172)+GETPIVOTDATA("Recorte SHCP ",#REF!,"No. Ramo",12,"IPP","S","PP",37,"UR",310)+GETPIVOTDATA("Recorte SHCP ",#REF!,"No. Ramo",12,"IPP","S","PP",200,"UR",611)</f>
        <v>#REF!</v>
      </c>
      <c r="N204" s="69" t="e">
        <f>+GETPIVOTDATA("PEF 2010 ",#REF!,"No. Ramo",12,"IPP","P","PP",17,"UR","L00")+GETPIVOTDATA("PEF 2010 ",#REF!,"No. Ramo",12,"IPP","R","PP",1,"UR",172)+GETPIVOTDATA("PEF 2010 ",#REF!,"No. Ramo",12,"IPP","S","PP",37,"UR",310)+GETPIVOTDATA("PEF 2010 ",#REF!,"No. Ramo",12,"IPP","S","PP",200,"UR",611)</f>
        <v>#REF!</v>
      </c>
      <c r="O204" s="69" t="e">
        <f>+GETPIVOTDATA("PPEF 2011 ",#REF!,"No. Ramo",12,"IPP","P","PP",17,"UR","L00")+GETPIVOTDATA("PPEF 2011 ",#REF!,"No. Ramo",12,"IPP","R","PP",1,"UR",172)+GETPIVOTDATA("PPEF 2011 ",#REF!,"No. Ramo",12,"IPP","S","PP",37,"UR",310)+GETPIVOTDATA("PPEF 2011 ",#REF!,"No. Ramo",12,"IPP","S","PP",200,"UR",611)</f>
        <v>#REF!</v>
      </c>
      <c r="P204" s="69" t="e">
        <f>+GETPIVOTDATA("Reducción ",#REF!,"No. Ramo",12,"IPP","P","PP",17,"UR","L00")+GETPIVOTDATA("Reducción ",#REF!,"No. Ramo",12,"IPP","R","PP",1,"UR",172)+GETPIVOTDATA("Reducción ",#REF!,"No. Ramo",12,"IPP","S","PP",37,"UR",310)+GETPIVOTDATA("Reducción ",#REF!,"No. Ramo",12,"IPP","S","PP",200,"UR",611)</f>
        <v>#REF!</v>
      </c>
      <c r="Q204" s="69" t="e">
        <f>+GETPIVOTDATA("Ampliación ",#REF!,"No. Ramo",12,"IPP","P","PP",17,"UR","L00")+GETPIVOTDATA("Ampliación ",#REF!,"No. Ramo",12,"IPP","R","PP",1,"UR",172)+GETPIVOTDATA("Ampliación ",#REF!,"No. Ramo",12,"IPP","S","PP",37,"UR",310)+GETPIVOTDATA("Ampliación ",#REF!,"No. Ramo",12,"IPP","S","PP",200,"UR",611)</f>
        <v>#REF!</v>
      </c>
      <c r="R204" s="69" t="e">
        <f t="shared" si="79"/>
        <v>#REF!</v>
      </c>
      <c r="S204" s="69"/>
      <c r="T204" s="69"/>
      <c r="U204" s="69" t="e">
        <f t="shared" si="83"/>
        <v>#REF!</v>
      </c>
      <c r="V204" s="69" t="e">
        <f t="shared" si="83"/>
        <v>#REF!</v>
      </c>
      <c r="W204" s="69" t="e">
        <f t="shared" si="83"/>
        <v>#REF!</v>
      </c>
      <c r="X204" s="69" t="e">
        <f t="shared" si="83"/>
        <v>#REF!</v>
      </c>
      <c r="Y204"/>
      <c r="Z204"/>
      <c r="AA204"/>
      <c r="AB204"/>
      <c r="AC204"/>
      <c r="AD204"/>
      <c r="AE204"/>
      <c r="AF204"/>
      <c r="AG204"/>
      <c r="AH204" s="152"/>
      <c r="AI204" s="157" t="s">
        <v>765</v>
      </c>
      <c r="AJ204" s="158" t="s">
        <v>734</v>
      </c>
      <c r="AK204" s="158"/>
      <c r="AL204" s="277"/>
      <c r="AM204" s="277"/>
      <c r="AN204" s="277"/>
      <c r="AO204" s="278"/>
      <c r="AP204" s="146"/>
      <c r="AQ204" s="146"/>
      <c r="AR204" s="146"/>
      <c r="AS204" s="245"/>
      <c r="AT204" s="245"/>
      <c r="AU204" s="146"/>
      <c r="AX204" s="152"/>
      <c r="AY204" s="157" t="s">
        <v>765</v>
      </c>
      <c r="AZ204" s="158" t="s">
        <v>734</v>
      </c>
      <c r="BA204" s="158"/>
      <c r="BB204" s="275"/>
      <c r="BC204" s="275"/>
      <c r="BD204" s="275"/>
      <c r="BE204" s="276"/>
      <c r="BF204" s="187">
        <f>+AU204</f>
        <v>0</v>
      </c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>
      <c r="B205" s="31"/>
      <c r="C205" s="30" t="s">
        <v>765</v>
      </c>
      <c r="D205" s="30" t="s">
        <v>766</v>
      </c>
      <c r="E205" s="30"/>
      <c r="F205" s="33" t="s">
        <v>849</v>
      </c>
      <c r="G205" s="33" t="s">
        <v>39</v>
      </c>
      <c r="H205" s="33"/>
      <c r="I205" s="67" t="e">
        <f>17335500000/O205</f>
        <v>#REF!</v>
      </c>
      <c r="J205" s="33"/>
      <c r="K205" s="69" t="e">
        <f>+GETPIVOTDATA("PPEF 2010 ",#REF!,"No. Ramo",12,"IPP","U","PP",5,"UR","U00")</f>
        <v>#REF!</v>
      </c>
      <c r="L205" s="69" t="e">
        <f>+GETPIVOTDATA("Ampliación Neta DIP ",#REF!,"No. Ramo",12,"IPP","U","PP",5,"UR","U00")</f>
        <v>#REF!</v>
      </c>
      <c r="M205" s="69" t="e">
        <f>+GETPIVOTDATA("Recorte SHCP ",#REF!,"No. Ramo",12,"IPP","U","PP",5,"UR","U00")</f>
        <v>#REF!</v>
      </c>
      <c r="N205" s="69" t="e">
        <f>+GETPIVOTDATA("PEF 2010 ",#REF!,"No. Ramo",12,"IPP","U","PP",5,"UR","U00")</f>
        <v>#REF!</v>
      </c>
      <c r="O205" s="69" t="e">
        <f>+GETPIVOTDATA("PPEF 2011 ",#REF!,"No. Ramo",12,"IPP","U","PP",5,"UR","U00")</f>
        <v>#REF!</v>
      </c>
      <c r="P205" s="69" t="e">
        <f>+GETPIVOTDATA("Reducción ",#REF!,"No. Ramo",12,"IPP","U","PP",5,"UR","U00")</f>
        <v>#REF!</v>
      </c>
      <c r="Q205" s="69" t="e">
        <f>+GETPIVOTDATA("Ampliación ",#REF!,"No. Ramo",12,"IPP","U","PP",5,"UR","U00")</f>
        <v>#REF!</v>
      </c>
      <c r="R205" s="69" t="e">
        <f t="shared" si="79"/>
        <v>#REF!</v>
      </c>
      <c r="S205" s="69"/>
      <c r="T205" s="69"/>
      <c r="U205" s="69" t="e">
        <f t="shared" si="83"/>
        <v>#REF!</v>
      </c>
      <c r="V205" s="69" t="e">
        <f t="shared" si="83"/>
        <v>#REF!</v>
      </c>
      <c r="W205" s="69" t="e">
        <f t="shared" si="83"/>
        <v>#REF!</v>
      </c>
      <c r="X205" s="69" t="e">
        <f t="shared" si="83"/>
        <v>#REF!</v>
      </c>
      <c r="AH205" s="152"/>
      <c r="AI205" s="157" t="s">
        <v>765</v>
      </c>
      <c r="AJ205" s="158" t="s">
        <v>766</v>
      </c>
      <c r="AK205" s="158"/>
      <c r="AL205" s="277"/>
      <c r="AM205" s="277"/>
      <c r="AN205" s="277"/>
      <c r="AO205" s="278"/>
      <c r="AP205" s="146"/>
      <c r="AQ205" s="146"/>
      <c r="AR205" s="146"/>
      <c r="AS205" s="245"/>
      <c r="AT205" s="245"/>
      <c r="AU205" s="146"/>
      <c r="AX205" s="152"/>
      <c r="AY205" s="157" t="s">
        <v>765</v>
      </c>
      <c r="AZ205" s="158" t="s">
        <v>766</v>
      </c>
      <c r="BA205" s="158"/>
      <c r="BB205" s="275"/>
      <c r="BC205" s="275"/>
      <c r="BD205" s="275"/>
      <c r="BE205" s="276"/>
      <c r="BF205" s="187">
        <f>+AU205</f>
        <v>0</v>
      </c>
      <c r="BI205" s="113"/>
      <c r="BJ205" s="113"/>
      <c r="BK205" s="113"/>
      <c r="BL205" s="113"/>
    </row>
    <row r="206" spans="1:75">
      <c r="B206" s="28" t="s">
        <v>101</v>
      </c>
      <c r="C206" s="29" t="s">
        <v>767</v>
      </c>
      <c r="D206" s="29"/>
      <c r="E206" s="29"/>
      <c r="F206" s="28"/>
      <c r="G206" s="28"/>
      <c r="H206" s="28"/>
      <c r="I206" s="65"/>
      <c r="J206" s="28"/>
      <c r="K206" s="66" t="e">
        <f t="shared" ref="K206:Q206" si="95">+K207</f>
        <v>#REF!</v>
      </c>
      <c r="L206" s="66" t="e">
        <f t="shared" si="95"/>
        <v>#REF!</v>
      </c>
      <c r="M206" s="66" t="e">
        <f t="shared" si="95"/>
        <v>#REF!</v>
      </c>
      <c r="N206" s="66" t="e">
        <f t="shared" si="95"/>
        <v>#REF!</v>
      </c>
      <c r="O206" s="66" t="e">
        <f t="shared" si="95"/>
        <v>#REF!</v>
      </c>
      <c r="P206" s="66" t="e">
        <f t="shared" si="95"/>
        <v>#REF!</v>
      </c>
      <c r="Q206" s="66" t="e">
        <f t="shared" si="95"/>
        <v>#REF!</v>
      </c>
      <c r="R206" s="66" t="e">
        <f t="shared" si="79"/>
        <v>#REF!</v>
      </c>
      <c r="S206" s="66"/>
      <c r="T206" s="66"/>
      <c r="U206" s="66" t="e">
        <f>+U207</f>
        <v>#REF!</v>
      </c>
      <c r="V206" s="66" t="e">
        <f>+V207</f>
        <v>#REF!</v>
      </c>
      <c r="W206" s="66" t="e">
        <f>+W207</f>
        <v>#REF!</v>
      </c>
      <c r="X206" s="66" t="e">
        <f>+X207</f>
        <v>#REF!</v>
      </c>
      <c r="AH206" s="147" t="s">
        <v>101</v>
      </c>
      <c r="AI206" s="148" t="s">
        <v>767</v>
      </c>
      <c r="AJ206" s="160"/>
      <c r="AK206" s="160"/>
      <c r="AL206" s="149"/>
      <c r="AM206" s="277"/>
      <c r="AN206" s="277"/>
      <c r="AO206" s="278"/>
      <c r="AP206" s="146" t="e">
        <f>AP207</f>
        <v>#REF!</v>
      </c>
      <c r="AQ206" s="146" t="e">
        <f>AQ207</f>
        <v>#REF!</v>
      </c>
      <c r="AR206" s="146" t="e">
        <f>AR207</f>
        <v>#REF!</v>
      </c>
      <c r="AS206" s="245"/>
      <c r="AT206" s="245"/>
      <c r="AU206" s="146" t="e">
        <f>AU207</f>
        <v>#REF!</v>
      </c>
      <c r="AX206" s="147" t="s">
        <v>101</v>
      </c>
      <c r="AY206" s="148" t="s">
        <v>767</v>
      </c>
      <c r="AZ206" s="160"/>
      <c r="BA206" s="160"/>
      <c r="BB206" s="149"/>
      <c r="BC206" s="275"/>
      <c r="BD206" s="275"/>
      <c r="BE206" s="276"/>
      <c r="BF206" s="187" t="e">
        <f>BF207</f>
        <v>#REF!</v>
      </c>
      <c r="BM206" s="113"/>
      <c r="BN206" s="113"/>
      <c r="BO206" s="113"/>
      <c r="BP206" s="113"/>
      <c r="BQ206" s="113"/>
      <c r="BR206" s="113"/>
      <c r="BS206" s="113"/>
      <c r="BT206" s="113"/>
      <c r="BU206" s="113"/>
      <c r="BV206" s="113"/>
      <c r="BW206" s="113"/>
    </row>
    <row r="207" spans="1:75">
      <c r="B207" s="31"/>
      <c r="C207" s="30" t="s">
        <v>768</v>
      </c>
      <c r="D207" s="30"/>
      <c r="E207" s="30"/>
      <c r="F207" s="33" t="s">
        <v>850</v>
      </c>
      <c r="G207" s="33">
        <v>416</v>
      </c>
      <c r="H207" s="33"/>
      <c r="I207" s="67">
        <v>1</v>
      </c>
      <c r="J207" s="33"/>
      <c r="K207" s="69" t="e">
        <f>+GETPIVOTDATA("PPEF 2010 ",#REF!,"No. Ramo",19,"IPP","S","PP",38,"UR",416)</f>
        <v>#REF!</v>
      </c>
      <c r="L207" s="69" t="e">
        <f>+GETPIVOTDATA("Ampliación Neta DIP ",#REF!,"No. Ramo",19,"IPP","S","PP",38,"UR",416)</f>
        <v>#REF!</v>
      </c>
      <c r="M207" s="69" t="e">
        <f>+GETPIVOTDATA("Recorte SHCP ",#REF!,"No. Ramo",19,"IPP","S","PP",38,"UR",416)</f>
        <v>#REF!</v>
      </c>
      <c r="N207" s="69" t="e">
        <f>+GETPIVOTDATA("PEF 2010 ",#REF!,"No. Ramo",19,"IPP","S","PP",38,"UR",416)</f>
        <v>#REF!</v>
      </c>
      <c r="O207" s="69" t="e">
        <f>+GETPIVOTDATA("PPEF 2011 ",#REF!,"No. Ramo",19,"IPP","S","PP",38,"UR",416)</f>
        <v>#REF!</v>
      </c>
      <c r="P207" s="69" t="e">
        <f>+GETPIVOTDATA("Reducción ",#REF!,"No. Ramo",19,"IPP","S","PP",38,"UR",416)</f>
        <v>#REF!</v>
      </c>
      <c r="Q207" s="69" t="e">
        <f>+GETPIVOTDATA("Ampliación ",#REF!,"No. Ramo",19,"IPP","S","PP",38,"UR",416)</f>
        <v>#REF!</v>
      </c>
      <c r="R207" s="69" t="e">
        <f t="shared" si="79"/>
        <v>#REF!</v>
      </c>
      <c r="S207" s="69"/>
      <c r="T207" s="69"/>
      <c r="U207" s="69" t="e">
        <f t="shared" si="83"/>
        <v>#REF!</v>
      </c>
      <c r="V207" s="69" t="e">
        <f t="shared" si="83"/>
        <v>#REF!</v>
      </c>
      <c r="W207" s="69" t="e">
        <f t="shared" si="83"/>
        <v>#REF!</v>
      </c>
      <c r="X207" s="69" t="e">
        <f t="shared" si="83"/>
        <v>#REF!</v>
      </c>
      <c r="AG207" s="113"/>
      <c r="AH207" s="152"/>
      <c r="AI207" s="157" t="s">
        <v>768</v>
      </c>
      <c r="AJ207" s="158"/>
      <c r="AK207" s="158"/>
      <c r="AL207" s="277"/>
      <c r="AM207" s="277"/>
      <c r="AN207" s="277"/>
      <c r="AO207" s="278"/>
      <c r="AP207" s="146" t="e">
        <f>#REF!</f>
        <v>#REF!</v>
      </c>
      <c r="AQ207" s="146" t="e">
        <f>#REF!</f>
        <v>#REF!</v>
      </c>
      <c r="AR207" s="146" t="e">
        <f>#REF!</f>
        <v>#REF!</v>
      </c>
      <c r="AS207" s="245"/>
      <c r="AT207" s="245"/>
      <c r="AU207" s="146" t="e">
        <f>#REF!</f>
        <v>#REF!</v>
      </c>
      <c r="AX207" s="152"/>
      <c r="AY207" s="157" t="s">
        <v>768</v>
      </c>
      <c r="AZ207" s="158"/>
      <c r="BA207" s="158"/>
      <c r="BB207" s="275"/>
      <c r="BC207" s="275"/>
      <c r="BD207" s="275"/>
      <c r="BE207" s="276"/>
      <c r="BF207" s="187" t="e">
        <f>#REF!</f>
        <v>#REF!</v>
      </c>
    </row>
    <row r="208" spans="1:75">
      <c r="B208" s="26"/>
      <c r="C208" s="27" t="s">
        <v>769</v>
      </c>
      <c r="D208" s="27"/>
      <c r="E208" s="27"/>
      <c r="F208" s="61"/>
      <c r="G208" s="61"/>
      <c r="H208" s="61"/>
      <c r="I208" s="62"/>
      <c r="J208" s="61"/>
      <c r="K208" s="63" t="e">
        <f t="shared" ref="K208:Q209" si="96">+K209</f>
        <v>#REF!</v>
      </c>
      <c r="L208" s="63" t="e">
        <f t="shared" si="96"/>
        <v>#REF!</v>
      </c>
      <c r="M208" s="63" t="e">
        <f t="shared" si="96"/>
        <v>#REF!</v>
      </c>
      <c r="N208" s="63" t="e">
        <f t="shared" si="96"/>
        <v>#REF!</v>
      </c>
      <c r="O208" s="63" t="e">
        <f t="shared" si="96"/>
        <v>#REF!</v>
      </c>
      <c r="P208" s="63" t="e">
        <f t="shared" si="96"/>
        <v>#REF!</v>
      </c>
      <c r="Q208" s="63" t="e">
        <f t="shared" si="96"/>
        <v>#REF!</v>
      </c>
      <c r="R208" s="63" t="e">
        <f t="shared" si="79"/>
        <v>#REF!</v>
      </c>
      <c r="S208" s="63"/>
      <c r="T208" s="63"/>
      <c r="U208" s="63" t="e">
        <f t="shared" ref="U208:X209" si="97">+U209</f>
        <v>#REF!</v>
      </c>
      <c r="V208" s="63" t="e">
        <f t="shared" si="97"/>
        <v>#REF!</v>
      </c>
      <c r="W208" s="63" t="e">
        <f t="shared" si="97"/>
        <v>#REF!</v>
      </c>
      <c r="X208" s="63" t="e">
        <f t="shared" si="97"/>
        <v>#REF!</v>
      </c>
      <c r="AH208" s="147"/>
      <c r="AI208" s="148" t="s">
        <v>769</v>
      </c>
      <c r="AJ208" s="160"/>
      <c r="AK208" s="160"/>
      <c r="AL208" s="149"/>
      <c r="AM208" s="277"/>
      <c r="AN208" s="277"/>
      <c r="AO208" s="278"/>
      <c r="AP208" s="146">
        <f t="shared" ref="AP208:AU209" si="98">AP209</f>
        <v>0</v>
      </c>
      <c r="AQ208" s="146">
        <f t="shared" si="98"/>
        <v>0</v>
      </c>
      <c r="AR208" s="146">
        <f t="shared" si="98"/>
        <v>0</v>
      </c>
      <c r="AS208" s="245"/>
      <c r="AT208" s="245"/>
      <c r="AU208" s="146">
        <f t="shared" si="98"/>
        <v>0</v>
      </c>
      <c r="AX208" s="147"/>
      <c r="AY208" s="148" t="s">
        <v>769</v>
      </c>
      <c r="AZ208" s="160"/>
      <c r="BA208" s="160"/>
      <c r="BB208" s="149"/>
      <c r="BC208" s="275"/>
      <c r="BD208" s="275"/>
      <c r="BE208" s="276"/>
      <c r="BF208" s="187">
        <f>BF209</f>
        <v>0</v>
      </c>
    </row>
    <row r="209" spans="1:75">
      <c r="B209" s="28" t="s">
        <v>770</v>
      </c>
      <c r="C209" s="29" t="s">
        <v>682</v>
      </c>
      <c r="D209" s="29"/>
      <c r="E209" s="29"/>
      <c r="F209" s="28"/>
      <c r="G209" s="28"/>
      <c r="H209" s="28"/>
      <c r="I209" s="65"/>
      <c r="J209" s="28"/>
      <c r="K209" s="66" t="e">
        <f t="shared" si="96"/>
        <v>#REF!</v>
      </c>
      <c r="L209" s="66" t="e">
        <f t="shared" si="96"/>
        <v>#REF!</v>
      </c>
      <c r="M209" s="66" t="e">
        <f t="shared" si="96"/>
        <v>#REF!</v>
      </c>
      <c r="N209" s="66" t="e">
        <f t="shared" si="96"/>
        <v>#REF!</v>
      </c>
      <c r="O209" s="66" t="e">
        <f t="shared" si="96"/>
        <v>#REF!</v>
      </c>
      <c r="P209" s="66" t="e">
        <f t="shared" si="96"/>
        <v>#REF!</v>
      </c>
      <c r="Q209" s="66" t="e">
        <f t="shared" si="96"/>
        <v>#REF!</v>
      </c>
      <c r="R209" s="66" t="e">
        <f t="shared" si="79"/>
        <v>#REF!</v>
      </c>
      <c r="S209" s="66"/>
      <c r="T209" s="66"/>
      <c r="U209" s="66" t="e">
        <f t="shared" si="97"/>
        <v>#REF!</v>
      </c>
      <c r="V209" s="66" t="e">
        <f t="shared" si="97"/>
        <v>#REF!</v>
      </c>
      <c r="W209" s="66" t="e">
        <f t="shared" si="97"/>
        <v>#REF!</v>
      </c>
      <c r="X209" s="66" t="e">
        <f t="shared" si="97"/>
        <v>#REF!</v>
      </c>
      <c r="AH209" s="147" t="s">
        <v>770</v>
      </c>
      <c r="AI209" s="148" t="s">
        <v>682</v>
      </c>
      <c r="AJ209" s="160"/>
      <c r="AK209" s="160"/>
      <c r="AL209" s="149"/>
      <c r="AM209" s="277"/>
      <c r="AN209" s="277"/>
      <c r="AO209" s="278"/>
      <c r="AP209" s="146">
        <f t="shared" si="98"/>
        <v>0</v>
      </c>
      <c r="AQ209" s="146">
        <f t="shared" si="98"/>
        <v>0</v>
      </c>
      <c r="AR209" s="146">
        <f t="shared" si="98"/>
        <v>0</v>
      </c>
      <c r="AS209" s="245"/>
      <c r="AT209" s="245"/>
      <c r="AU209" s="146">
        <f t="shared" si="98"/>
        <v>0</v>
      </c>
      <c r="AX209" s="147" t="s">
        <v>770</v>
      </c>
      <c r="AY209" s="148" t="s">
        <v>682</v>
      </c>
      <c r="AZ209" s="160"/>
      <c r="BA209" s="160"/>
      <c r="BB209" s="149"/>
      <c r="BC209" s="275"/>
      <c r="BD209" s="275"/>
      <c r="BE209" s="276"/>
      <c r="BF209" s="187">
        <f>BF210</f>
        <v>0</v>
      </c>
    </row>
    <row r="210" spans="1:75">
      <c r="B210" s="31"/>
      <c r="C210" s="30" t="s">
        <v>771</v>
      </c>
      <c r="D210" s="30"/>
      <c r="E210" s="30"/>
      <c r="F210" s="33"/>
      <c r="G210" s="33"/>
      <c r="H210" s="33"/>
      <c r="I210" s="67"/>
      <c r="J210" s="33"/>
      <c r="K210" s="69" t="e">
        <f t="shared" ref="K210:Q210" si="99">SUM(K211:K213)</f>
        <v>#REF!</v>
      </c>
      <c r="L210" s="69" t="e">
        <f t="shared" si="99"/>
        <v>#REF!</v>
      </c>
      <c r="M210" s="69" t="e">
        <f t="shared" si="99"/>
        <v>#REF!</v>
      </c>
      <c r="N210" s="69" t="e">
        <f t="shared" si="99"/>
        <v>#REF!</v>
      </c>
      <c r="O210" s="69" t="e">
        <f t="shared" si="99"/>
        <v>#REF!</v>
      </c>
      <c r="P210" s="69" t="e">
        <f t="shared" si="99"/>
        <v>#REF!</v>
      </c>
      <c r="Q210" s="69" t="e">
        <f t="shared" si="99"/>
        <v>#REF!</v>
      </c>
      <c r="R210" s="69" t="e">
        <f t="shared" si="79"/>
        <v>#REF!</v>
      </c>
      <c r="S210" s="69"/>
      <c r="T210" s="69"/>
      <c r="U210" s="69" t="e">
        <f>SUM(U211:U213)</f>
        <v>#REF!</v>
      </c>
      <c r="V210" s="69" t="e">
        <f>SUM(V211:V213)</f>
        <v>#REF!</v>
      </c>
      <c r="W210" s="69" t="e">
        <f>SUM(W211:W213)</f>
        <v>#REF!</v>
      </c>
      <c r="X210" s="69" t="e">
        <f>SUM(X211:X213)</f>
        <v>#REF!</v>
      </c>
      <c r="AH210" s="152"/>
      <c r="AI210" s="157" t="s">
        <v>771</v>
      </c>
      <c r="AJ210" s="158"/>
      <c r="AK210" s="158"/>
      <c r="AL210" s="155"/>
      <c r="AM210" s="277"/>
      <c r="AN210" s="277"/>
      <c r="AO210" s="278"/>
      <c r="AP210" s="146">
        <f>AP211+AP212+AP213</f>
        <v>0</v>
      </c>
      <c r="AQ210" s="146">
        <f>AQ211+AQ212+AQ213</f>
        <v>0</v>
      </c>
      <c r="AR210" s="146">
        <f>AR211+AR212+AR213</f>
        <v>0</v>
      </c>
      <c r="AS210" s="245"/>
      <c r="AT210" s="245"/>
      <c r="AU210" s="146">
        <f>AU211+AU212+AU213</f>
        <v>0</v>
      </c>
      <c r="AX210" s="152"/>
      <c r="AY210" s="157" t="s">
        <v>771</v>
      </c>
      <c r="AZ210" s="158"/>
      <c r="BA210" s="158"/>
      <c r="BB210" s="155"/>
      <c r="BC210" s="275"/>
      <c r="BD210" s="275"/>
      <c r="BE210" s="276"/>
      <c r="BF210" s="187">
        <f>BF211+BF212+BF213</f>
        <v>0</v>
      </c>
    </row>
    <row r="211" spans="1:75">
      <c r="B211" s="31"/>
      <c r="C211" s="30" t="s">
        <v>765</v>
      </c>
      <c r="D211" s="30" t="s">
        <v>772</v>
      </c>
      <c r="E211" s="30"/>
      <c r="F211" s="33" t="s">
        <v>851</v>
      </c>
      <c r="G211" s="33" t="s">
        <v>852</v>
      </c>
      <c r="H211" s="33"/>
      <c r="I211" s="67">
        <v>1</v>
      </c>
      <c r="J211" s="33"/>
      <c r="K211" s="69" t="e">
        <f>+GETPIVOTDATA("PPEF 2010 ",#REF!,"No. Ramo",15,"IPP","E","PP",2,"UR",211)+GETPIVOTDATA("PPEF 2010 ",#REF!,"No. Ramo",15,"IPP","L","PP",1,"UR",110)</f>
        <v>#REF!</v>
      </c>
      <c r="L211" s="69" t="e">
        <f>+GETPIVOTDATA("Ampliación Neta DIP ",#REF!,"No. Ramo",15,"IPP","E","PP",2,"UR",211)+GETPIVOTDATA("Ampliación Neta DIP ",#REF!,"No. Ramo",15,"IPP","L","PP",1,"UR",110)</f>
        <v>#REF!</v>
      </c>
      <c r="M211" s="69" t="e">
        <f>+GETPIVOTDATA("Recorte SHCP ",#REF!,"No. Ramo",15,"IPP","E","PP",2,"UR",211)+GETPIVOTDATA("Recorte SHCP ",#REF!,"No. Ramo",15,"IPP","L","PP",1,"UR",110)</f>
        <v>#REF!</v>
      </c>
      <c r="N211" s="69" t="e">
        <f>+GETPIVOTDATA("PEF 2010 ",#REF!,"No. Ramo",15,"IPP","E","PP",2,"UR",211)+GETPIVOTDATA("PEF 2010 ",#REF!,"No. Ramo",15,"IPP","L","PP",1,"UR",110)</f>
        <v>#REF!</v>
      </c>
      <c r="O211" s="69" t="e">
        <f>+GETPIVOTDATA("PPEF 2011 ",#REF!,"No. Ramo",15,"IPP","E","PP",2,"UR",211)+GETPIVOTDATA("PPEF 2011 ",#REF!,"No. Ramo",15,"IPP","L","PP",1,"UR",110)</f>
        <v>#REF!</v>
      </c>
      <c r="P211" s="69" t="e">
        <f>+GETPIVOTDATA("Reducción ",#REF!,"No. Ramo",15,"IPP","E","PP",2,"UR",211)+GETPIVOTDATA("Reducción ",#REF!,"No. Ramo",15,"IPP","L","PP",1,"UR",110)</f>
        <v>#REF!</v>
      </c>
      <c r="Q211" s="69" t="e">
        <f>+GETPIVOTDATA("Ampliación ",#REF!,"No. Ramo",15,"IPP","E","PP",2,"UR",211)+GETPIVOTDATA("Ampliación ",#REF!,"No. Ramo",15,"IPP","L","PP",1,"UR",110)</f>
        <v>#REF!</v>
      </c>
      <c r="R211" s="69" t="e">
        <f t="shared" si="79"/>
        <v>#REF!</v>
      </c>
      <c r="S211" s="69"/>
      <c r="T211" s="69"/>
      <c r="U211" s="69" t="e">
        <f t="shared" si="83"/>
        <v>#REF!</v>
      </c>
      <c r="V211" s="69" t="e">
        <f t="shared" si="83"/>
        <v>#REF!</v>
      </c>
      <c r="W211" s="69" t="e">
        <f t="shared" si="83"/>
        <v>#REF!</v>
      </c>
      <c r="X211" s="69" t="e">
        <f t="shared" si="83"/>
        <v>#REF!</v>
      </c>
      <c r="AH211" s="152"/>
      <c r="AI211" s="157" t="s">
        <v>765</v>
      </c>
      <c r="AJ211" s="158" t="s">
        <v>772</v>
      </c>
      <c r="AK211" s="158"/>
      <c r="AL211" s="277"/>
      <c r="AM211" s="277"/>
      <c r="AN211" s="277"/>
      <c r="AO211" s="278"/>
      <c r="AP211" s="146"/>
      <c r="AQ211" s="146"/>
      <c r="AR211" s="146"/>
      <c r="AS211" s="245"/>
      <c r="AT211" s="245"/>
      <c r="AU211" s="146"/>
      <c r="AX211" s="152"/>
      <c r="AY211" s="157" t="s">
        <v>765</v>
      </c>
      <c r="AZ211" s="158" t="s">
        <v>772</v>
      </c>
      <c r="BA211" s="158"/>
      <c r="BB211" s="275"/>
      <c r="BC211" s="275"/>
      <c r="BD211" s="275"/>
      <c r="BE211" s="276"/>
      <c r="BF211" s="187">
        <f>+AU211</f>
        <v>0</v>
      </c>
    </row>
    <row r="212" spans="1:75">
      <c r="B212" s="31"/>
      <c r="C212" s="30" t="s">
        <v>765</v>
      </c>
      <c r="D212" s="30" t="s">
        <v>773</v>
      </c>
      <c r="E212" s="30"/>
      <c r="F212" s="33" t="s">
        <v>853</v>
      </c>
      <c r="G212" s="33"/>
      <c r="H212" s="33"/>
      <c r="I212" s="67">
        <v>1</v>
      </c>
      <c r="J212" s="33"/>
      <c r="K212" s="69" t="e">
        <f>+GETPIVOTDATA("PPEF 2010 ",#REF!,"No. Ramo",15,"IPP","E","PP",5,"UR","B00")+GETPIVOTDATA("PPEF 2010 ",#REF!,"No. Ramo",15,"IPP","E","PP",5,"UR","QEZ")</f>
        <v>#REF!</v>
      </c>
      <c r="L212" s="69" t="e">
        <f>+GETPIVOTDATA("Ampliación Neta DIP ",#REF!,"No. Ramo",15,"IPP","E","PP",5,"UR","B00")+GETPIVOTDATA("Ampliación Neta DIP ",#REF!,"No. Ramo",15,"IPP","E","PP",5,"UR","QEZ")</f>
        <v>#REF!</v>
      </c>
      <c r="M212" s="69" t="e">
        <f>+GETPIVOTDATA("Recorte SHCP ",#REF!,"No. Ramo",15,"IPP","E","PP",5,"UR","B00")+GETPIVOTDATA("Recorte SHCP ",#REF!,"No. Ramo",15,"IPP","E","PP",5,"UR","QEZ")</f>
        <v>#REF!</v>
      </c>
      <c r="N212" s="69" t="e">
        <f>+GETPIVOTDATA("PEF 2010 ",#REF!,"No. Ramo",15,"IPP","E","PP",5,"UR","B00")+GETPIVOTDATA("PEF 2010 ",#REF!,"No. Ramo",15,"IPP","E","PP",5,"UR","QEZ")</f>
        <v>#REF!</v>
      </c>
      <c r="O212" s="69" t="e">
        <f>+GETPIVOTDATA("PPEF 2011 ",#REF!,"No. Ramo",15,"IPP","E","PP",5,"UR","B00")+GETPIVOTDATA("PPEF 2011 ",#REF!,"No. Ramo",15,"IPP","E","PP",5,"UR","QEZ")</f>
        <v>#REF!</v>
      </c>
      <c r="P212" s="69" t="e">
        <f>+GETPIVOTDATA("Reducción ",#REF!,"No. Ramo",15,"IPP","E","PP",5,"UR","B00")+GETPIVOTDATA("Reducción ",#REF!,"No. Ramo",15,"IPP","E","PP",5,"UR","QEZ")</f>
        <v>#REF!</v>
      </c>
      <c r="Q212" s="69" t="e">
        <f>+GETPIVOTDATA("Ampliación ",#REF!,"No. Ramo",15,"IPP","E","PP",5,"UR","B00")+GETPIVOTDATA("Ampliación ",#REF!,"No. Ramo",15,"IPP","E","PP",5,"UR","QEZ")</f>
        <v>#REF!</v>
      </c>
      <c r="R212" s="69" t="e">
        <f t="shared" si="79"/>
        <v>#REF!</v>
      </c>
      <c r="S212" s="69"/>
      <c r="T212" s="69"/>
      <c r="U212" s="69" t="e">
        <f t="shared" si="83"/>
        <v>#REF!</v>
      </c>
      <c r="V212" s="69" t="e">
        <f t="shared" si="83"/>
        <v>#REF!</v>
      </c>
      <c r="W212" s="69" t="e">
        <f t="shared" si="83"/>
        <v>#REF!</v>
      </c>
      <c r="X212" s="69" t="e">
        <f t="shared" si="83"/>
        <v>#REF!</v>
      </c>
      <c r="AH212" s="152"/>
      <c r="AI212" s="157" t="s">
        <v>765</v>
      </c>
      <c r="AJ212" s="158" t="s">
        <v>773</v>
      </c>
      <c r="AK212" s="158"/>
      <c r="AL212" s="277"/>
      <c r="AM212" s="277"/>
      <c r="AN212" s="277"/>
      <c r="AO212" s="278"/>
      <c r="AP212" s="146"/>
      <c r="AQ212" s="146"/>
      <c r="AR212" s="146"/>
      <c r="AS212" s="245"/>
      <c r="AT212" s="245"/>
      <c r="AU212" s="146"/>
      <c r="AX212" s="152"/>
      <c r="AY212" s="157" t="s">
        <v>765</v>
      </c>
      <c r="AZ212" s="158" t="s">
        <v>773</v>
      </c>
      <c r="BA212" s="158"/>
      <c r="BB212" s="275"/>
      <c r="BC212" s="275"/>
      <c r="BD212" s="275"/>
      <c r="BE212" s="276"/>
      <c r="BF212" s="187">
        <f>+AU212</f>
        <v>0</v>
      </c>
    </row>
    <row r="213" spans="1:75">
      <c r="B213" s="31"/>
      <c r="C213" s="30" t="s">
        <v>765</v>
      </c>
      <c r="D213" s="30" t="s">
        <v>774</v>
      </c>
      <c r="E213" s="30"/>
      <c r="F213" s="33" t="s">
        <v>854</v>
      </c>
      <c r="G213" s="33" t="s">
        <v>855</v>
      </c>
      <c r="H213" s="33"/>
      <c r="I213" s="67">
        <v>1</v>
      </c>
      <c r="J213" s="33"/>
      <c r="K213" s="69" t="e">
        <f>+GETPIVOTDATA("PPEF 2010 ",#REF!,"No. Ramo",15,"IPP","G","PP",1,"UR",110)*0.800984782548114+GETPIVOTDATA("PPEF 2010 ",#REF!,"No. Ramo",15,"IPP","E","PP",4,"UR","B00")*0.28899235558068+GETPIVOTDATA("PPEF 2010 ",#REF!,"No. Ramo",15,"IPP","P","PP",2,"UR","B00")+GETPIVOTDATA("PPEF 2010 ",#REF!,"No. Ramo",15,"IPP","P","PP",3,"UR","B00")</f>
        <v>#REF!</v>
      </c>
      <c r="L213" s="69" t="e">
        <f>+GETPIVOTDATA("Ampliación Neta DIP ",#REF!,"No. Ramo",15,"IPP","G","PP",1,"UR",110)*0.800984782548114+GETPIVOTDATA("Ampliación Neta DIP ",#REF!,"No. Ramo",15,"IPP","E","PP",4,"UR","B00")*0.28899235558068+GETPIVOTDATA("Ampliación Neta DIP ",#REF!,"No. Ramo",15,"IPP","P","PP",2,"UR","B00")+GETPIVOTDATA("Ampliación Neta DIP ",#REF!,"No. Ramo",15,"IPP","P","PP",3,"UR","B00")</f>
        <v>#REF!</v>
      </c>
      <c r="M213" s="69" t="e">
        <f>+GETPIVOTDATA("Recorte SHCP ",#REF!,"No. Ramo",15,"IPP","G","PP",1,"UR",110)*0.800984782548114+GETPIVOTDATA("Recorte SHCP ",#REF!,"No. Ramo",15,"IPP","E","PP",4,"UR","B00")*0.28899235558068+GETPIVOTDATA("Recorte SHCP ",#REF!,"No. Ramo",15,"IPP","P","PP",2,"UR","B00")+GETPIVOTDATA("Recorte SHCP ",#REF!,"No. Ramo",15,"IPP","P","PP",3,"UR","B00")</f>
        <v>#REF!</v>
      </c>
      <c r="N213" s="69" t="e">
        <f>+GETPIVOTDATA("PEF 2010 ",#REF!,"No. Ramo",15,"IPP","G","PP",1,"UR",110)*0.800984782548114+GETPIVOTDATA("PEF 2010 ",#REF!,"No. Ramo",15,"IPP","E","PP",4,"UR","B00")*0.28899235558068+GETPIVOTDATA("PEF 2010 ",#REF!,"No. Ramo",15,"IPP","P","PP",2,"UR","B00")+GETPIVOTDATA("PEF 2010 ",#REF!,"No. Ramo",15,"IPP","P","PP",3,"UR","B00")</f>
        <v>#REF!</v>
      </c>
      <c r="O213" s="69" t="e">
        <f>+GETPIVOTDATA("PPEF 2011 ",#REF!,"No. Ramo",15,"IPP","G","PP",1,"UR",110)*0.800984782548114+GETPIVOTDATA("PPEF 2011 ",#REF!,"No. Ramo",15,"IPP","E","PP",4,"UR","B00")*0.28899235558068+GETPIVOTDATA("PPEF 2011 ",#REF!,"No. Ramo",15,"IPP","P","PP",2,"UR","B00")+GETPIVOTDATA("PPEF 2011 ",#REF!,"No. Ramo",15,"IPP","P","PP",3,"UR","B00")</f>
        <v>#REF!</v>
      </c>
      <c r="P213" s="69" t="e">
        <f>+GETPIVOTDATA("Reducción ",#REF!,"No. Ramo",15,"IPP","G","PP",1,"UR",110)*0.800984782548114+GETPIVOTDATA("Reducción ",#REF!,"No. Ramo",15,"IPP","E","PP",4,"UR","B00")*0.28899235558068+GETPIVOTDATA("Reducción ",#REF!,"No. Ramo",15,"IPP","P","PP",2,"UR","B00")+GETPIVOTDATA("Reducción ",#REF!,"No. Ramo",15,"IPP","P","PP",3,"UR","B00")</f>
        <v>#REF!</v>
      </c>
      <c r="Q213" s="69" t="e">
        <f>+GETPIVOTDATA("Ampliación ",#REF!,"No. Ramo",15,"IPP","G","PP",1,"UR",110)*0.800984782548114+GETPIVOTDATA("Ampliación ",#REF!,"No. Ramo",15,"IPP","E","PP",4,"UR","B00")*0.28899235558068+GETPIVOTDATA("Ampliación ",#REF!,"No. Ramo",15,"IPP","P","PP",2,"UR","B00")+GETPIVOTDATA("Ampliación ",#REF!,"No. Ramo",15,"IPP","P","PP",3,"UR","B00")</f>
        <v>#REF!</v>
      </c>
      <c r="R213" s="69" t="e">
        <f t="shared" si="79"/>
        <v>#REF!</v>
      </c>
      <c r="S213" s="69"/>
      <c r="T213" s="69"/>
      <c r="U213" s="69" t="e">
        <f t="shared" si="83"/>
        <v>#REF!</v>
      </c>
      <c r="V213" s="69" t="e">
        <f t="shared" si="83"/>
        <v>#REF!</v>
      </c>
      <c r="W213" s="69" t="e">
        <f t="shared" si="83"/>
        <v>#REF!</v>
      </c>
      <c r="X213" s="69" t="e">
        <f t="shared" si="83"/>
        <v>#REF!</v>
      </c>
      <c r="AH213" s="152"/>
      <c r="AI213" s="157" t="s">
        <v>765</v>
      </c>
      <c r="AJ213" s="158" t="s">
        <v>774</v>
      </c>
      <c r="AK213" s="158"/>
      <c r="AL213" s="277"/>
      <c r="AM213" s="277"/>
      <c r="AN213" s="277"/>
      <c r="AO213" s="278"/>
      <c r="AP213" s="146"/>
      <c r="AQ213" s="146"/>
      <c r="AR213" s="146"/>
      <c r="AS213" s="245"/>
      <c r="AT213" s="245"/>
      <c r="AU213" s="146"/>
      <c r="AX213" s="152"/>
      <c r="AY213" s="157" t="s">
        <v>765</v>
      </c>
      <c r="AZ213" s="158" t="s">
        <v>774</v>
      </c>
      <c r="BA213" s="158"/>
      <c r="BB213" s="275"/>
      <c r="BC213" s="275"/>
      <c r="BD213" s="275"/>
      <c r="BE213" s="276"/>
      <c r="BF213" s="187">
        <f>+AU213</f>
        <v>0</v>
      </c>
    </row>
    <row r="214" spans="1:75">
      <c r="A214" s="122">
        <v>1</v>
      </c>
      <c r="B214" s="26"/>
      <c r="C214" s="27" t="s">
        <v>775</v>
      </c>
      <c r="D214" s="27"/>
      <c r="E214" s="27"/>
      <c r="F214" s="61"/>
      <c r="G214" s="61"/>
      <c r="H214" s="61"/>
      <c r="I214" s="62"/>
      <c r="J214" s="61"/>
      <c r="K214" s="63" t="e">
        <f t="shared" ref="K214:Q214" si="100">+K215+K227+K232</f>
        <v>#REF!</v>
      </c>
      <c r="L214" s="63" t="e">
        <f t="shared" si="100"/>
        <v>#REF!</v>
      </c>
      <c r="M214" s="63" t="e">
        <f t="shared" si="100"/>
        <v>#REF!</v>
      </c>
      <c r="N214" s="63" t="e">
        <f t="shared" si="100"/>
        <v>#REF!</v>
      </c>
      <c r="O214" s="63" t="e">
        <f t="shared" si="100"/>
        <v>#REF!</v>
      </c>
      <c r="P214" s="63" t="e">
        <f t="shared" si="100"/>
        <v>#REF!</v>
      </c>
      <c r="Q214" s="63" t="e">
        <f t="shared" si="100"/>
        <v>#REF!</v>
      </c>
      <c r="R214" s="63" t="e">
        <f t="shared" si="79"/>
        <v>#REF!</v>
      </c>
      <c r="S214" s="63"/>
      <c r="T214" s="63"/>
      <c r="U214" s="63" t="e">
        <f>+U215+U227+U232</f>
        <v>#REF!</v>
      </c>
      <c r="V214" s="63" t="e">
        <f>+V215+V227+V232</f>
        <v>#REF!</v>
      </c>
      <c r="W214" s="63" t="e">
        <f>+W215+W227+W232</f>
        <v>#REF!</v>
      </c>
      <c r="X214" s="63" t="e">
        <f>+X215+X227+X232</f>
        <v>#REF!</v>
      </c>
      <c r="AH214" s="147"/>
      <c r="AI214" s="148" t="s">
        <v>775</v>
      </c>
      <c r="AJ214" s="160"/>
      <c r="AK214" s="160"/>
      <c r="AL214" s="149"/>
      <c r="AM214" s="277"/>
      <c r="AN214" s="277"/>
      <c r="AO214" s="278"/>
      <c r="AP214" s="146">
        <f>AP215+AP227+AP232</f>
        <v>0</v>
      </c>
      <c r="AQ214" s="146">
        <f>AQ215+AQ227+AQ232</f>
        <v>0</v>
      </c>
      <c r="AR214" s="146">
        <f>AR215+AR227+AR232</f>
        <v>0</v>
      </c>
      <c r="AS214" s="245"/>
      <c r="AT214" s="245"/>
      <c r="AU214" s="146">
        <f>AU215+AU227+AU232</f>
        <v>0</v>
      </c>
      <c r="AX214" s="147"/>
      <c r="AY214" s="148" t="s">
        <v>775</v>
      </c>
      <c r="AZ214" s="160"/>
      <c r="BA214" s="160"/>
      <c r="BB214" s="149"/>
      <c r="BC214" s="275"/>
      <c r="BD214" s="275"/>
      <c r="BE214" s="276"/>
      <c r="BF214" s="187">
        <f>BF215+BF227+BF232</f>
        <v>0</v>
      </c>
    </row>
    <row r="215" spans="1:75">
      <c r="A215" s="122">
        <v>1</v>
      </c>
      <c r="B215" s="28" t="s">
        <v>776</v>
      </c>
      <c r="C215" s="29" t="s">
        <v>660</v>
      </c>
      <c r="D215" s="29"/>
      <c r="E215" s="29"/>
      <c r="F215" s="28"/>
      <c r="G215" s="28"/>
      <c r="H215" s="28"/>
      <c r="I215" s="65"/>
      <c r="J215" s="28"/>
      <c r="K215" s="64" t="e">
        <f t="shared" ref="K215:Q215" si="101">+SUM(K216:K219)+SUM(K220:K224)+SUM(K225:K226)</f>
        <v>#REF!</v>
      </c>
      <c r="L215" s="64" t="e">
        <f t="shared" si="101"/>
        <v>#REF!</v>
      </c>
      <c r="M215" s="64" t="e">
        <f t="shared" si="101"/>
        <v>#REF!</v>
      </c>
      <c r="N215" s="64" t="e">
        <f t="shared" si="101"/>
        <v>#REF!</v>
      </c>
      <c r="O215" s="64" t="e">
        <f t="shared" si="101"/>
        <v>#REF!</v>
      </c>
      <c r="P215" s="64" t="e">
        <f t="shared" si="101"/>
        <v>#REF!</v>
      </c>
      <c r="Q215" s="64" t="e">
        <f t="shared" si="101"/>
        <v>#REF!</v>
      </c>
      <c r="R215" s="66" t="e">
        <f t="shared" si="79"/>
        <v>#REF!</v>
      </c>
      <c r="S215" s="66"/>
      <c r="T215" s="66"/>
      <c r="U215" s="64" t="e">
        <f>+SUM(U216:U219)+SUM(U220:U224)+SUM(U225:U226)</f>
        <v>#REF!</v>
      </c>
      <c r="V215" s="64" t="e">
        <f>+SUM(V216:V219)+SUM(V220:V224)+SUM(V225:V226)</f>
        <v>#REF!</v>
      </c>
      <c r="W215" s="64" t="e">
        <f>+SUM(W216:W219)+SUM(W220:W224)+SUM(W225:W226)</f>
        <v>#REF!</v>
      </c>
      <c r="X215" s="64" t="e">
        <f>+SUM(X216:X219)+SUM(X220:X224)+SUM(X225:X226)</f>
        <v>#REF!</v>
      </c>
      <c r="AH215" s="147" t="s">
        <v>776</v>
      </c>
      <c r="AI215" s="148" t="s">
        <v>660</v>
      </c>
      <c r="AJ215" s="160"/>
      <c r="AK215" s="160"/>
      <c r="AL215" s="149"/>
      <c r="AM215" s="277"/>
      <c r="AN215" s="277"/>
      <c r="AO215" s="278"/>
      <c r="AP215" s="146">
        <f>SUM(AP216:AP226)</f>
        <v>0</v>
      </c>
      <c r="AQ215" s="146">
        <f>SUM(AQ216:AQ226)</f>
        <v>0</v>
      </c>
      <c r="AR215" s="146">
        <f>SUM(AR216:AR226)</f>
        <v>0</v>
      </c>
      <c r="AS215" s="245"/>
      <c r="AT215" s="245"/>
      <c r="AU215" s="146">
        <f>SUM(AU216:AU226)</f>
        <v>0</v>
      </c>
      <c r="AX215" s="147" t="s">
        <v>776</v>
      </c>
      <c r="AY215" s="148" t="s">
        <v>660</v>
      </c>
      <c r="AZ215" s="160"/>
      <c r="BA215" s="160"/>
      <c r="BB215" s="149"/>
      <c r="BC215" s="275"/>
      <c r="BD215" s="275"/>
      <c r="BE215" s="276"/>
      <c r="BF215" s="187">
        <f>SUM(BF216:BF226)</f>
        <v>0</v>
      </c>
    </row>
    <row r="216" spans="1:75">
      <c r="A216" s="122">
        <v>1</v>
      </c>
      <c r="B216" s="31"/>
      <c r="C216" s="30" t="s">
        <v>777</v>
      </c>
      <c r="D216" s="30"/>
      <c r="E216" s="30"/>
      <c r="F216" s="33" t="s">
        <v>809</v>
      </c>
      <c r="G216" s="33" t="s">
        <v>809</v>
      </c>
      <c r="H216" s="33"/>
      <c r="I216" s="67">
        <v>1</v>
      </c>
      <c r="J216" s="33"/>
      <c r="K216" s="1" t="e">
        <f>+GETPIVOTDATA("PPEF 2010 ",#REF!,"No. Ramo",8,"IPP","F","PP",1,"UR",111)+GETPIVOTDATA("PPEF 2010 ",#REF!,"No. Ramo",8,"IPP","G","PP",1)-GETPIVOTDATA("PPEF 2010 ",#REF!,"No. Ramo",8,"IPP","G","PP",1,"UR","B00")-GETPIVOTDATA("PPEF 2010 ",#REF!,"No. Ramo",8,"IPP","G","PP",1,"UR","I00")+GETPIVOTDATA("PPEF 2010 ",#REF!,"No. Ramo",8,"IPP","L","PP",1)-GETPIVOTDATA("PPEF 2010 ",#REF!,"No. Ramo",8,"IPP","L","PP",1,"UR","B00")-GETPIVOTDATA("PPEF 2010 ",#REF!,"No. Ramo",8,"IPP","L","PP",1,"UR","D00")+GETPIVOTDATA("PPEF 2010 ",#REF!,"No. Ramo",8,"IPP","M","PP",1,"UR",500)+GETPIVOTDATA("PPEF 2010 ",#REF!,"No. Ramo",8,"IPP","M","PP",1,"UR",510)+GETPIVOTDATA("PPEF 2010 ",#REF!,"No. Ramo",8,"IPP","M","PP",1,"UR",511)+GETPIVOTDATA("PPEF 2010 ",#REF!,"No. Ramo",8,"IPP","M","PP",1,"UR",512)+GETPIVOTDATA("PPEF 2010 ",#REF!,"No. Ramo",8,"IPP","M","PP",1,"UR",513)+GETPIVOTDATA("PPEF 2010 ",#REF!,"No. Ramo",8,"IPP","O","PP",1)-GETPIVOTDATA("PPEF 2010 ",#REF!,"No. Ramo",8,"IPP","O","PP",1,"UR","A1I")-GETPIVOTDATA("PPEF 2010 ",#REF!,"No. Ramo",8,"IPP","O","PP",1,"UR","B00")-GETPIVOTDATA("PPEF 2010 ",#REF!,"No. Ramo",8,"IPP","O","PP",1,"UR","F00")-GETPIVOTDATA("PPEF 2010 ",#REF!,"No. Ramo",8,"IPP","O","PP",1,"UR","I00")-GETPIVOTDATA("PPEF 2010 ",#REF!,"No. Ramo",8,"IPP","O","PP",1,"UR","I6L")-GETPIVOTDATA("PPEF 2010 ",#REF!,"No. Ramo",8,"IPP","O","PP",1,"UR","I9H")-GETPIVOTDATA("PPEF 2010 ",#REF!,"No. Ramo",8,"IPP","O","PP",1,"UR","IZC")-GETPIVOTDATA("PPEF 2010 ",#REF!,"No. Ramo",8,"IPP","O","PP",1,"UR","IZI")-GETPIVOTDATA("PPEF 2010 ",#REF!,"No. Ramo",8,"IPP","O","PP",1,"UR","JAG")+GETPIVOTDATA("PPEF 2010 ",#REF!,"No. Ramo",8,"IPP","O","PP",99,"UR",511)+GETPIVOTDATA("PPEF 2010 ",#REF!,"No. Ramo",8,"IPP","P","PP",1)-GETPIVOTDATA("PPEF 2010 ",#REF!,"No. Ramo",8,"IPP","P","PP",1,"UR","A1I")-GETPIVOTDATA("PPEF 2010 ",#REF!,"No. Ramo",8,"IPP","P","PP",1,"UR","AFU")-GETPIVOTDATA("PPEF 2010 ",#REF!,"No. Ramo",8,"IPP","P","PP",1,"UR","B00")-GETPIVOTDATA("PPEF 2010 ",#REF!,"No. Ramo",8,"IPP","P","PP",1,"UR","C00")-GETPIVOTDATA("PPEF 2010 ",#REF!,"No. Ramo",8,"IPP","P","PP",1,"UR","F00")-GETPIVOTDATA("PPEF 2010 ",#REF!,"No. Ramo",8,"IPP","P","PP",1,"UR","G00")-GETPIVOTDATA("PPEF 2010 ",#REF!,"No. Ramo",8,"IPP","P","PP",1,"UR","I6L")-GETPIVOTDATA("PPEF 2010 ",#REF!,"No. Ramo",8,"IPP","P","PP",1,"UR","I6U")-GETPIVOTDATA("PPEF 2010 ",#REF!,"No. Ramo",8,"IPP","P","PP",1,"UR","I9H")-GETPIVOTDATA("PPEF 2010 ",#REF!,"No. Ramo",8,"IPP","P","PP",1,"UR","IZI")+GETPIVOTDATA("PPEF 2010 ",#REF!,"No. Ramo",8,"IPP","R","PP",3,"UR",300)+GETPIVOTDATA("PPEF 2010 ",#REF!,"No. Ramo",8,"IPP","U","PP",3,"UR",116)+GETPIVOTDATA("PPEF 2010 ",#REF!,"No. Ramo",8,"IPP","U","PP",4)+GETPIVOTDATA("PPEF 2010 ",#REF!,"No. Ramo",8,"IPP","U","PP",9,"UR",116)+GETPIVOTDATA("PPEF 2010 ",#REF!,"No. Ramo",8,"IPP","U","PP",10,"UR",116)+GETPIVOTDATA("PPEF 2010 ",#REF!,"No. Ramo",8,"IPP","U","PP",11,"UR",116)</f>
        <v>#REF!</v>
      </c>
      <c r="L216" s="1" t="e">
        <f>+GETPIVOTDATA("Ampliación Neta DIP ",#REF!,"No. Ramo",8,"IPP","F","PP",1,"UR",111)+GETPIVOTDATA("Ampliación Neta DIP ",#REF!,"No. Ramo",8,"IPP","G","PP",1)-GETPIVOTDATA("Ampliación Neta DIP ",#REF!,"No. Ramo",8,"IPP","G","PP",1,"UR","B00")-GETPIVOTDATA("Ampliación Neta DIP ",#REF!,"No. Ramo",8,"IPP","G","PP",1,"UR","I00")+GETPIVOTDATA("Ampliación Neta DIP ",#REF!,"No. Ramo",8,"IPP","L","PP",1)-GETPIVOTDATA("Ampliación Neta DIP ",#REF!,"No. Ramo",8,"IPP","L","PP",1,"UR","B00")-GETPIVOTDATA("Ampliación Neta DIP ",#REF!,"No. Ramo",8,"IPP","L","PP",1,"UR","D00")+GETPIVOTDATA("Ampliación Neta DIP ",#REF!,"No. Ramo",8,"IPP","M","PP",1,"UR",500)+GETPIVOTDATA("Ampliación Neta DIP ",#REF!,"No. Ramo",8,"IPP","M","PP",1,"UR",510)+GETPIVOTDATA("Ampliación Neta DIP ",#REF!,"No. Ramo",8,"IPP","M","PP",1,"UR",511)+GETPIVOTDATA("Ampliación Neta DIP ",#REF!,"No. Ramo",8,"IPP","M","PP",1,"UR",512)+GETPIVOTDATA("Ampliación Neta DIP ",#REF!,"No. Ramo",8,"IPP","M","PP",1,"UR",513)+GETPIVOTDATA("Ampliación Neta DIP ",#REF!,"No. Ramo",8,"IPP","O","PP",1)-GETPIVOTDATA("Ampliación Neta DIP ",#REF!,"No. Ramo",8,"IPP","O","PP",1,"UR","A1I")-GETPIVOTDATA("Ampliación Neta DIP ",#REF!,"No. Ramo",8,"IPP","O","PP",1,"UR","B00")-GETPIVOTDATA("Ampliación Neta DIP ",#REF!,"No. Ramo",8,"IPP","O","PP",1,"UR","F00")-GETPIVOTDATA("Ampliación Neta DIP ",#REF!,"No. Ramo",8,"IPP","O","PP",1,"UR","I00")-GETPIVOTDATA("Ampliación Neta DIP ",#REF!,"No. Ramo",8,"IPP","O","PP",1,"UR","I6L")-GETPIVOTDATA("Ampliación Neta DIP ",#REF!,"No. Ramo",8,"IPP","O","PP",1,"UR","I9H")-GETPIVOTDATA("Ampliación Neta DIP ",#REF!,"No. Ramo",8,"IPP","O","PP",1,"UR","IZC")-GETPIVOTDATA("Ampliación Neta DIP ",#REF!,"No. Ramo",8,"IPP","O","PP",1,"UR","IZI")-GETPIVOTDATA("Ampliación Neta DIP ",#REF!,"No. Ramo",8,"IPP","O","PP",1,"UR","JAG")+GETPIVOTDATA("Ampliación Neta DIP ",#REF!,"No. Ramo",8,"IPP","O","PP",99,"UR",511)+GETPIVOTDATA("Ampliación Neta DIP ",#REF!,"No. Ramo",8,"IPP","P","PP",1)-GETPIVOTDATA("Ampliación Neta DIP ",#REF!,"No. Ramo",8,"IPP","P","PP",1,"UR","A1I")-GETPIVOTDATA("Ampliación Neta DIP ",#REF!,"No. Ramo",8,"IPP","P","PP",1,"UR","AFU")-GETPIVOTDATA("Ampliación Neta DIP ",#REF!,"No. Ramo",8,"IPP","P","PP",1,"UR","B00")-GETPIVOTDATA("Ampliación Neta DIP ",#REF!,"No. Ramo",8,"IPP","P","PP",1,"UR","C00")-GETPIVOTDATA("Ampliación Neta DIP ",#REF!,"No. Ramo",8,"IPP","P","PP",1,"UR","F00")-GETPIVOTDATA("Ampliación Neta DIP ",#REF!,"No. Ramo",8,"IPP","P","PP",1,"UR","G00")-GETPIVOTDATA("Ampliación Neta DIP ",#REF!,"No. Ramo",8,"IPP","P","PP",1,"UR","I6L")-GETPIVOTDATA("Ampliación Neta DIP ",#REF!,"No. Ramo",8,"IPP","P","PP",1,"UR","I6U")-GETPIVOTDATA("Ampliación Neta DIP ",#REF!,"No. Ramo",8,"IPP","P","PP",1,"UR","I9H")-GETPIVOTDATA("Ampliación Neta DIP ",#REF!,"No. Ramo",8,"IPP","P","PP",1,"UR","IZI")+GETPIVOTDATA("Ampliación Neta DIP ",#REF!,"No. Ramo",8,"IPP","R","PP",3,"UR",300)+GETPIVOTDATA("Ampliación Neta DIP ",#REF!,"No. Ramo",8,"IPP","U","PP",3,"UR",116)+GETPIVOTDATA("Ampliación Neta DIP ",#REF!,"No. Ramo",8,"IPP","U","PP",4)+GETPIVOTDATA("Ampliación Neta DIP ",#REF!,"No. Ramo",8,"IPP","U","PP",9,"UR",116)+GETPIVOTDATA("Ampliación Neta DIP ",#REF!,"No. Ramo",8,"IPP","U","PP",10,"UR",116)+GETPIVOTDATA("Ampliación Neta DIP ",#REF!,"No. Ramo",8,"IPP","U","PP",11,"UR",116)</f>
        <v>#REF!</v>
      </c>
      <c r="M216" s="1" t="e">
        <f>+GETPIVOTDATA("Recorte SHCP ",#REF!,"No. Ramo",8,"IPP","F","PP",1,"UR",111)+GETPIVOTDATA("Recorte SHCP ",#REF!,"No. Ramo",8,"IPP","G","PP",1)-GETPIVOTDATA("Recorte SHCP ",#REF!,"No. Ramo",8,"IPP","G","PP",1,"UR","B00")-GETPIVOTDATA("Recorte SHCP ",#REF!,"No. Ramo",8,"IPP","G","PP",1,"UR","I00")+GETPIVOTDATA("Recorte SHCP ",#REF!,"No. Ramo",8,"IPP","L","PP",1)-GETPIVOTDATA("Recorte SHCP ",#REF!,"No. Ramo",8,"IPP","L","PP",1,"UR","B00")-GETPIVOTDATA("Recorte SHCP ",#REF!,"No. Ramo",8,"IPP","L","PP",1,"UR","D00")+GETPIVOTDATA("Recorte SHCP ",#REF!,"No. Ramo",8,"IPP","M","PP",1,"UR",500)+GETPIVOTDATA("Recorte SHCP ",#REF!,"No. Ramo",8,"IPP","M","PP",1,"UR",510)+GETPIVOTDATA("Recorte SHCP ",#REF!,"No. Ramo",8,"IPP","M","PP",1,"UR",511)+GETPIVOTDATA("Recorte SHCP ",#REF!,"No. Ramo",8,"IPP","M","PP",1,"UR",512)+GETPIVOTDATA("Recorte SHCP ",#REF!,"No. Ramo",8,"IPP","M","PP",1,"UR",513)+GETPIVOTDATA("Recorte SHCP ",#REF!,"No. Ramo",8,"IPP","O","PP",1)-GETPIVOTDATA("Recorte SHCP ",#REF!,"No. Ramo",8,"IPP","O","PP",1,"UR","A1I")-GETPIVOTDATA("Recorte SHCP ",#REF!,"No. Ramo",8,"IPP","O","PP",1,"UR","B00")-GETPIVOTDATA("Recorte SHCP ",#REF!,"No. Ramo",8,"IPP","O","PP",1,"UR","F00")-GETPIVOTDATA("Recorte SHCP ",#REF!,"No. Ramo",8,"IPP","O","PP",1,"UR","I00")-GETPIVOTDATA("Recorte SHCP ",#REF!,"No. Ramo",8,"IPP","O","PP",1,"UR","I6L")-GETPIVOTDATA("Recorte SHCP ",#REF!,"No. Ramo",8,"IPP","O","PP",1,"UR","I9H")-GETPIVOTDATA("Recorte SHCP ",#REF!,"No. Ramo",8,"IPP","O","PP",1,"UR","IZC")-GETPIVOTDATA("Recorte SHCP ",#REF!,"No. Ramo",8,"IPP","O","PP",1,"UR","IZI")-GETPIVOTDATA("Recorte SHCP ",#REF!,"No. Ramo",8,"IPP","O","PP",1,"UR","JAG")+GETPIVOTDATA("Recorte SHCP ",#REF!,"No. Ramo",8,"IPP","O","PP",99,"UR",511)+GETPIVOTDATA("Recorte SHCP ",#REF!,"No. Ramo",8,"IPP","P","PP",1)-GETPIVOTDATA("Recorte SHCP ",#REF!,"No. Ramo",8,"IPP","P","PP",1,"UR","A1I")-GETPIVOTDATA("Recorte SHCP ",#REF!,"No. Ramo",8,"IPP","P","PP",1,"UR","AFU")-GETPIVOTDATA("Recorte SHCP ",#REF!,"No. Ramo",8,"IPP","P","PP",1,"UR","B00")-GETPIVOTDATA("Recorte SHCP ",#REF!,"No. Ramo",8,"IPP","P","PP",1,"UR","C00")-GETPIVOTDATA("Recorte SHCP ",#REF!,"No. Ramo",8,"IPP","P","PP",1,"UR","F00")-GETPIVOTDATA("Recorte SHCP ",#REF!,"No. Ramo",8,"IPP","P","PP",1,"UR","G00")-GETPIVOTDATA("Recorte SHCP ",#REF!,"No. Ramo",8,"IPP","P","PP",1,"UR","I6L")-GETPIVOTDATA("Recorte SHCP ",#REF!,"No. Ramo",8,"IPP","P","PP",1,"UR","I6U")-GETPIVOTDATA("Recorte SHCP ",#REF!,"No. Ramo",8,"IPP","P","PP",1,"UR","I9H")-GETPIVOTDATA("Recorte SHCP ",#REF!,"No. Ramo",8,"IPP","P","PP",1,"UR","IZI")+GETPIVOTDATA("Recorte SHCP ",#REF!,"No. Ramo",8,"IPP","R","PP",3,"UR",300)+GETPIVOTDATA("Recorte SHCP ",#REF!,"No. Ramo",8,"IPP","U","PP",3,"UR",116)+GETPIVOTDATA("Recorte SHCP ",#REF!,"No. Ramo",8,"IPP","U","PP",4)+GETPIVOTDATA("Recorte SHCP ",#REF!,"No. Ramo",8,"IPP","U","PP",9,"UR",116)+GETPIVOTDATA("Recorte SHCP ",#REF!,"No. Ramo",8,"IPP","U","PP",10,"UR",116)+GETPIVOTDATA("Recorte SHCP ",#REF!,"No. Ramo",8,"IPP","U","PP",11,"UR",116)</f>
        <v>#REF!</v>
      </c>
      <c r="N216" s="1" t="e">
        <f>+GETPIVOTDATA("PEF 2010 ",#REF!,"No. Ramo",8,"IPP","F","PP",1,"UR",111)+GETPIVOTDATA("PEF 2010 ",#REF!,"No. Ramo",8,"IPP","G","PP",1)-GETPIVOTDATA("PEF 2010 ",#REF!,"No. Ramo",8,"IPP","G","PP",1,"UR","B00")-GETPIVOTDATA("PEF 2010 ",#REF!,"No. Ramo",8,"IPP","G","PP",1,"UR","I00")+GETPIVOTDATA("PEF 2010 ",#REF!,"No. Ramo",8,"IPP","L","PP",1)-GETPIVOTDATA("PEF 2010 ",#REF!,"No. Ramo",8,"IPP","L","PP",1,"UR","B00")-GETPIVOTDATA("PEF 2010 ",#REF!,"No. Ramo",8,"IPP","L","PP",1,"UR","D00")+GETPIVOTDATA("PEF 2010 ",#REF!,"No. Ramo",8,"IPP","M","PP",1,"UR",500)+GETPIVOTDATA("PEF 2010 ",#REF!,"No. Ramo",8,"IPP","M","PP",1,"UR",510)+GETPIVOTDATA("PEF 2010 ",#REF!,"No. Ramo",8,"IPP","M","PP",1,"UR",511)+GETPIVOTDATA("PEF 2010 ",#REF!,"No. Ramo",8,"IPP","M","PP",1,"UR",512)+GETPIVOTDATA("PEF 2010 ",#REF!,"No. Ramo",8,"IPP","M","PP",1,"UR",513)+GETPIVOTDATA("PEF 2010 ",#REF!,"No. Ramo",8,"IPP","O","PP",1)-GETPIVOTDATA("PEF 2010 ",#REF!,"No. Ramo",8,"IPP","O","PP",1,"UR","A1I")-GETPIVOTDATA("PEF 2010 ",#REF!,"No. Ramo",8,"IPP","O","PP",1,"UR","B00")-GETPIVOTDATA("PEF 2010 ",#REF!,"No. Ramo",8,"IPP","O","PP",1,"UR","F00")-GETPIVOTDATA("PEF 2010 ",#REF!,"No. Ramo",8,"IPP","O","PP",1,"UR","I00")-GETPIVOTDATA("PEF 2010 ",#REF!,"No. Ramo",8,"IPP","O","PP",1,"UR","I6L")-GETPIVOTDATA("PEF 2010 ",#REF!,"No. Ramo",8,"IPP","O","PP",1,"UR","I9H")-GETPIVOTDATA("PEF 2010 ",#REF!,"No. Ramo",8,"IPP","O","PP",1,"UR","IZC")-GETPIVOTDATA("PEF 2010 ",#REF!,"No. Ramo",8,"IPP","O","PP",1,"UR","IZI")-GETPIVOTDATA("PEF 2010 ",#REF!,"No. Ramo",8,"IPP","O","PP",1,"UR","JAG")+GETPIVOTDATA("PEF 2010 ",#REF!,"No. Ramo",8,"IPP","O","PP",99,"UR",511)+GETPIVOTDATA("PEF 2010 ",#REF!,"No. Ramo",8,"IPP","P","PP",1)-GETPIVOTDATA("PEF 2010 ",#REF!,"No. Ramo",8,"IPP","P","PP",1,"UR","A1I")-GETPIVOTDATA("PEF 2010 ",#REF!,"No. Ramo",8,"IPP","P","PP",1,"UR","AFU")-GETPIVOTDATA("PEF 2010 ",#REF!,"No. Ramo",8,"IPP","P","PP",1,"UR","B00")-GETPIVOTDATA("PEF 2010 ",#REF!,"No. Ramo",8,"IPP","P","PP",1,"UR","C00")-GETPIVOTDATA("PEF 2010 ",#REF!,"No. Ramo",8,"IPP","P","PP",1,"UR","F00")-GETPIVOTDATA("PEF 2010 ",#REF!,"No. Ramo",8,"IPP","P","PP",1,"UR","G00")-GETPIVOTDATA("PEF 2010 ",#REF!,"No. Ramo",8,"IPP","P","PP",1,"UR","I6L")-GETPIVOTDATA("PEF 2010 ",#REF!,"No. Ramo",8,"IPP","P","PP",1,"UR","I6U")-GETPIVOTDATA("PEF 2010 ",#REF!,"No. Ramo",8,"IPP","P","PP",1,"UR","I9H")-GETPIVOTDATA("PEF 2010 ",#REF!,"No. Ramo",8,"IPP","P","PP",1,"UR","IZI")+GETPIVOTDATA("PEF 2010 ",#REF!,"No. Ramo",8,"IPP","R","PP",3,"UR",300)+GETPIVOTDATA("PEF 2010 ",#REF!,"No. Ramo",8,"IPP","U","PP",3,"UR",116)+GETPIVOTDATA("PEF 2010 ",#REF!,"No. Ramo",8,"IPP","U","PP",4)+GETPIVOTDATA("PEF 2010 ",#REF!,"No. Ramo",8,"IPP","U","PP",9,"UR",116)+GETPIVOTDATA("PEF 2010 ",#REF!,"No. Ramo",8,"IPP","U","PP",10,"UR",116)+GETPIVOTDATA("PEF 2010 ",#REF!,"No. Ramo",8,"IPP","U","PP",11,"UR",116)</f>
        <v>#REF!</v>
      </c>
      <c r="O216" s="1" t="e">
        <f>+GETPIVOTDATA("PPEF 2011 ",#REF!,"No. Ramo",8,"IPP","F","PP",1,"UR",111)+GETPIVOTDATA("PPEF 2011 ",#REF!,"No. Ramo",8,"IPP","G","PP",1)-GETPIVOTDATA("PPEF 2011 ",#REF!,"No. Ramo",8,"IPP","G","PP",1,"UR","B00")-GETPIVOTDATA("PPEF 2011 ",#REF!,"No. Ramo",8,"IPP","G","PP",1,"UR","I00")+GETPIVOTDATA("PPEF 2011 ",#REF!,"No. Ramo",8,"IPP","L","PP",1)-GETPIVOTDATA("PPEF 2011 ",#REF!,"No. Ramo",8,"IPP","L","PP",1,"UR","B00")-GETPIVOTDATA("PPEF 2011 ",#REF!,"No. Ramo",8,"IPP","L","PP",1,"UR","D00")+GETPIVOTDATA("PPEF 2011 ",#REF!,"No. Ramo",8,"IPP","M","PP",1,"UR",500)+GETPIVOTDATA("PPEF 2011 ",#REF!,"No. Ramo",8,"IPP","M","PP",1,"UR",510)+GETPIVOTDATA("PPEF 2011 ",#REF!,"No. Ramo",8,"IPP","M","PP",1,"UR",511)+GETPIVOTDATA("PPEF 2011 ",#REF!,"No. Ramo",8,"IPP","M","PP",1,"UR",512)+GETPIVOTDATA("PPEF 2011 ",#REF!,"No. Ramo",8,"IPP","M","PP",1,"UR",513)+GETPIVOTDATA("PPEF 2011 ",#REF!,"No. Ramo",8,"IPP","O","PP",1)-GETPIVOTDATA("PPEF 2011 ",#REF!,"No. Ramo",8,"IPP","O","PP",1,"UR","A1I")-GETPIVOTDATA("PPEF 2011 ",#REF!,"No. Ramo",8,"IPP","O","PP",1,"UR","B00")-GETPIVOTDATA("PPEF 2011 ",#REF!,"No. Ramo",8,"IPP","O","PP",1,"UR","F00")-GETPIVOTDATA("PPEF 2011 ",#REF!,"No. Ramo",8,"IPP","O","PP",1,"UR","I00")-GETPIVOTDATA("PPEF 2011 ",#REF!,"No. Ramo",8,"IPP","O","PP",1,"UR","I6L")-GETPIVOTDATA("PPEF 2011 ",#REF!,"No. Ramo",8,"IPP","O","PP",1,"UR","I9H")-GETPIVOTDATA("PPEF 2011 ",#REF!,"No. Ramo",8,"IPP","O","PP",1,"UR","IZC")-GETPIVOTDATA("PPEF 2011 ",#REF!,"No. Ramo",8,"IPP","O","PP",1,"UR","IZI")-GETPIVOTDATA("PPEF 2011 ",#REF!,"No. Ramo",8,"IPP","O","PP",1,"UR","JAG")+GETPIVOTDATA("PPEF 2011 ",#REF!,"No. Ramo",8,"IPP","O","PP",99,"UR",511)+GETPIVOTDATA("PPEF 2011 ",#REF!,"No. Ramo",8,"IPP","P","PP",1)-GETPIVOTDATA("PPEF 2011 ",#REF!,"No. Ramo",8,"IPP","P","PP",1,"UR","A1I")-GETPIVOTDATA("PPEF 2011 ",#REF!,"No. Ramo",8,"IPP","P","PP",1,"UR","AFU")-GETPIVOTDATA("PPEF 2011 ",#REF!,"No. Ramo",8,"IPP","P","PP",1,"UR","B00")-GETPIVOTDATA("PPEF 2011 ",#REF!,"No. Ramo",8,"IPP","P","PP",1,"UR","C00")-GETPIVOTDATA("PPEF 2011 ",#REF!,"No. Ramo",8,"IPP","P","PP",1,"UR","F00")-GETPIVOTDATA("PPEF 2011 ",#REF!,"No. Ramo",8,"IPP","P","PP",1,"UR","G00")-GETPIVOTDATA("PPEF 2011 ",#REF!,"No. Ramo",8,"IPP","P","PP",1,"UR","I6L")-GETPIVOTDATA("PPEF 2011 ",#REF!,"No. Ramo",8,"IPP","P","PP",1,"UR","I6U")-GETPIVOTDATA("PPEF 2011 ",#REF!,"No. Ramo",8,"IPP","P","PP",1,"UR","I9H")-GETPIVOTDATA("PPEF 2011 ",#REF!,"No. Ramo",8,"IPP","P","PP",1,"UR","IZI")+GETPIVOTDATA("PPEF 2011 ",#REF!,"No. Ramo",8,"IPP","R","PP",3,"UR",300)+GETPIVOTDATA("PPEF 2011 ",#REF!,"No. Ramo",8,"IPP","U","PP",3,"UR",116)+GETPIVOTDATA("PPEF 2011 ",#REF!,"No. Ramo",8,"IPP","U","PP",4)+GETPIVOTDATA("PPEF 2011 ",#REF!,"No. Ramo",8,"IPP","U","PP",9,"UR",116)+GETPIVOTDATA("PPEF 2011 ",#REF!,"No. Ramo",8,"IPP","U","PP",10,"UR",116)+GETPIVOTDATA("PPEF 2011 ",#REF!,"No. Ramo",8,"IPP","U","PP",11,"UR",116)</f>
        <v>#REF!</v>
      </c>
      <c r="P216" s="1" t="e">
        <f>+GETPIVOTDATA("Reducción ",#REF!,"No. Ramo",8,"IPP","F","PP",1,"UR",111)+GETPIVOTDATA("Reducción ",#REF!,"No. Ramo",8,"IPP","G","PP",1)-GETPIVOTDATA("Reducción ",#REF!,"No. Ramo",8,"IPP","G","PP",1,"UR","B00")-GETPIVOTDATA("Reducción ",#REF!,"No. Ramo",8,"IPP","G","PP",1,"UR","I00")+GETPIVOTDATA("Reducción ",#REF!,"No. Ramo",8,"IPP","L","PP",1)-GETPIVOTDATA("Reducción ",#REF!,"No. Ramo",8,"IPP","L","PP",1,"UR","B00")-GETPIVOTDATA("Reducción ",#REF!,"No. Ramo",8,"IPP","L","PP",1,"UR","D00")+GETPIVOTDATA("Reducción ",#REF!,"No. Ramo",8,"IPP","M","PP",1,"UR",500)+GETPIVOTDATA("Reducción ",#REF!,"No. Ramo",8,"IPP","M","PP",1,"UR",510)+GETPIVOTDATA("Reducción ",#REF!,"No. Ramo",8,"IPP","M","PP",1,"UR",511)+GETPIVOTDATA("Reducción ",#REF!,"No. Ramo",8,"IPP","M","PP",1,"UR",512)+GETPIVOTDATA("Reducción ",#REF!,"No. Ramo",8,"IPP","M","PP",1,"UR",513)+GETPIVOTDATA("Reducción ",#REF!,"No. Ramo",8,"IPP","O","PP",1)-GETPIVOTDATA("Reducción ",#REF!,"No. Ramo",8,"IPP","O","PP",1,"UR","A1I")-GETPIVOTDATA("Reducción ",#REF!,"No. Ramo",8,"IPP","O","PP",1,"UR","B00")-GETPIVOTDATA("Reducción ",#REF!,"No. Ramo",8,"IPP","O","PP",1,"UR","F00")-GETPIVOTDATA("Reducción ",#REF!,"No. Ramo",8,"IPP","O","PP",1,"UR","I00")-GETPIVOTDATA("Reducción ",#REF!,"No. Ramo",8,"IPP","O","PP",1,"UR","I6L")-GETPIVOTDATA("Reducción ",#REF!,"No. Ramo",8,"IPP","O","PP",1,"UR","I9H")-GETPIVOTDATA("Reducción ",#REF!,"No. Ramo",8,"IPP","O","PP",1,"UR","IZC")-GETPIVOTDATA("Reducción ",#REF!,"No. Ramo",8,"IPP","O","PP",1,"UR","IZI")-GETPIVOTDATA("Reducción ",#REF!,"No. Ramo",8,"IPP","O","PP",1,"UR","JAG")+GETPIVOTDATA("Reducción ",#REF!,"No. Ramo",8,"IPP","O","PP",99,"UR",511)+GETPIVOTDATA("Reducción ",#REF!,"No. Ramo",8,"IPP","P","PP",1)-GETPIVOTDATA("Reducción ",#REF!,"No. Ramo",8,"IPP","P","PP",1,"UR","A1I")-GETPIVOTDATA("Reducción ",#REF!,"No. Ramo",8,"IPP","P","PP",1,"UR","AFU")-GETPIVOTDATA("Reducción ",#REF!,"No. Ramo",8,"IPP","P","PP",1,"UR","B00")-GETPIVOTDATA("Reducción ",#REF!,"No. Ramo",8,"IPP","P","PP",1,"UR","C00")-GETPIVOTDATA("Reducción ",#REF!,"No. Ramo",8,"IPP","P","PP",1,"UR","F00")-GETPIVOTDATA("Reducción ",#REF!,"No. Ramo",8,"IPP","P","PP",1,"UR","G00")-GETPIVOTDATA("Reducción ",#REF!,"No. Ramo",8,"IPP","P","PP",1,"UR","I6L")-GETPIVOTDATA("Reducción ",#REF!,"No. Ramo",8,"IPP","P","PP",1,"UR","I6U")-GETPIVOTDATA("Reducción ",#REF!,"No. Ramo",8,"IPP","P","PP",1,"UR","I9H")-GETPIVOTDATA("Reducción ",#REF!,"No. Ramo",8,"IPP","P","PP",1,"UR","IZI")+GETPIVOTDATA("Reducción ",#REF!,"No. Ramo",8,"IPP","R","PP",3,"UR",300)+GETPIVOTDATA("Reducción ",#REF!,"No. Ramo",8,"IPP","U","PP",3,"UR",116)+GETPIVOTDATA("Reducción ",#REF!,"No. Ramo",8,"IPP","U","PP",4)+GETPIVOTDATA("Reducción ",#REF!,"No. Ramo",8,"IPP","U","PP",9,"UR",116)+GETPIVOTDATA("Reducción ",#REF!,"No. Ramo",8,"IPP","U","PP",10,"UR",116)+GETPIVOTDATA("Reducción ",#REF!,"No. Ramo",8,"IPP","U","PP",11,"UR",116)</f>
        <v>#REF!</v>
      </c>
      <c r="Q216" s="1" t="e">
        <f>+GETPIVOTDATA("Ampliación ",#REF!,"No. Ramo",8,"IPP","F","PP",1,"UR",111)+GETPIVOTDATA("Ampliación ",#REF!,"No. Ramo",8,"IPP","G","PP",1)-GETPIVOTDATA("Ampliación ",#REF!,"No. Ramo",8,"IPP","G","PP",1,"UR","B00")-GETPIVOTDATA("Ampliación ",#REF!,"No. Ramo",8,"IPP","G","PP",1,"UR","I00")+GETPIVOTDATA("Ampliación ",#REF!,"No. Ramo",8,"IPP","L","PP",1)-GETPIVOTDATA("Ampliación ",#REF!,"No. Ramo",8,"IPP","L","PP",1,"UR","B00")-GETPIVOTDATA("Ampliación ",#REF!,"No. Ramo",8,"IPP","L","PP",1,"UR","D00")+GETPIVOTDATA("Ampliación ",#REF!,"No. Ramo",8,"IPP","M","PP",1,"UR",500)+GETPIVOTDATA("Ampliación ",#REF!,"No. Ramo",8,"IPP","M","PP",1,"UR",510)+GETPIVOTDATA("Ampliación ",#REF!,"No. Ramo",8,"IPP","M","PP",1,"UR",511)+GETPIVOTDATA("Ampliación ",#REF!,"No. Ramo",8,"IPP","M","PP",1,"UR",512)+GETPIVOTDATA("Ampliación ",#REF!,"No. Ramo",8,"IPP","M","PP",1,"UR",513)+GETPIVOTDATA("Ampliación ",#REF!,"No. Ramo",8,"IPP","O","PP",1)-GETPIVOTDATA("Ampliación ",#REF!,"No. Ramo",8,"IPP","O","PP",1,"UR","A1I")-GETPIVOTDATA("Ampliación ",#REF!,"No. Ramo",8,"IPP","O","PP",1,"UR","B00")-GETPIVOTDATA("Ampliación ",#REF!,"No. Ramo",8,"IPP","O","PP",1,"UR","F00")-GETPIVOTDATA("Ampliación ",#REF!,"No. Ramo",8,"IPP","O","PP",1,"UR","I00")-GETPIVOTDATA("Ampliación ",#REF!,"No. Ramo",8,"IPP","O","PP",1,"UR","I6L")-GETPIVOTDATA("Ampliación ",#REF!,"No. Ramo",8,"IPP","O","PP",1,"UR","I9H")-GETPIVOTDATA("Ampliación ",#REF!,"No. Ramo",8,"IPP","O","PP",1,"UR","IZC")-GETPIVOTDATA("Ampliación ",#REF!,"No. Ramo",8,"IPP","O","PP",1,"UR","IZI")-GETPIVOTDATA("Ampliación ",#REF!,"No. Ramo",8,"IPP","O","PP",1,"UR","JAG")+GETPIVOTDATA("Ampliación ",#REF!,"No. Ramo",8,"IPP","O","PP",99,"UR",511)+GETPIVOTDATA("Ampliación ",#REF!,"No. Ramo",8,"IPP","P","PP",1)-GETPIVOTDATA("Ampliación ",#REF!,"No. Ramo",8,"IPP","P","PP",1,"UR","A1I")-GETPIVOTDATA("Ampliación ",#REF!,"No. Ramo",8,"IPP","P","PP",1,"UR","AFU")-GETPIVOTDATA("Ampliación ",#REF!,"No. Ramo",8,"IPP","P","PP",1,"UR","B00")-GETPIVOTDATA("Ampliación ",#REF!,"No. Ramo",8,"IPP","P","PP",1,"UR","C00")-GETPIVOTDATA("Ampliación ",#REF!,"No. Ramo",8,"IPP","P","PP",1,"UR","F00")-GETPIVOTDATA("Ampliación ",#REF!,"No. Ramo",8,"IPP","P","PP",1,"UR","G00")-GETPIVOTDATA("Ampliación ",#REF!,"No. Ramo",8,"IPP","P","PP",1,"UR","I6L")-GETPIVOTDATA("Ampliación ",#REF!,"No. Ramo",8,"IPP","P","PP",1,"UR","I6U")-GETPIVOTDATA("Ampliación ",#REF!,"No. Ramo",8,"IPP","P","PP",1,"UR","I9H")-GETPIVOTDATA("Ampliación ",#REF!,"No. Ramo",8,"IPP","P","PP",1,"UR","IZI")+GETPIVOTDATA("Ampliación ",#REF!,"No. Ramo",8,"IPP","R","PP",3,"UR",300)+GETPIVOTDATA("Ampliación ",#REF!,"No. Ramo",8,"IPP","U","PP",3,"UR",116)+GETPIVOTDATA("Ampliación ",#REF!,"No. Ramo",8,"IPP","U","PP",4)+GETPIVOTDATA("Ampliación ",#REF!,"No. Ramo",8,"IPP","U","PP",9,"UR",116)+GETPIVOTDATA("Ampliación ",#REF!,"No. Ramo",8,"IPP","U","PP",10,"UR",116)+GETPIVOTDATA("Ampliación ",#REF!,"No. Ramo",8,"IPP","U","PP",11,"UR",116)</f>
        <v>#REF!</v>
      </c>
      <c r="R216" s="69" t="e">
        <f t="shared" si="79"/>
        <v>#REF!</v>
      </c>
      <c r="S216" s="69"/>
      <c r="T216" s="69"/>
      <c r="U216" s="69" t="e">
        <f t="shared" si="83"/>
        <v>#REF!</v>
      </c>
      <c r="V216" s="69" t="e">
        <f t="shared" si="83"/>
        <v>#REF!</v>
      </c>
      <c r="W216" s="69" t="e">
        <f t="shared" si="83"/>
        <v>#REF!</v>
      </c>
      <c r="X216" s="69" t="e">
        <f t="shared" si="83"/>
        <v>#REF!</v>
      </c>
      <c r="AH216" s="152"/>
      <c r="AI216" s="157" t="s">
        <v>777</v>
      </c>
      <c r="AJ216" s="158"/>
      <c r="AK216" s="158"/>
      <c r="AL216" s="277"/>
      <c r="AM216" s="277"/>
      <c r="AN216" s="277"/>
      <c r="AO216" s="278"/>
      <c r="AP216" s="146"/>
      <c r="AQ216" s="146"/>
      <c r="AR216" s="146"/>
      <c r="AS216" s="245"/>
      <c r="AT216" s="245"/>
      <c r="AU216" s="146"/>
      <c r="AX216" s="152"/>
      <c r="AY216" s="157" t="s">
        <v>777</v>
      </c>
      <c r="AZ216" s="158"/>
      <c r="BA216" s="158"/>
      <c r="BB216" s="275"/>
      <c r="BC216" s="275"/>
      <c r="BD216" s="275"/>
      <c r="BE216" s="276"/>
      <c r="BF216" s="187">
        <f t="shared" ref="BF216:BF226" si="102">+AU216</f>
        <v>0</v>
      </c>
    </row>
    <row r="217" spans="1:75">
      <c r="A217" s="122">
        <v>1</v>
      </c>
      <c r="B217" s="31"/>
      <c r="C217" s="30" t="s">
        <v>778</v>
      </c>
      <c r="D217" s="30"/>
      <c r="E217" s="30"/>
      <c r="F217" s="33" t="s">
        <v>856</v>
      </c>
      <c r="G217" s="33" t="s">
        <v>133</v>
      </c>
      <c r="H217" s="33"/>
      <c r="I217" s="67">
        <v>1</v>
      </c>
      <c r="J217" s="33"/>
      <c r="K217" s="69" t="e">
        <f>+GETPIVOTDATA("PPEF 2010 ",#REF!,"No. Ramo",8,"IPP","M","PP",1,"UR","IZI")+GETPIVOTDATA("PPEF 2010 ",#REF!,"No. Ramo",8,"IPP","O","PP",1,"UR","IZI")+GETPIVOTDATA("PPEF 2010 ",#REF!,"No. Ramo",8,"IPP","P","PP",1,"UR","IZI")</f>
        <v>#REF!</v>
      </c>
      <c r="L217" s="69" t="e">
        <f>+GETPIVOTDATA("Ampliación Neta DIP ",#REF!,"No. Ramo",8,"IPP","M","PP",1,"UR","IZI")+GETPIVOTDATA("Ampliación Neta DIP ",#REF!,"No. Ramo",8,"IPP","O","PP",1,"UR","IZI")+GETPIVOTDATA("Ampliación Neta DIP ",#REF!,"No. Ramo",8,"IPP","P","PP",1,"UR","IZI")</f>
        <v>#REF!</v>
      </c>
      <c r="M217" s="69" t="e">
        <f>+GETPIVOTDATA("Recorte SHCP ",#REF!,"No. Ramo",8,"IPP","M","PP",1,"UR","IZI")+GETPIVOTDATA("Recorte SHCP ",#REF!,"No. Ramo",8,"IPP","O","PP",1,"UR","IZI")+GETPIVOTDATA("Recorte SHCP ",#REF!,"No. Ramo",8,"IPP","P","PP",1,"UR","IZI")</f>
        <v>#REF!</v>
      </c>
      <c r="N217" s="69" t="e">
        <f>+GETPIVOTDATA("PEF 2010 ",#REF!,"No. Ramo",8,"IPP","M","PP",1,"UR","IZI")+GETPIVOTDATA("PEF 2010 ",#REF!,"No. Ramo",8,"IPP","O","PP",1,"UR","IZI")+GETPIVOTDATA("PEF 2010 ",#REF!,"No. Ramo",8,"IPP","P","PP",1,"UR","IZI")</f>
        <v>#REF!</v>
      </c>
      <c r="O217" s="69" t="e">
        <f>+GETPIVOTDATA("PPEF 2011 ",#REF!,"No. Ramo",8,"IPP","M","PP",1,"UR","IZI")+GETPIVOTDATA("PPEF 2011 ",#REF!,"No. Ramo",8,"IPP","O","PP",1,"UR","IZI")+GETPIVOTDATA("PPEF 2011 ",#REF!,"No. Ramo",8,"IPP","P","PP",1,"UR","IZI")</f>
        <v>#REF!</v>
      </c>
      <c r="P217" s="69" t="e">
        <f>+GETPIVOTDATA("Reducción ",#REF!,"No. Ramo",8,"IPP","M","PP",1,"UR","IZI")+GETPIVOTDATA("Reducción ",#REF!,"No. Ramo",8,"IPP","O","PP",1,"UR","IZI")+GETPIVOTDATA("Reducción ",#REF!,"No. Ramo",8,"IPP","P","PP",1,"UR","IZI")</f>
        <v>#REF!</v>
      </c>
      <c r="Q217" s="69" t="e">
        <f>+GETPIVOTDATA("Ampliación ",#REF!,"No. Ramo",8,"IPP","M","PP",1,"UR","IZI")+GETPIVOTDATA("Ampliación ",#REF!,"No. Ramo",8,"IPP","O","PP",1,"UR","IZI")+GETPIVOTDATA("Ampliación ",#REF!,"No. Ramo",8,"IPP","P","PP",1,"UR","IZI")</f>
        <v>#REF!</v>
      </c>
      <c r="R217" s="69" t="e">
        <f t="shared" si="79"/>
        <v>#REF!</v>
      </c>
      <c r="S217" s="69"/>
      <c r="T217" s="69"/>
      <c r="U217" s="69" t="e">
        <f t="shared" si="83"/>
        <v>#REF!</v>
      </c>
      <c r="V217" s="69" t="e">
        <f t="shared" si="83"/>
        <v>#REF!</v>
      </c>
      <c r="W217" s="69" t="e">
        <f t="shared" si="83"/>
        <v>#REF!</v>
      </c>
      <c r="X217" s="69" t="e">
        <f t="shared" si="83"/>
        <v>#REF!</v>
      </c>
      <c r="AH217" s="152"/>
      <c r="AI217" s="157" t="s">
        <v>778</v>
      </c>
      <c r="AJ217" s="158"/>
      <c r="AK217" s="158"/>
      <c r="AL217" s="277"/>
      <c r="AM217" s="277"/>
      <c r="AN217" s="277"/>
      <c r="AO217" s="278"/>
      <c r="AP217" s="146"/>
      <c r="AQ217" s="146"/>
      <c r="AR217" s="146"/>
      <c r="AS217" s="245"/>
      <c r="AT217" s="245"/>
      <c r="AU217" s="146"/>
      <c r="AX217" s="152"/>
      <c r="AY217" s="157" t="s">
        <v>778</v>
      </c>
      <c r="AZ217" s="158"/>
      <c r="BA217" s="158"/>
      <c r="BB217" s="275"/>
      <c r="BC217" s="275"/>
      <c r="BD217" s="275"/>
      <c r="BE217" s="276"/>
      <c r="BF217" s="187">
        <f t="shared" si="102"/>
        <v>0</v>
      </c>
    </row>
    <row r="218" spans="1:75">
      <c r="A218" s="122">
        <v>1</v>
      </c>
      <c r="B218" s="31"/>
      <c r="C218" s="30" t="s">
        <v>779</v>
      </c>
      <c r="D218" s="30"/>
      <c r="E218" s="30"/>
      <c r="F218" s="33" t="s">
        <v>857</v>
      </c>
      <c r="G218" s="33" t="s">
        <v>131</v>
      </c>
      <c r="H218" s="33"/>
      <c r="I218" s="67">
        <v>1</v>
      </c>
      <c r="J218" s="33"/>
      <c r="K218" s="69" t="e">
        <f>+GETPIVOTDATA("PPEF 2010 ",#REF!,"No. Ramo",8,"IPP","M","PP",1,"UR","I6U")+GETPIVOTDATA("PPEF 2010 ",#REF!,"No. Ramo",8,"IPP","P","PP",1,"UR","I6U")</f>
        <v>#REF!</v>
      </c>
      <c r="L218" s="69" t="e">
        <f>+GETPIVOTDATA("Ampliación Neta DIP ",#REF!,"No. Ramo",8,"IPP","M","PP",1,"UR","I6U")+GETPIVOTDATA("Ampliación Neta DIP ",#REF!,"No. Ramo",8,"IPP","P","PP",1,"UR","I6U")</f>
        <v>#REF!</v>
      </c>
      <c r="M218" s="69" t="e">
        <f>+GETPIVOTDATA("Recorte SHCP ",#REF!,"No. Ramo",8,"IPP","M","PP",1,"UR","I6U")+GETPIVOTDATA("Recorte SHCP ",#REF!,"No. Ramo",8,"IPP","P","PP",1,"UR","I6U")</f>
        <v>#REF!</v>
      </c>
      <c r="N218" s="69" t="e">
        <f>+GETPIVOTDATA("PEF 2010 ",#REF!,"No. Ramo",8,"IPP","M","PP",1,"UR","I6U")+GETPIVOTDATA("PEF 2010 ",#REF!,"No. Ramo",8,"IPP","P","PP",1,"UR","I6U")</f>
        <v>#REF!</v>
      </c>
      <c r="O218" s="69" t="e">
        <f>+GETPIVOTDATA("PPEF 2011 ",#REF!,"No. Ramo",8,"IPP","M","PP",1,"UR","I6U")+GETPIVOTDATA("PPEF 2011 ",#REF!,"No. Ramo",8,"IPP","P","PP",1,"UR","I6U")</f>
        <v>#REF!</v>
      </c>
      <c r="P218" s="69" t="e">
        <f>+GETPIVOTDATA("Reducción ",#REF!,"No. Ramo",8,"IPP","M","PP",1,"UR","I6U")+GETPIVOTDATA("Reducción ",#REF!,"No. Ramo",8,"IPP","P","PP",1,"UR","I6U")</f>
        <v>#REF!</v>
      </c>
      <c r="Q218" s="69" t="e">
        <f>+GETPIVOTDATA("Ampliación ",#REF!,"No. Ramo",8,"IPP","M","PP",1,"UR","I6U")+GETPIVOTDATA("Ampliación ",#REF!,"No. Ramo",8,"IPP","P","PP",1,"UR","I6U")</f>
        <v>#REF!</v>
      </c>
      <c r="R218" s="69" t="e">
        <f t="shared" si="79"/>
        <v>#REF!</v>
      </c>
      <c r="S218" s="69"/>
      <c r="T218" s="69"/>
      <c r="U218" s="69" t="e">
        <f t="shared" si="83"/>
        <v>#REF!</v>
      </c>
      <c r="V218" s="69" t="e">
        <f t="shared" si="83"/>
        <v>#REF!</v>
      </c>
      <c r="W218" s="69" t="e">
        <f t="shared" si="83"/>
        <v>#REF!</v>
      </c>
      <c r="X218" s="69" t="e">
        <f t="shared" si="83"/>
        <v>#REF!</v>
      </c>
      <c r="AH218" s="152"/>
      <c r="AI218" s="157" t="s">
        <v>779</v>
      </c>
      <c r="AJ218" s="158"/>
      <c r="AK218" s="158"/>
      <c r="AL218" s="277"/>
      <c r="AM218" s="277"/>
      <c r="AN218" s="277"/>
      <c r="AO218" s="278"/>
      <c r="AP218" s="146"/>
      <c r="AQ218" s="146"/>
      <c r="AR218" s="146"/>
      <c r="AS218" s="245"/>
      <c r="AT218" s="245"/>
      <c r="AU218" s="146"/>
      <c r="AX218" s="152"/>
      <c r="AY218" s="157" t="s">
        <v>779</v>
      </c>
      <c r="AZ218" s="158"/>
      <c r="BA218" s="158"/>
      <c r="BB218" s="275"/>
      <c r="BC218" s="275"/>
      <c r="BD218" s="275"/>
      <c r="BE218" s="276"/>
      <c r="BF218" s="187">
        <f t="shared" si="102"/>
        <v>0</v>
      </c>
    </row>
    <row r="219" spans="1:75">
      <c r="A219" s="122">
        <v>1</v>
      </c>
      <c r="B219" s="31"/>
      <c r="C219" s="30" t="s">
        <v>780</v>
      </c>
      <c r="D219" s="30"/>
      <c r="E219" s="30"/>
      <c r="F219" s="33" t="s">
        <v>856</v>
      </c>
      <c r="G219" s="33" t="s">
        <v>130</v>
      </c>
      <c r="H219" s="33"/>
      <c r="I219" s="67">
        <v>1</v>
      </c>
      <c r="J219" s="33"/>
      <c r="K219" s="69" t="e">
        <f>+GETPIVOTDATA("PPEF 2010 ",#REF!,"No. Ramo",8,"IPP","P","PP",1,"UR","I6L")+GETPIVOTDATA("PPEF 2010 ",#REF!,"No. Ramo",8,"IPP","O","PP",1,"UR","I6L")+GETPIVOTDATA("PPEF 2010 ",#REF!,"No. Ramo",8,"IPP","M","PP",1,"UR","I6L")</f>
        <v>#REF!</v>
      </c>
      <c r="L219" s="69" t="e">
        <f>+GETPIVOTDATA("Ampliación Neta DIP ",#REF!,"No. Ramo",8,"IPP","P","PP",1,"UR","I6L")+GETPIVOTDATA("Ampliación Neta DIP ",#REF!,"No. Ramo",8,"IPP","O","PP",1,"UR","I6L")+GETPIVOTDATA("Ampliación Neta DIP ",#REF!,"No. Ramo",8,"IPP","M","PP",1,"UR","I6L")</f>
        <v>#REF!</v>
      </c>
      <c r="M219" s="69" t="e">
        <f>+GETPIVOTDATA("Recorte SHCP ",#REF!,"No. Ramo",8,"IPP","P","PP",1,"UR","I6L")+GETPIVOTDATA("Recorte SHCP ",#REF!,"No. Ramo",8,"IPP","O","PP",1,"UR","I6L")+GETPIVOTDATA("Recorte SHCP ",#REF!,"No. Ramo",8,"IPP","M","PP",1,"UR","I6L")</f>
        <v>#REF!</v>
      </c>
      <c r="N219" s="69" t="e">
        <f>+GETPIVOTDATA("PEF 2010 ",#REF!,"No. Ramo",8,"IPP","P","PP",1,"UR","I6L")+GETPIVOTDATA("PEF 2010 ",#REF!,"No. Ramo",8,"IPP","O","PP",1,"UR","I6L")+GETPIVOTDATA("PEF 2010 ",#REF!,"No. Ramo",8,"IPP","M","PP",1,"UR","I6L")</f>
        <v>#REF!</v>
      </c>
      <c r="O219" s="69" t="e">
        <f>+GETPIVOTDATA("PPEF 2011 ",#REF!,"No. Ramo",8,"IPP","P","PP",1,"UR","I6L")+GETPIVOTDATA("PPEF 2011 ",#REF!,"No. Ramo",8,"IPP","O","PP",1,"UR","I6L")+GETPIVOTDATA("PPEF 2011 ",#REF!,"No. Ramo",8,"IPP","M","PP",1,"UR","I6L")</f>
        <v>#REF!</v>
      </c>
      <c r="P219" s="69" t="e">
        <f>+GETPIVOTDATA("Reducción ",#REF!,"No. Ramo",8,"IPP","P","PP",1,"UR","I6L")+GETPIVOTDATA("Reducción ",#REF!,"No. Ramo",8,"IPP","O","PP",1,"UR","I6L")+GETPIVOTDATA("Reducción ",#REF!,"No. Ramo",8,"IPP","M","PP",1,"UR","I6L")</f>
        <v>#REF!</v>
      </c>
      <c r="Q219" s="69" t="e">
        <f>+GETPIVOTDATA("Ampliación ",#REF!,"No. Ramo",8,"IPP","P","PP",1,"UR","I6L")+GETPIVOTDATA("Ampliación ",#REF!,"No. Ramo",8,"IPP","O","PP",1,"UR","I6L")+GETPIVOTDATA("Ampliación ",#REF!,"No. Ramo",8,"IPP","M","PP",1,"UR","I6L")</f>
        <v>#REF!</v>
      </c>
      <c r="R219" s="69" t="e">
        <f t="shared" si="79"/>
        <v>#REF!</v>
      </c>
      <c r="S219" s="69"/>
      <c r="T219" s="69"/>
      <c r="U219" s="69" t="e">
        <f t="shared" si="83"/>
        <v>#REF!</v>
      </c>
      <c r="V219" s="69" t="e">
        <f t="shared" si="83"/>
        <v>#REF!</v>
      </c>
      <c r="W219" s="69" t="e">
        <f t="shared" si="83"/>
        <v>#REF!</v>
      </c>
      <c r="X219" s="69" t="e">
        <f t="shared" si="83"/>
        <v>#REF!</v>
      </c>
      <c r="AH219" s="152"/>
      <c r="AI219" s="157" t="s">
        <v>780</v>
      </c>
      <c r="AJ219" s="158"/>
      <c r="AK219" s="158"/>
      <c r="AL219" s="277"/>
      <c r="AM219" s="277"/>
      <c r="AN219" s="277"/>
      <c r="AO219" s="278"/>
      <c r="AP219" s="146"/>
      <c r="AQ219" s="146"/>
      <c r="AR219" s="146"/>
      <c r="AS219" s="245"/>
      <c r="AT219" s="245"/>
      <c r="AU219" s="146"/>
      <c r="AX219" s="152"/>
      <c r="AY219" s="157" t="s">
        <v>780</v>
      </c>
      <c r="AZ219" s="158"/>
      <c r="BA219" s="158"/>
      <c r="BB219" s="275"/>
      <c r="BC219" s="275"/>
      <c r="BD219" s="275"/>
      <c r="BE219" s="276"/>
      <c r="BF219" s="187">
        <f t="shared" si="102"/>
        <v>0</v>
      </c>
    </row>
    <row r="220" spans="1:75" s="195" customFormat="1">
      <c r="A220" s="122">
        <v>1</v>
      </c>
      <c r="B220" s="31"/>
      <c r="C220" s="30" t="s">
        <v>781</v>
      </c>
      <c r="D220" s="30"/>
      <c r="E220" s="30"/>
      <c r="F220" s="33" t="s">
        <v>856</v>
      </c>
      <c r="G220" s="33" t="s">
        <v>132</v>
      </c>
      <c r="H220" s="33"/>
      <c r="I220" s="67">
        <v>1</v>
      </c>
      <c r="J220" s="33"/>
      <c r="K220" s="69" t="e">
        <f>+GETPIVOTDATA("PPEF 2010 ",#REF!,"No. Ramo",8,"IPP","M","PP",1,"UR","I9H")+GETPIVOTDATA("PPEF 2010 ",#REF!,"No. Ramo",8,"IPP","O","PP",1,"UR","I9H")+GETPIVOTDATA("PPEF 2010 ",#REF!,"No. Ramo",8,"IPP","P","PP",1,"UR","I9H")</f>
        <v>#REF!</v>
      </c>
      <c r="L220" s="69" t="e">
        <f>+GETPIVOTDATA("Ampliación Neta DIP ",#REF!,"No. Ramo",8,"IPP","M","PP",1,"UR","I9H")+GETPIVOTDATA("Ampliación Neta DIP ",#REF!,"No. Ramo",8,"IPP","O","PP",1,"UR","I9H")+GETPIVOTDATA("Ampliación Neta DIP ",#REF!,"No. Ramo",8,"IPP","P","PP",1,"UR","I9H")</f>
        <v>#REF!</v>
      </c>
      <c r="M220" s="69" t="e">
        <f>+GETPIVOTDATA("Recorte SHCP ",#REF!,"No. Ramo",8,"IPP","M","PP",1,"UR","I9H")+GETPIVOTDATA("Recorte SHCP ",#REF!,"No. Ramo",8,"IPP","O","PP",1,"UR","I9H")+GETPIVOTDATA("Recorte SHCP ",#REF!,"No. Ramo",8,"IPP","P","PP",1,"UR","I9H")</f>
        <v>#REF!</v>
      </c>
      <c r="N220" s="69" t="e">
        <f>+GETPIVOTDATA("PEF 2010 ",#REF!,"No. Ramo",8,"IPP","M","PP",1,"UR","I9H")+GETPIVOTDATA("PEF 2010 ",#REF!,"No. Ramo",8,"IPP","O","PP",1,"UR","I9H")+GETPIVOTDATA("PEF 2010 ",#REF!,"No. Ramo",8,"IPP","P","PP",1,"UR","I9H")</f>
        <v>#REF!</v>
      </c>
      <c r="O220" s="69" t="e">
        <f>+GETPIVOTDATA("PPEF 2011 ",#REF!,"No. Ramo",8,"IPP","M","PP",1,"UR","I9H")+GETPIVOTDATA("PPEF 2011 ",#REF!,"No. Ramo",8,"IPP","O","PP",1,"UR","I9H")+GETPIVOTDATA("PPEF 2011 ",#REF!,"No. Ramo",8,"IPP","P","PP",1,"UR","I9H")</f>
        <v>#REF!</v>
      </c>
      <c r="P220" s="69" t="e">
        <f>+GETPIVOTDATA("Reducción ",#REF!,"No. Ramo",8,"IPP","M","PP",1,"UR","I9H")+GETPIVOTDATA("Reducción ",#REF!,"No. Ramo",8,"IPP","O","PP",1,"UR","I9H")+GETPIVOTDATA("Reducción ",#REF!,"No. Ramo",8,"IPP","P","PP",1,"UR","I9H")</f>
        <v>#REF!</v>
      </c>
      <c r="Q220" s="69" t="e">
        <f>+GETPIVOTDATA("Ampliación ",#REF!,"No. Ramo",8,"IPP","M","PP",1,"UR","I9H")+GETPIVOTDATA("Ampliación ",#REF!,"No. Ramo",8,"IPP","O","PP",1,"UR","I9H")+GETPIVOTDATA("Ampliación ",#REF!,"No. Ramo",8,"IPP","P","PP",1,"UR","I9H")</f>
        <v>#REF!</v>
      </c>
      <c r="R220" s="69" t="e">
        <f t="shared" si="79"/>
        <v>#REF!</v>
      </c>
      <c r="S220" s="69"/>
      <c r="T220" s="69"/>
      <c r="U220" s="69" t="e">
        <f t="shared" si="83"/>
        <v>#REF!</v>
      </c>
      <c r="V220" s="69" t="e">
        <f t="shared" si="83"/>
        <v>#REF!</v>
      </c>
      <c r="W220" s="69" t="e">
        <f t="shared" si="83"/>
        <v>#REF!</v>
      </c>
      <c r="X220" s="69" t="e">
        <f t="shared" si="83"/>
        <v>#REF!</v>
      </c>
      <c r="Y220"/>
      <c r="Z220"/>
      <c r="AA220"/>
      <c r="AB220"/>
      <c r="AC220"/>
      <c r="AD220"/>
      <c r="AE220"/>
      <c r="AF220"/>
      <c r="AG220"/>
      <c r="AH220" s="152"/>
      <c r="AI220" s="157" t="s">
        <v>781</v>
      </c>
      <c r="AJ220" s="158"/>
      <c r="AK220" s="158"/>
      <c r="AL220" s="277"/>
      <c r="AM220" s="277"/>
      <c r="AN220" s="277"/>
      <c r="AO220" s="278"/>
      <c r="AP220" s="146"/>
      <c r="AQ220" s="146"/>
      <c r="AR220" s="146"/>
      <c r="AS220" s="245"/>
      <c r="AT220" s="245"/>
      <c r="AU220" s="146"/>
      <c r="AX220" s="152"/>
      <c r="AY220" s="157" t="s">
        <v>781</v>
      </c>
      <c r="AZ220" s="158"/>
      <c r="BA220" s="158"/>
      <c r="BB220" s="275"/>
      <c r="BC220" s="275"/>
      <c r="BD220" s="275"/>
      <c r="BE220" s="276"/>
      <c r="BF220" s="187">
        <f t="shared" si="102"/>
        <v>0</v>
      </c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95" customFormat="1">
      <c r="A221" s="122">
        <v>1</v>
      </c>
      <c r="B221" s="31"/>
      <c r="C221" s="30" t="s">
        <v>782</v>
      </c>
      <c r="D221" s="30"/>
      <c r="E221" s="30"/>
      <c r="F221" s="33" t="s">
        <v>809</v>
      </c>
      <c r="G221" s="33" t="s">
        <v>13</v>
      </c>
      <c r="H221" s="33"/>
      <c r="I221" s="67">
        <v>1</v>
      </c>
      <c r="J221" s="33"/>
      <c r="K221" s="69" t="e">
        <f>+GETPIVOTDATA("PPEF 2010 ",#REF!,"No. Ramo",8,"IPP","G","PP",1,"UR","B00")*34.3042008749644%+GETPIVOTDATA("PPEF 2010 ",#REF!,"No. Ramo",8,"IPP","L","PP",1,"UR","B00")+GETPIVOTDATA("PPEF 2010 ",#REF!,"No. Ramo",8,"IPP","M","PP",1,"UR","B00")*95.5242387913895%+GETPIVOTDATA("PPEF 2010 ",#REF!,"No. Ramo",8,"IPP","O","PP",1,"UR","B00")+GETPIVOTDATA("PPEF 2010 ",#REF!,"No. Ramo",8,"IPP","O","PP",99,"UR","B00")</f>
        <v>#REF!</v>
      </c>
      <c r="L221" s="69" t="e">
        <f>+GETPIVOTDATA("Ampliación Neta DIP ",#REF!,"No. Ramo",8,"IPP","G","PP",1,"UR","B00")*34.3042008749644%+GETPIVOTDATA("Ampliación Neta DIP ",#REF!,"No. Ramo",8,"IPP","L","PP",1,"UR","B00")+GETPIVOTDATA("Ampliación Neta DIP ",#REF!,"No. Ramo",8,"IPP","M","PP",1,"UR","B00")*95.5242387913895%+GETPIVOTDATA("Ampliación Neta DIP ",#REF!,"No. Ramo",8,"IPP","O","PP",1,"UR","B00")+GETPIVOTDATA("Ampliación Neta DIP ",#REF!,"No. Ramo",8,"IPP","O","PP",99,"UR","B00")</f>
        <v>#REF!</v>
      </c>
      <c r="M221" s="69" t="e">
        <f>+GETPIVOTDATA("Recorte SHCP ",#REF!,"No. Ramo",8,"IPP","G","PP",1,"UR","B00")*34.3042008749644%+GETPIVOTDATA("Recorte SHCP ",#REF!,"No. Ramo",8,"IPP","L","PP",1,"UR","B00")+GETPIVOTDATA("Recorte SHCP ",#REF!,"No. Ramo",8,"IPP","M","PP",1,"UR","B00")*95.5242387913895%+GETPIVOTDATA("Recorte SHCP ",#REF!,"No. Ramo",8,"IPP","O","PP",1,"UR","B00")+GETPIVOTDATA("Recorte SHCP ",#REF!,"No. Ramo",8,"IPP","O","PP",99,"UR","B00")</f>
        <v>#REF!</v>
      </c>
      <c r="N221" s="69" t="e">
        <f>+GETPIVOTDATA("PEF 2010 ",#REF!,"No. Ramo",8,"IPP","G","PP",1,"UR","B00")*34.3042008749644%+GETPIVOTDATA("PEF 2010 ",#REF!,"No. Ramo",8,"IPP","L","PP",1,"UR","B00")+GETPIVOTDATA("PEF 2010 ",#REF!,"No. Ramo",8,"IPP","M","PP",1,"UR","B00")*95.5242387913895%+GETPIVOTDATA("PEF 2010 ",#REF!,"No. Ramo",8,"IPP","O","PP",1,"UR","B00")+GETPIVOTDATA("PEF 2010 ",#REF!,"No. Ramo",8,"IPP","O","PP",99,"UR","B00")</f>
        <v>#REF!</v>
      </c>
      <c r="O221" s="69" t="e">
        <f>+GETPIVOTDATA("PPEF 2011 ",#REF!,"No. Ramo",8,"IPP","G","PP",1,"UR","B00")*34.3042008749644%+GETPIVOTDATA("PPEF 2011 ",#REF!,"No. Ramo",8,"IPP","L","PP",1,"UR","B00")+GETPIVOTDATA("PPEF 2011 ",#REF!,"No. Ramo",8,"IPP","M","PP",1,"UR","B00")*95.5242387913895%+GETPIVOTDATA("PPEF 2011 ",#REF!,"No. Ramo",8,"IPP","O","PP",1,"UR","B00")+GETPIVOTDATA("PPEF 2011 ",#REF!,"No. Ramo",8,"IPP","O","PP",99,"UR","B00")</f>
        <v>#REF!</v>
      </c>
      <c r="P221" s="69" t="e">
        <f>+GETPIVOTDATA("Reducción ",#REF!,"No. Ramo",8,"IPP","G","PP",1,"UR","B00")*34.3042008749644%+GETPIVOTDATA("Reducción ",#REF!,"No. Ramo",8,"IPP","L","PP",1,"UR","B00")+GETPIVOTDATA("Reducción ",#REF!,"No. Ramo",8,"IPP","M","PP",1,"UR","B00")*95.5242387913895%+GETPIVOTDATA("Reducción ",#REF!,"No. Ramo",8,"IPP","O","PP",1,"UR","B00")+GETPIVOTDATA("Reducción ",#REF!,"No. Ramo",8,"IPP","O","PP",99,"UR","B00")</f>
        <v>#REF!</v>
      </c>
      <c r="Q221" s="69" t="e">
        <f>+GETPIVOTDATA("Ampliación ",#REF!,"No. Ramo",8,"IPP","G","PP",1,"UR","B00")*34.3042008749644%+GETPIVOTDATA("Ampliación ",#REF!,"No. Ramo",8,"IPP","L","PP",1,"UR","B00")+GETPIVOTDATA("Ampliación ",#REF!,"No. Ramo",8,"IPP","M","PP",1,"UR","B00")*95.5242387913895%+GETPIVOTDATA("Ampliación ",#REF!,"No. Ramo",8,"IPP","O","PP",1,"UR","B00")+GETPIVOTDATA("Ampliación ",#REF!,"No. Ramo",8,"IPP","O","PP",99,"UR","B00")</f>
        <v>#REF!</v>
      </c>
      <c r="R221" s="69" t="e">
        <f t="shared" si="79"/>
        <v>#REF!</v>
      </c>
      <c r="S221" s="69"/>
      <c r="T221" s="69"/>
      <c r="U221" s="69" t="e">
        <f t="shared" si="83"/>
        <v>#REF!</v>
      </c>
      <c r="V221" s="69" t="e">
        <f t="shared" si="83"/>
        <v>#REF!</v>
      </c>
      <c r="W221" s="69" t="e">
        <f t="shared" si="83"/>
        <v>#REF!</v>
      </c>
      <c r="X221" s="69" t="e">
        <f t="shared" si="83"/>
        <v>#REF!</v>
      </c>
      <c r="Y221"/>
      <c r="Z221"/>
      <c r="AA221"/>
      <c r="AB221"/>
      <c r="AC221"/>
      <c r="AD221"/>
      <c r="AE221"/>
      <c r="AF221"/>
      <c r="AG221"/>
      <c r="AH221" s="152"/>
      <c r="AI221" s="157" t="s">
        <v>782</v>
      </c>
      <c r="AJ221" s="158"/>
      <c r="AK221" s="158"/>
      <c r="AL221" s="277"/>
      <c r="AM221" s="277"/>
      <c r="AN221" s="277"/>
      <c r="AO221" s="278"/>
      <c r="AP221" s="146"/>
      <c r="AQ221" s="146"/>
      <c r="AR221" s="146"/>
      <c r="AS221" s="245"/>
      <c r="AT221" s="245"/>
      <c r="AU221" s="146"/>
      <c r="AX221" s="152"/>
      <c r="AY221" s="157" t="s">
        <v>782</v>
      </c>
      <c r="AZ221" s="158"/>
      <c r="BA221" s="158"/>
      <c r="BB221" s="275"/>
      <c r="BC221" s="275"/>
      <c r="BD221" s="275"/>
      <c r="BE221" s="276"/>
      <c r="BF221" s="187">
        <f t="shared" si="102"/>
        <v>0</v>
      </c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95" customFormat="1">
      <c r="A222" s="122">
        <v>1</v>
      </c>
      <c r="B222" s="31"/>
      <c r="C222" s="30" t="s">
        <v>783</v>
      </c>
      <c r="D222" s="30"/>
      <c r="E222" s="30"/>
      <c r="F222" s="33" t="s">
        <v>858</v>
      </c>
      <c r="G222" s="33" t="s">
        <v>37</v>
      </c>
      <c r="H222" s="33"/>
      <c r="I222" s="67">
        <v>1</v>
      </c>
      <c r="J222" s="33"/>
      <c r="K222" s="69" t="e">
        <f>+GETPIVOTDATA("PPEF 2010 ",#REF!,"No. Ramo",8,"IPP","P","PP",1,"UR","G00")+GETPIVOTDATA("PPEF 2010 ",#REF!,"No. Ramo",8,"IPP","O","PP",99,"UR","G00")+GETPIVOTDATA("PPEF 2010 ",#REF!,"No. Ramo",8,"IPP","M","PP",1,"UR","G00")</f>
        <v>#REF!</v>
      </c>
      <c r="L222" s="69" t="e">
        <f>+GETPIVOTDATA("Ampliación Neta DIP ",#REF!,"No. Ramo",8,"IPP","P","PP",1,"UR","G00")+GETPIVOTDATA("Ampliación Neta DIP ",#REF!,"No. Ramo",8,"IPP","O","PP",99,"UR","G00")+GETPIVOTDATA("Ampliación Neta DIP ",#REF!,"No. Ramo",8,"IPP","M","PP",1,"UR","G00")</f>
        <v>#REF!</v>
      </c>
      <c r="M222" s="69" t="e">
        <f>+GETPIVOTDATA("Recorte SHCP ",#REF!,"No. Ramo",8,"IPP","P","PP",1,"UR","G00")+GETPIVOTDATA("Recorte SHCP ",#REF!,"No. Ramo",8,"IPP","O","PP",99,"UR","G00")+GETPIVOTDATA("Recorte SHCP ",#REF!,"No. Ramo",8,"IPP","M","PP",1,"UR","G00")</f>
        <v>#REF!</v>
      </c>
      <c r="N222" s="69" t="e">
        <f>+GETPIVOTDATA("PEF 2010 ",#REF!,"No. Ramo",8,"IPP","P","PP",1,"UR","G00")+GETPIVOTDATA("PEF 2010 ",#REF!,"No. Ramo",8,"IPP","O","PP",99,"UR","G00")+GETPIVOTDATA("PEF 2010 ",#REF!,"No. Ramo",8,"IPP","M","PP",1,"UR","G00")</f>
        <v>#REF!</v>
      </c>
      <c r="O222" s="69" t="e">
        <f>+GETPIVOTDATA("PPEF 2011 ",#REF!,"No. Ramo",8,"IPP","P","PP",1,"UR","G00")+GETPIVOTDATA("PPEF 2011 ",#REF!,"No. Ramo",8,"IPP","O","PP",99,"UR","G00")+GETPIVOTDATA("PPEF 2011 ",#REF!,"No. Ramo",8,"IPP","M","PP",1,"UR","G00")</f>
        <v>#REF!</v>
      </c>
      <c r="P222" s="69" t="e">
        <f>+GETPIVOTDATA("Reducción ",#REF!,"No. Ramo",8,"IPP","P","PP",1,"UR","G00")+GETPIVOTDATA("Reducción ",#REF!,"No. Ramo",8,"IPP","O","PP",99,"UR","G00")+GETPIVOTDATA("Reducción ",#REF!,"No. Ramo",8,"IPP","M","PP",1,"UR","G00")</f>
        <v>#REF!</v>
      </c>
      <c r="Q222" s="69" t="e">
        <f>+GETPIVOTDATA("Ampliación ",#REF!,"No. Ramo",8,"IPP","P","PP",1,"UR","G00")+GETPIVOTDATA("Ampliación ",#REF!,"No. Ramo",8,"IPP","O","PP",99,"UR","G00")+GETPIVOTDATA("Ampliación ",#REF!,"No. Ramo",8,"IPP","M","PP",1,"UR","G00")</f>
        <v>#REF!</v>
      </c>
      <c r="R222" s="69" t="e">
        <f t="shared" si="79"/>
        <v>#REF!</v>
      </c>
      <c r="S222" s="69"/>
      <c r="T222" s="69"/>
      <c r="U222" s="69" t="e">
        <f t="shared" si="83"/>
        <v>#REF!</v>
      </c>
      <c r="V222" s="69" t="e">
        <f t="shared" si="83"/>
        <v>#REF!</v>
      </c>
      <c r="W222" s="69" t="e">
        <f t="shared" si="83"/>
        <v>#REF!</v>
      </c>
      <c r="X222" s="69" t="e">
        <f t="shared" si="83"/>
        <v>#REF!</v>
      </c>
      <c r="Y222" s="19"/>
      <c r="Z222" s="98"/>
      <c r="AA222"/>
      <c r="AB222"/>
      <c r="AC222"/>
      <c r="AD222"/>
      <c r="AE222"/>
      <c r="AF222"/>
      <c r="AG222"/>
      <c r="AH222" s="152"/>
      <c r="AI222" s="157" t="s">
        <v>783</v>
      </c>
      <c r="AJ222" s="158"/>
      <c r="AK222" s="158"/>
      <c r="AL222" s="277"/>
      <c r="AM222" s="277"/>
      <c r="AN222" s="277"/>
      <c r="AO222" s="278"/>
      <c r="AP222" s="146"/>
      <c r="AQ222" s="146"/>
      <c r="AR222" s="146"/>
      <c r="AS222" s="245"/>
      <c r="AT222" s="245"/>
      <c r="AU222" s="146"/>
      <c r="AX222" s="152"/>
      <c r="AY222" s="157" t="s">
        <v>783</v>
      </c>
      <c r="AZ222" s="158"/>
      <c r="BA222" s="158"/>
      <c r="BB222" s="275"/>
      <c r="BC222" s="275"/>
      <c r="BD222" s="275"/>
      <c r="BE222" s="276"/>
      <c r="BF222" s="187">
        <f t="shared" si="102"/>
        <v>0</v>
      </c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95" customFormat="1">
      <c r="A223" s="122">
        <v>1</v>
      </c>
      <c r="B223" s="31"/>
      <c r="C223" s="30" t="s">
        <v>784</v>
      </c>
      <c r="D223" s="30"/>
      <c r="E223" s="30"/>
      <c r="F223" s="33" t="s">
        <v>859</v>
      </c>
      <c r="G223" s="33" t="s">
        <v>15</v>
      </c>
      <c r="H223" s="33"/>
      <c r="I223" s="67">
        <v>1</v>
      </c>
      <c r="J223" s="33"/>
      <c r="K223" s="69" t="e">
        <f>+GETPIVOTDATA("PPEF 2010 ",#REF!,"No. Ramo",8,"IPP","K","PP",27,"UR","C00")+GETPIVOTDATA("PPEF 2010 ",#REF!,"No. Ramo",8,"IPP","M","PP",1,"UR","C00")+GETPIVOTDATA("PPEF 2010 ",#REF!,"No. Ramo",8,"IPP","O","PP",99,"UR","C00")+GETPIVOTDATA("PPEF 2010 ",#REF!,"No. Ramo",8,"IPP","P","PP",1,"UR","C00")+GETPIVOTDATA("PPEF 2010 ",#REF!,"No. Ramo",8,"IPP","R","PP",3,"UR","C00")</f>
        <v>#REF!</v>
      </c>
      <c r="L223" s="69" t="e">
        <f>+GETPIVOTDATA("Ampliación Neta DIP ",#REF!,"No. Ramo",8,"IPP","K","PP",27,"UR","C00")+GETPIVOTDATA("Ampliación Neta DIP ",#REF!,"No. Ramo",8,"IPP","M","PP",1,"UR","C00")+GETPIVOTDATA("Ampliación Neta DIP ",#REF!,"No. Ramo",8,"IPP","O","PP",99,"UR","C00")+GETPIVOTDATA("Ampliación Neta DIP ",#REF!,"No. Ramo",8,"IPP","P","PP",1,"UR","C00")+GETPIVOTDATA("Ampliación Neta DIP ",#REF!,"No. Ramo",8,"IPP","R","PP",3,"UR","C00")</f>
        <v>#REF!</v>
      </c>
      <c r="M223" s="69" t="e">
        <f>+GETPIVOTDATA("Recorte SHCP ",#REF!,"No. Ramo",8,"IPP","K","PP",27,"UR","C00")+GETPIVOTDATA("Recorte SHCP ",#REF!,"No. Ramo",8,"IPP","M","PP",1,"UR","C00")+GETPIVOTDATA("Recorte SHCP ",#REF!,"No. Ramo",8,"IPP","O","PP",99,"UR","C00")+GETPIVOTDATA("Recorte SHCP ",#REF!,"No. Ramo",8,"IPP","P","PP",1,"UR","C00")+GETPIVOTDATA("Recorte SHCP ",#REF!,"No. Ramo",8,"IPP","R","PP",3,"UR","C00")</f>
        <v>#REF!</v>
      </c>
      <c r="N223" s="69" t="e">
        <f>+GETPIVOTDATA("PEF 2010 ",#REF!,"No. Ramo",8,"IPP","K","PP",27,"UR","C00")+GETPIVOTDATA("PEF 2010 ",#REF!,"No. Ramo",8,"IPP","M","PP",1,"UR","C00")+GETPIVOTDATA("PEF 2010 ",#REF!,"No. Ramo",8,"IPP","O","PP",99,"UR","C00")+GETPIVOTDATA("PEF 2010 ",#REF!,"No. Ramo",8,"IPP","P","PP",1,"UR","C00")+GETPIVOTDATA("PEF 2010 ",#REF!,"No. Ramo",8,"IPP","R","PP",3,"UR","C00")</f>
        <v>#REF!</v>
      </c>
      <c r="O223" s="69" t="e">
        <f>+GETPIVOTDATA("PPEF 2011 ",#REF!,"No. Ramo",8,"IPP","K","PP",27,"UR","C00")+GETPIVOTDATA("PPEF 2011 ",#REF!,"No. Ramo",8,"IPP","M","PP",1,"UR","C00")+GETPIVOTDATA("PPEF 2011 ",#REF!,"No. Ramo",8,"IPP","O","PP",99,"UR","C00")+GETPIVOTDATA("PPEF 2011 ",#REF!,"No. Ramo",8,"IPP","P","PP",1,"UR","C00")+GETPIVOTDATA("PPEF 2011 ",#REF!,"No. Ramo",8,"IPP","R","PP",3,"UR","C00")</f>
        <v>#REF!</v>
      </c>
      <c r="P223" s="69" t="e">
        <f>+GETPIVOTDATA("Reducción ",#REF!,"No. Ramo",8,"IPP","K","PP",27,"UR","C00")+GETPIVOTDATA("Reducción ",#REF!,"No. Ramo",8,"IPP","M","PP",1,"UR","C00")+GETPIVOTDATA("Reducción ",#REF!,"No. Ramo",8,"IPP","O","PP",99,"UR","C00")+GETPIVOTDATA("Reducción ",#REF!,"No. Ramo",8,"IPP","P","PP",1,"UR","C00")+GETPIVOTDATA("Reducción ",#REF!,"No. Ramo",8,"IPP","R","PP",3,"UR","C00")</f>
        <v>#REF!</v>
      </c>
      <c r="Q223" s="69" t="e">
        <f>+GETPIVOTDATA("Ampliación ",#REF!,"No. Ramo",8,"IPP","K","PP",27,"UR","C00")+GETPIVOTDATA("Ampliación ",#REF!,"No. Ramo",8,"IPP","M","PP",1,"UR","C00")+GETPIVOTDATA("Ampliación ",#REF!,"No. Ramo",8,"IPP","O","PP",99,"UR","C00")+GETPIVOTDATA("Ampliación ",#REF!,"No. Ramo",8,"IPP","P","PP",1,"UR","C00")+GETPIVOTDATA("Ampliación ",#REF!,"No. Ramo",8,"IPP","R","PP",3,"UR","C00")</f>
        <v>#REF!</v>
      </c>
      <c r="R223" s="69" t="e">
        <f t="shared" si="79"/>
        <v>#REF!</v>
      </c>
      <c r="S223" s="69"/>
      <c r="T223" s="69"/>
      <c r="U223" s="69" t="e">
        <f t="shared" si="83"/>
        <v>#REF!</v>
      </c>
      <c r="V223" s="69" t="e">
        <f t="shared" si="83"/>
        <v>#REF!</v>
      </c>
      <c r="W223" s="69" t="e">
        <f t="shared" si="83"/>
        <v>#REF!</v>
      </c>
      <c r="X223" s="69" t="e">
        <f t="shared" si="83"/>
        <v>#REF!</v>
      </c>
      <c r="Y223"/>
      <c r="Z223"/>
      <c r="AA223"/>
      <c r="AB223"/>
      <c r="AC223"/>
      <c r="AD223"/>
      <c r="AE223"/>
      <c r="AF223"/>
      <c r="AG223"/>
      <c r="AH223" s="152"/>
      <c r="AI223" s="157" t="s">
        <v>784</v>
      </c>
      <c r="AJ223" s="158"/>
      <c r="AK223" s="158"/>
      <c r="AL223" s="277"/>
      <c r="AM223" s="277"/>
      <c r="AN223" s="277"/>
      <c r="AO223" s="278"/>
      <c r="AP223" s="146"/>
      <c r="AQ223" s="146"/>
      <c r="AR223" s="146"/>
      <c r="AS223" s="245"/>
      <c r="AT223" s="245"/>
      <c r="AU223" s="146"/>
      <c r="AX223" s="152"/>
      <c r="AY223" s="157" t="s">
        <v>784</v>
      </c>
      <c r="AZ223" s="158"/>
      <c r="BA223" s="158"/>
      <c r="BB223" s="275"/>
      <c r="BC223" s="275"/>
      <c r="BD223" s="275"/>
      <c r="BE223" s="276"/>
      <c r="BF223" s="187">
        <f t="shared" si="102"/>
        <v>0</v>
      </c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95" customFormat="1">
      <c r="A224" s="122">
        <v>1</v>
      </c>
      <c r="B224" s="31"/>
      <c r="C224" s="30" t="s">
        <v>785</v>
      </c>
      <c r="D224" s="30"/>
      <c r="E224" s="30"/>
      <c r="F224" s="33" t="s">
        <v>858</v>
      </c>
      <c r="G224" s="33" t="s">
        <v>18</v>
      </c>
      <c r="H224" s="33"/>
      <c r="I224" s="67">
        <v>1</v>
      </c>
      <c r="J224" s="33"/>
      <c r="K224" s="69" t="e">
        <f>+GETPIVOTDATA("PPEF 2010 ",#REF!,"No. Ramo",8,"IPP","M","PP",1,"UR","F00")+GETPIVOTDATA("PPEF 2010 ",#REF!,"No. Ramo",8,"IPP","O","PP",1,"UR","F00")+GETPIVOTDATA("PPEF 2010 ",#REF!,"No. Ramo",8,"IPP","O","PP",99,"UR","F00")+GETPIVOTDATA("PPEF 2010 ",#REF!,"No. Ramo",8,"IPP","P","PP",1,"UR","F00")</f>
        <v>#REF!</v>
      </c>
      <c r="L224" s="69" t="e">
        <f>+GETPIVOTDATA("Ampliación Neta DIP ",#REF!,"No. Ramo",8,"IPP","M","PP",1,"UR","F00")+GETPIVOTDATA("Ampliación Neta DIP ",#REF!,"No. Ramo",8,"IPP","O","PP",1,"UR","F00")+GETPIVOTDATA("Ampliación Neta DIP ",#REF!,"No. Ramo",8,"IPP","O","PP",99,"UR","F00")+GETPIVOTDATA("Ampliación Neta DIP ",#REF!,"No. Ramo",8,"IPP","P","PP",1,"UR","F00")</f>
        <v>#REF!</v>
      </c>
      <c r="M224" s="69" t="e">
        <f>+GETPIVOTDATA("Recorte SHCP ",#REF!,"No. Ramo",8,"IPP","M","PP",1,"UR","F00")+GETPIVOTDATA("Recorte SHCP ",#REF!,"No. Ramo",8,"IPP","O","PP",1,"UR","F00")+GETPIVOTDATA("Recorte SHCP ",#REF!,"No. Ramo",8,"IPP","O","PP",99,"UR","F00")+GETPIVOTDATA("Recorte SHCP ",#REF!,"No. Ramo",8,"IPP","P","PP",1,"UR","F00")</f>
        <v>#REF!</v>
      </c>
      <c r="N224" s="69" t="e">
        <f>+GETPIVOTDATA("PEF 2010 ",#REF!,"No. Ramo",8,"IPP","M","PP",1,"UR","F00")+GETPIVOTDATA("PEF 2010 ",#REF!,"No. Ramo",8,"IPP","O","PP",1,"UR","F00")+GETPIVOTDATA("PEF 2010 ",#REF!,"No. Ramo",8,"IPP","O","PP",99,"UR","F00")+GETPIVOTDATA("PEF 2010 ",#REF!,"No. Ramo",8,"IPP","P","PP",1,"UR","F00")</f>
        <v>#REF!</v>
      </c>
      <c r="O224" s="69" t="e">
        <f>+GETPIVOTDATA("PPEF 2011 ",#REF!,"No. Ramo",8,"IPP","M","PP",1,"UR","F00")+GETPIVOTDATA("PPEF 2011 ",#REF!,"No. Ramo",8,"IPP","O","PP",1,"UR","F00")+GETPIVOTDATA("PPEF 2011 ",#REF!,"No. Ramo",8,"IPP","O","PP",99,"UR","F00")+GETPIVOTDATA("PPEF 2011 ",#REF!,"No. Ramo",8,"IPP","P","PP",1,"UR","F00")</f>
        <v>#REF!</v>
      </c>
      <c r="P224" s="69" t="e">
        <f>+GETPIVOTDATA("Reducción ",#REF!,"No. Ramo",8,"IPP","M","PP",1,"UR","F00")+GETPIVOTDATA("Reducción ",#REF!,"No. Ramo",8,"IPP","O","PP",1,"UR","F00")+GETPIVOTDATA("Reducción ",#REF!,"No. Ramo",8,"IPP","O","PP",99,"UR","F00")+GETPIVOTDATA("Reducción ",#REF!,"No. Ramo",8,"IPP","P","PP",1,"UR","F00")</f>
        <v>#REF!</v>
      </c>
      <c r="Q224" s="69" t="e">
        <f>+GETPIVOTDATA("Ampliación ",#REF!,"No. Ramo",8,"IPP","M","PP",1,"UR","F00")+GETPIVOTDATA("Ampliación ",#REF!,"No. Ramo",8,"IPP","O","PP",1,"UR","F00")+GETPIVOTDATA("Ampliación ",#REF!,"No. Ramo",8,"IPP","O","PP",99,"UR","F00")+GETPIVOTDATA("Ampliación ",#REF!,"No. Ramo",8,"IPP","P","PP",1,"UR","F00")</f>
        <v>#REF!</v>
      </c>
      <c r="R224" s="69" t="e">
        <f t="shared" si="79"/>
        <v>#REF!</v>
      </c>
      <c r="S224" s="69"/>
      <c r="T224" s="69"/>
      <c r="U224" s="69" t="e">
        <f t="shared" si="83"/>
        <v>#REF!</v>
      </c>
      <c r="V224" s="69" t="e">
        <f t="shared" si="83"/>
        <v>#REF!</v>
      </c>
      <c r="W224" s="69" t="e">
        <f t="shared" si="83"/>
        <v>#REF!</v>
      </c>
      <c r="X224" s="69" t="e">
        <f t="shared" si="83"/>
        <v>#REF!</v>
      </c>
      <c r="Y224"/>
      <c r="Z224"/>
      <c r="AA224"/>
      <c r="AB224"/>
      <c r="AC224"/>
      <c r="AD224"/>
      <c r="AE224"/>
      <c r="AF224"/>
      <c r="AG224"/>
      <c r="AH224" s="152"/>
      <c r="AI224" s="157" t="s">
        <v>785</v>
      </c>
      <c r="AJ224" s="158"/>
      <c r="AK224" s="158"/>
      <c r="AL224" s="277"/>
      <c r="AM224" s="277"/>
      <c r="AN224" s="277"/>
      <c r="AO224" s="278"/>
      <c r="AP224" s="146"/>
      <c r="AQ224" s="146"/>
      <c r="AR224" s="146"/>
      <c r="AS224" s="245"/>
      <c r="AT224" s="245"/>
      <c r="AU224" s="146"/>
      <c r="AX224" s="152"/>
      <c r="AY224" s="157" t="s">
        <v>785</v>
      </c>
      <c r="AZ224" s="158"/>
      <c r="BA224" s="158"/>
      <c r="BB224" s="275"/>
      <c r="BC224" s="275"/>
      <c r="BD224" s="275"/>
      <c r="BE224" s="276"/>
      <c r="BF224" s="187">
        <f t="shared" si="102"/>
        <v>0</v>
      </c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95" customFormat="1">
      <c r="A225" s="122">
        <v>1</v>
      </c>
      <c r="B225" s="31"/>
      <c r="C225" s="30" t="s">
        <v>786</v>
      </c>
      <c r="D225" s="30"/>
      <c r="E225" s="30"/>
      <c r="F225" s="33" t="s">
        <v>860</v>
      </c>
      <c r="G225" s="33" t="s">
        <v>12</v>
      </c>
      <c r="H225" s="33"/>
      <c r="I225" s="67">
        <v>1</v>
      </c>
      <c r="J225" s="33"/>
      <c r="K225" s="69" t="e">
        <f>+GETPIVOTDATA("PPEF 2010 ",#REF!,"No. Ramo",8,"IPP","E","PP",11,"UR","I00")+GETPIVOTDATA("PPEF 2010 ",#REF!,"No. Ramo",8,"IPP","G","PP",1,"UR","I00")+GETPIVOTDATA("PPEF 2010 ",#REF!,"No. Ramo",8,"IPP","M","PP",1,"UR","I00")+GETPIVOTDATA("PPEF 2010 ",#REF!,"No. Ramo",8,"IPP","O","PP",1,"UR","I00")+GETPIVOTDATA("PPEF 2010 ",#REF!,"No. Ramo",8,"IPP","O","PP",99,"UR","I00")+GETPIVOTDATA("PPEF 2010 ",#REF!,"No. Ramo",8,"IPP","R","PP",3,"UR","I00")+GETPIVOTDATA("PPEF 2010 ",#REF!,"No. Ramo",8,"IPP","U","PP",13,"UR","I00")</f>
        <v>#REF!</v>
      </c>
      <c r="L225" s="69" t="e">
        <f>+GETPIVOTDATA("Ampliación Neta DIP ",#REF!,"No. Ramo",8,"IPP","E","PP",11,"UR","I00")+GETPIVOTDATA("Ampliación Neta DIP ",#REF!,"No. Ramo",8,"IPP","G","PP",1,"UR","I00")+GETPIVOTDATA("Ampliación Neta DIP ",#REF!,"No. Ramo",8,"IPP","M","PP",1,"UR","I00")+GETPIVOTDATA("Ampliación Neta DIP ",#REF!,"No. Ramo",8,"IPP","O","PP",1,"UR","I00")+GETPIVOTDATA("Ampliación Neta DIP ",#REF!,"No. Ramo",8,"IPP","O","PP",99,"UR","I00")+GETPIVOTDATA("Ampliación Neta DIP ",#REF!,"No. Ramo",8,"IPP","R","PP",3,"UR","I00")+GETPIVOTDATA("Ampliación Neta DIP ",#REF!,"No. Ramo",8,"IPP","U","PP",13,"UR","I00")</f>
        <v>#REF!</v>
      </c>
      <c r="M225" s="69" t="e">
        <f>+GETPIVOTDATA("Recorte SHCP ",#REF!,"No. Ramo",8,"IPP","E","PP",11,"UR","I00")+GETPIVOTDATA("Recorte SHCP ",#REF!,"No. Ramo",8,"IPP","G","PP",1,"UR","I00")+GETPIVOTDATA("Recorte SHCP ",#REF!,"No. Ramo",8,"IPP","M","PP",1,"UR","I00")+GETPIVOTDATA("Recorte SHCP ",#REF!,"No. Ramo",8,"IPP","O","PP",1,"UR","I00")+GETPIVOTDATA("Recorte SHCP ",#REF!,"No. Ramo",8,"IPP","O","PP",99,"UR","I00")+GETPIVOTDATA("Recorte SHCP ",#REF!,"No. Ramo",8,"IPP","R","PP",3,"UR","I00")+GETPIVOTDATA("Recorte SHCP ",#REF!,"No. Ramo",8,"IPP","U","PP",13,"UR","I00")</f>
        <v>#REF!</v>
      </c>
      <c r="N225" s="69" t="e">
        <f>+GETPIVOTDATA("PEF 2010 ",#REF!,"No. Ramo",8,"IPP","E","PP",11,"UR","I00")+GETPIVOTDATA("PEF 2010 ",#REF!,"No. Ramo",8,"IPP","G","PP",1,"UR","I00")+GETPIVOTDATA("PEF 2010 ",#REF!,"No. Ramo",8,"IPP","M","PP",1,"UR","I00")+GETPIVOTDATA("PEF 2010 ",#REF!,"No. Ramo",8,"IPP","O","PP",1,"UR","I00")+GETPIVOTDATA("PEF 2010 ",#REF!,"No. Ramo",8,"IPP","O","PP",99,"UR","I00")+GETPIVOTDATA("PEF 2010 ",#REF!,"No. Ramo",8,"IPP","R","PP",3,"UR","I00")+GETPIVOTDATA("PEF 2010 ",#REF!,"No. Ramo",8,"IPP","U","PP",13,"UR","I00")</f>
        <v>#REF!</v>
      </c>
      <c r="O225" s="69" t="e">
        <f>+GETPIVOTDATA("PPEF 2011 ",#REF!,"No. Ramo",8,"IPP","E","PP",11,"UR","I00")+GETPIVOTDATA("PPEF 2011 ",#REF!,"No. Ramo",8,"IPP","G","PP",1,"UR","I00")+GETPIVOTDATA("PPEF 2011 ",#REF!,"No. Ramo",8,"IPP","M","PP",1,"UR","I00")+GETPIVOTDATA("PPEF 2011 ",#REF!,"No. Ramo",8,"IPP","O","PP",1,"UR","I00")+GETPIVOTDATA("PPEF 2011 ",#REF!,"No. Ramo",8,"IPP","O","PP",99,"UR","I00")+GETPIVOTDATA("PPEF 2011 ",#REF!,"No. Ramo",8,"IPP","R","PP",3,"UR","I00")+GETPIVOTDATA("PPEF 2011 ",#REF!,"No. Ramo",8,"IPP","U","PP",13,"UR","I00")</f>
        <v>#REF!</v>
      </c>
      <c r="P225" s="69" t="e">
        <f>+GETPIVOTDATA("Reducción ",#REF!,"No. Ramo",8,"IPP","E","PP",11,"UR","I00")+GETPIVOTDATA("Reducción ",#REF!,"No. Ramo",8,"IPP","G","PP",1,"UR","I00")+GETPIVOTDATA("Reducción ",#REF!,"No. Ramo",8,"IPP","M","PP",1,"UR","I00")+GETPIVOTDATA("Reducción ",#REF!,"No. Ramo",8,"IPP","O","PP",1,"UR","I00")+GETPIVOTDATA("Reducción ",#REF!,"No. Ramo",8,"IPP","O","PP",99,"UR","I00")+GETPIVOTDATA("Reducción ",#REF!,"No. Ramo",8,"IPP","R","PP",3,"UR","I00")+GETPIVOTDATA("Reducción ",#REF!,"No. Ramo",8,"IPP","U","PP",13,"UR","I00")</f>
        <v>#REF!</v>
      </c>
      <c r="Q225" s="69" t="e">
        <f>+GETPIVOTDATA("Ampliación ",#REF!,"No. Ramo",8,"IPP","E","PP",11,"UR","I00")+GETPIVOTDATA("Ampliación ",#REF!,"No. Ramo",8,"IPP","G","PP",1,"UR","I00")+GETPIVOTDATA("Ampliación ",#REF!,"No. Ramo",8,"IPP","M","PP",1,"UR","I00")+GETPIVOTDATA("Ampliación ",#REF!,"No. Ramo",8,"IPP","O","PP",1,"UR","I00")+GETPIVOTDATA("Ampliación ",#REF!,"No. Ramo",8,"IPP","O","PP",99,"UR","I00")+GETPIVOTDATA("Ampliación ",#REF!,"No. Ramo",8,"IPP","R","PP",3,"UR","I00")+GETPIVOTDATA("Ampliación ",#REF!,"No. Ramo",8,"IPP","U","PP",13,"UR","I00")</f>
        <v>#REF!</v>
      </c>
      <c r="R225" s="69" t="e">
        <f t="shared" si="79"/>
        <v>#REF!</v>
      </c>
      <c r="S225" s="69"/>
      <c r="T225" s="69"/>
      <c r="U225" s="69" t="e">
        <f t="shared" si="83"/>
        <v>#REF!</v>
      </c>
      <c r="V225" s="69" t="e">
        <f t="shared" si="83"/>
        <v>#REF!</v>
      </c>
      <c r="W225" s="69" t="e">
        <f t="shared" si="83"/>
        <v>#REF!</v>
      </c>
      <c r="X225" s="69" t="e">
        <f t="shared" si="83"/>
        <v>#REF!</v>
      </c>
      <c r="Y225"/>
      <c r="Z225"/>
      <c r="AA225"/>
      <c r="AB225"/>
      <c r="AC225"/>
      <c r="AD225"/>
      <c r="AE225"/>
      <c r="AF225"/>
      <c r="AG225"/>
      <c r="AH225" s="152"/>
      <c r="AI225" s="157" t="s">
        <v>786</v>
      </c>
      <c r="AJ225" s="158"/>
      <c r="AK225" s="158"/>
      <c r="AL225" s="277"/>
      <c r="AM225" s="277"/>
      <c r="AN225" s="277"/>
      <c r="AO225" s="278"/>
      <c r="AP225" s="146"/>
      <c r="AQ225" s="146"/>
      <c r="AR225" s="146"/>
      <c r="AS225" s="245"/>
      <c r="AT225" s="245"/>
      <c r="AU225" s="146"/>
      <c r="AX225" s="152"/>
      <c r="AY225" s="157" t="s">
        <v>786</v>
      </c>
      <c r="AZ225" s="158"/>
      <c r="BA225" s="158"/>
      <c r="BB225" s="275"/>
      <c r="BC225" s="275"/>
      <c r="BD225" s="275"/>
      <c r="BE225" s="276"/>
      <c r="BF225" s="187">
        <f t="shared" si="102"/>
        <v>0</v>
      </c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95" customFormat="1">
      <c r="A226" s="122">
        <v>1</v>
      </c>
      <c r="B226" s="31"/>
      <c r="C226" s="30" t="s">
        <v>787</v>
      </c>
      <c r="D226" s="30"/>
      <c r="E226" s="30"/>
      <c r="F226" s="33" t="s">
        <v>857</v>
      </c>
      <c r="G226" s="33" t="s">
        <v>129</v>
      </c>
      <c r="H226" s="33"/>
      <c r="I226" s="67">
        <v>1</v>
      </c>
      <c r="J226" s="33"/>
      <c r="K226" s="69" t="e">
        <f>+GETPIVOTDATA("PPEF 2010 ",#REF!,"No. Ramo",8,"IPP","M","PP",1,"UR","AFU")+GETPIVOTDATA("PPEF 2010 ",#REF!,"No. Ramo",8,"IPP","P","PP",1,"UR","AFU")</f>
        <v>#REF!</v>
      </c>
      <c r="L226" s="69" t="e">
        <f>+GETPIVOTDATA("Ampliación Neta DIP ",#REF!,"No. Ramo",8,"IPP","M","PP",1,"UR","AFU")+GETPIVOTDATA("Ampliación Neta DIP ",#REF!,"No. Ramo",8,"IPP","P","PP",1,"UR","AFU")</f>
        <v>#REF!</v>
      </c>
      <c r="M226" s="69" t="e">
        <f>+GETPIVOTDATA("Recorte SHCP ",#REF!,"No. Ramo",8,"IPP","M","PP",1,"UR","AFU")+GETPIVOTDATA("Recorte SHCP ",#REF!,"No. Ramo",8,"IPP","P","PP",1,"UR","AFU")</f>
        <v>#REF!</v>
      </c>
      <c r="N226" s="69" t="e">
        <f>+GETPIVOTDATA("PEF 2010 ",#REF!,"No. Ramo",8,"IPP","M","PP",1,"UR","AFU")+GETPIVOTDATA("PEF 2010 ",#REF!,"No. Ramo",8,"IPP","P","PP",1,"UR","AFU")</f>
        <v>#REF!</v>
      </c>
      <c r="O226" s="69" t="e">
        <f>+GETPIVOTDATA("PPEF 2011 ",#REF!,"No. Ramo",8,"IPP","M","PP",1,"UR","AFU")+GETPIVOTDATA("PPEF 2011 ",#REF!,"No. Ramo",8,"IPP","P","PP",1,"UR","AFU")</f>
        <v>#REF!</v>
      </c>
      <c r="P226" s="69" t="e">
        <f>+GETPIVOTDATA("Reducción ",#REF!,"No. Ramo",8,"IPP","M","PP",1,"UR","AFU")+GETPIVOTDATA("Reducción ",#REF!,"No. Ramo",8,"IPP","P","PP",1,"UR","AFU")</f>
        <v>#REF!</v>
      </c>
      <c r="Q226" s="69" t="e">
        <f>+GETPIVOTDATA("Ampliación ",#REF!,"No. Ramo",8,"IPP","M","PP",1,"UR","AFU")+GETPIVOTDATA("Ampliación ",#REF!,"No. Ramo",8,"IPP","P","PP",1,"UR","AFU")</f>
        <v>#REF!</v>
      </c>
      <c r="R226" s="69" t="e">
        <f t="shared" si="79"/>
        <v>#REF!</v>
      </c>
      <c r="S226" s="69"/>
      <c r="T226" s="69"/>
      <c r="U226" s="69" t="e">
        <f t="shared" si="83"/>
        <v>#REF!</v>
      </c>
      <c r="V226" s="69" t="e">
        <f t="shared" si="83"/>
        <v>#REF!</v>
      </c>
      <c r="W226" s="69" t="e">
        <f t="shared" si="83"/>
        <v>#REF!</v>
      </c>
      <c r="X226" s="69" t="e">
        <f t="shared" si="83"/>
        <v>#REF!</v>
      </c>
      <c r="Y226"/>
      <c r="Z226"/>
      <c r="AA226"/>
      <c r="AB226"/>
      <c r="AC226"/>
      <c r="AD226"/>
      <c r="AE226"/>
      <c r="AF226"/>
      <c r="AG226"/>
      <c r="AH226" s="152"/>
      <c r="AI226" s="157" t="s">
        <v>1367</v>
      </c>
      <c r="AJ226" s="158"/>
      <c r="AK226" s="158"/>
      <c r="AL226" s="277"/>
      <c r="AM226" s="277"/>
      <c r="AN226" s="277"/>
      <c r="AO226" s="278"/>
      <c r="AP226" s="146"/>
      <c r="AQ226" s="146"/>
      <c r="AR226" s="146"/>
      <c r="AS226" s="245"/>
      <c r="AT226" s="245"/>
      <c r="AU226" s="146"/>
      <c r="AX226" s="152"/>
      <c r="AY226" s="157" t="s">
        <v>1367</v>
      </c>
      <c r="AZ226" s="158"/>
      <c r="BA226" s="158"/>
      <c r="BB226" s="275"/>
      <c r="BC226" s="275"/>
      <c r="BD226" s="275"/>
      <c r="BE226" s="276"/>
      <c r="BF226" s="187">
        <f t="shared" si="102"/>
        <v>0</v>
      </c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95" customFormat="1">
      <c r="A227"/>
      <c r="B227" s="28" t="s">
        <v>776</v>
      </c>
      <c r="C227" s="29" t="s">
        <v>682</v>
      </c>
      <c r="D227" s="29"/>
      <c r="E227" s="29"/>
      <c r="F227" s="28"/>
      <c r="G227" s="28"/>
      <c r="H227" s="28"/>
      <c r="I227" s="65"/>
      <c r="J227" s="28"/>
      <c r="K227" s="66" t="e">
        <f t="shared" ref="K227:Q227" si="103">+SUM(K228:K230)</f>
        <v>#REF!</v>
      </c>
      <c r="L227" s="66" t="e">
        <f t="shared" si="103"/>
        <v>#REF!</v>
      </c>
      <c r="M227" s="66" t="e">
        <f t="shared" si="103"/>
        <v>#REF!</v>
      </c>
      <c r="N227" s="66" t="e">
        <f t="shared" si="103"/>
        <v>#REF!</v>
      </c>
      <c r="O227" s="66" t="e">
        <f t="shared" si="103"/>
        <v>#REF!</v>
      </c>
      <c r="P227" s="66" t="e">
        <f t="shared" si="103"/>
        <v>#REF!</v>
      </c>
      <c r="Q227" s="66" t="e">
        <f t="shared" si="103"/>
        <v>#REF!</v>
      </c>
      <c r="R227" s="66" t="e">
        <f t="shared" si="79"/>
        <v>#REF!</v>
      </c>
      <c r="S227" s="66"/>
      <c r="T227" s="66"/>
      <c r="U227" s="66" t="e">
        <f>+SUM(U228:U230)</f>
        <v>#REF!</v>
      </c>
      <c r="V227" s="66" t="e">
        <f>+SUM(V228:V230)</f>
        <v>#REF!</v>
      </c>
      <c r="W227" s="66" t="e">
        <f>+SUM(W228:W230)</f>
        <v>#REF!</v>
      </c>
      <c r="X227" s="66" t="e">
        <f>+SUM(X228:X230)</f>
        <v>#REF!</v>
      </c>
      <c r="Y227"/>
      <c r="Z227"/>
      <c r="AA227"/>
      <c r="AB227"/>
      <c r="AC227"/>
      <c r="AD227"/>
      <c r="AE227"/>
      <c r="AF227"/>
      <c r="AG227"/>
      <c r="AH227" s="147" t="s">
        <v>776</v>
      </c>
      <c r="AI227" s="148" t="s">
        <v>682</v>
      </c>
      <c r="AJ227" s="160"/>
      <c r="AK227" s="160"/>
      <c r="AL227" s="277"/>
      <c r="AM227" s="277"/>
      <c r="AN227" s="277"/>
      <c r="AO227" s="278"/>
      <c r="AP227" s="146">
        <f>AP228+AP229+AP230</f>
        <v>0</v>
      </c>
      <c r="AQ227" s="146">
        <f>AQ228+AQ229+AQ230</f>
        <v>0</v>
      </c>
      <c r="AR227" s="146">
        <f>AR228+AR229+AR230</f>
        <v>0</v>
      </c>
      <c r="AS227" s="245"/>
      <c r="AT227" s="245"/>
      <c r="AU227" s="146">
        <f>AU228+AU229+AU230</f>
        <v>0</v>
      </c>
      <c r="AX227" s="147" t="s">
        <v>776</v>
      </c>
      <c r="AY227" s="148" t="s">
        <v>682</v>
      </c>
      <c r="AZ227" s="160"/>
      <c r="BA227" s="160"/>
      <c r="BB227" s="275"/>
      <c r="BC227" s="275"/>
      <c r="BD227" s="275"/>
      <c r="BE227" s="276"/>
      <c r="BF227" s="187">
        <f>BF228+BF229+BF230</f>
        <v>0</v>
      </c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95" customFormat="1">
      <c r="A228"/>
      <c r="B228" s="31"/>
      <c r="C228" s="30" t="s">
        <v>777</v>
      </c>
      <c r="D228" s="30"/>
      <c r="E228" s="30"/>
      <c r="F228" s="33" t="s">
        <v>861</v>
      </c>
      <c r="G228" s="33" t="s">
        <v>862</v>
      </c>
      <c r="H228" s="33"/>
      <c r="I228" s="67">
        <v>1</v>
      </c>
      <c r="J228" s="33"/>
      <c r="K228" s="69" t="e">
        <f>+GETPIVOTDATA("PPEF 2010 ",#REF!,"No. Ramo",15,"IPP","E","PP",3,"UR",210)+GETPIVOTDATA("PPEF 2010 ",#REF!,"No. Ramo",15,"IPP","E","PP",3,"UR",212)+GETPIVOTDATA("PPEF 2010 ",#REF!,"No. Ramo",15,"IPP","M","PP",1,"UR",400)+GETPIVOTDATA("PPEF 2010 ",#REF!,"No. Ramo",15,"IPP","M","PP",1,"UR",410)+GETPIVOTDATA("PPEF 2010 ",#REF!,"No. Ramo",15,"IPP","M","PP",1,"UR",411)+GETPIVOTDATA("PPEF 2010 ",#REF!,"No. Ramo",15,"IPP","O","PP",1,"UR",112)+GETPIVOTDATA("PPEF 2010 ",#REF!,"No. Ramo",15,"IPP","O","PP",99,"UR",400)+GETPIVOTDATA("PPEF 2010 ",#REF!,"No. Ramo",15,"IPP","P","PP",1)-GETPIVOTDATA("PPEF 2010 ",#REF!,"No. Ramo",15,"IPP","P","PP",1,"UR","B00")+GETPIVOTDATA("PPEF 2010 ",#REF!,"No. Ramo",15,"IPP","G","PP",1,"UR",110)*0.199015217451886</f>
        <v>#REF!</v>
      </c>
      <c r="L228" s="69" t="e">
        <f>+GETPIVOTDATA("Ampliación Neta DIP ",#REF!,"No. Ramo",15,"IPP","E","PP",3,"UR",210)+GETPIVOTDATA("Ampliación Neta DIP ",#REF!,"No. Ramo",15,"IPP","E","PP",3,"UR",212)+GETPIVOTDATA("Ampliación Neta DIP ",#REF!,"No. Ramo",15,"IPP","M","PP",1,"UR",400)+GETPIVOTDATA("Ampliación Neta DIP ",#REF!,"No. Ramo",15,"IPP","M","PP",1,"UR",410)+GETPIVOTDATA("Ampliación Neta DIP ",#REF!,"No. Ramo",15,"IPP","M","PP",1,"UR",411)+GETPIVOTDATA("Ampliación Neta DIP ",#REF!,"No. Ramo",15,"IPP","O","PP",1,"UR",112)+GETPIVOTDATA("Ampliación Neta DIP ",#REF!,"No. Ramo",15,"IPP","O","PP",99,"UR",400)+GETPIVOTDATA("Ampliación Neta DIP ",#REF!,"No. Ramo",15,"IPP","P","PP",1)-GETPIVOTDATA("Ampliación Neta DIP ",#REF!,"No. Ramo",15,"IPP","P","PP",1,"UR","B00")+GETPIVOTDATA("Ampliación Neta DIP ",#REF!,"No. Ramo",15,"IPP","G","PP",1,"UR",110)*0.199015217451886</f>
        <v>#REF!</v>
      </c>
      <c r="M228" s="69" t="e">
        <f>+GETPIVOTDATA("Recorte SHCP ",#REF!,"No. Ramo",15,"IPP","E","PP",3,"UR",210)+GETPIVOTDATA("Recorte SHCP ",#REF!,"No. Ramo",15,"IPP","E","PP",3,"UR",212)+GETPIVOTDATA("Recorte SHCP ",#REF!,"No. Ramo",15,"IPP","M","PP",1,"UR",400)+GETPIVOTDATA("Recorte SHCP ",#REF!,"No. Ramo",15,"IPP","M","PP",1,"UR",410)+GETPIVOTDATA("Recorte SHCP ",#REF!,"No. Ramo",15,"IPP","M","PP",1,"UR",411)+GETPIVOTDATA("Recorte SHCP ",#REF!,"No. Ramo",15,"IPP","O","PP",1,"UR",112)+GETPIVOTDATA("Recorte SHCP ",#REF!,"No. Ramo",15,"IPP","O","PP",99,"UR",400)+GETPIVOTDATA("Recorte SHCP ",#REF!,"No. Ramo",15,"IPP","P","PP",1)-GETPIVOTDATA("Recorte SHCP ",#REF!,"No. Ramo",15,"IPP","P","PP",1,"UR","B00")+GETPIVOTDATA("Recorte SHCP ",#REF!,"No. Ramo",15,"IPP","G","PP",1,"UR",110)*0.199015217451886</f>
        <v>#REF!</v>
      </c>
      <c r="N228" s="69" t="e">
        <f>+GETPIVOTDATA("PEF 2010 ",#REF!,"No. Ramo",15,"IPP","E","PP",3,"UR",210)+GETPIVOTDATA("PEF 2010 ",#REF!,"No. Ramo",15,"IPP","E","PP",3,"UR",212)+GETPIVOTDATA("PEF 2010 ",#REF!,"No. Ramo",15,"IPP","M","PP",1,"UR",400)+GETPIVOTDATA("PEF 2010 ",#REF!,"No. Ramo",15,"IPP","M","PP",1,"UR",410)+GETPIVOTDATA("PEF 2010 ",#REF!,"No. Ramo",15,"IPP","M","PP",1,"UR",411)+GETPIVOTDATA("PEF 2010 ",#REF!,"No. Ramo",15,"IPP","O","PP",1,"UR",112)+GETPIVOTDATA("PEF 2010 ",#REF!,"No. Ramo",15,"IPP","O","PP",99,"UR",400)+GETPIVOTDATA("PEF 2010 ",#REF!,"No. Ramo",15,"IPP","P","PP",1)-GETPIVOTDATA("PEF 2010 ",#REF!,"No. Ramo",15,"IPP","P","PP",1,"UR","B00")+GETPIVOTDATA("PEF 2010 ",#REF!,"No. Ramo",15,"IPP","G","PP",1,"UR",110)*0.199015217451886</f>
        <v>#REF!</v>
      </c>
      <c r="O228" s="69" t="e">
        <f>+GETPIVOTDATA("PPEF 2011 ",#REF!,"No. Ramo",15,"IPP","E","PP",3,"UR",210)+GETPIVOTDATA("PPEF 2011 ",#REF!,"No. Ramo",15,"IPP","E","PP",3,"UR",212)+GETPIVOTDATA("PPEF 2011 ",#REF!,"No. Ramo",15,"IPP","M","PP",1,"UR",400)+GETPIVOTDATA("PPEF 2011 ",#REF!,"No. Ramo",15,"IPP","M","PP",1,"UR",410)+GETPIVOTDATA("PPEF 2011 ",#REF!,"No. Ramo",15,"IPP","M","PP",1,"UR",411)+GETPIVOTDATA("PPEF 2011 ",#REF!,"No. Ramo",15,"IPP","O","PP",1,"UR",112)+GETPIVOTDATA("PPEF 2011 ",#REF!,"No. Ramo",15,"IPP","O","PP",99,"UR",400)+GETPIVOTDATA("PPEF 2011 ",#REF!,"No. Ramo",15,"IPP","P","PP",1)-GETPIVOTDATA("PPEF 2011 ",#REF!,"No. Ramo",15,"IPP","P","PP",1,"UR","B00")+GETPIVOTDATA("PPEF 2011 ",#REF!,"No. Ramo",15,"IPP","G","PP",1,"UR",110)*0.199015217451886</f>
        <v>#REF!</v>
      </c>
      <c r="P228" s="69" t="e">
        <f>+GETPIVOTDATA("Reducción ",#REF!,"No. Ramo",15,"IPP","E","PP",3,"UR",210)+GETPIVOTDATA("Reducción ",#REF!,"No. Ramo",15,"IPP","E","PP",3,"UR",212)+GETPIVOTDATA("Reducción ",#REF!,"No. Ramo",15,"IPP","M","PP",1,"UR",400)+GETPIVOTDATA("Reducción ",#REF!,"No. Ramo",15,"IPP","M","PP",1,"UR",410)+GETPIVOTDATA("Reducción ",#REF!,"No. Ramo",15,"IPP","M","PP",1,"UR",411)+GETPIVOTDATA("Reducción ",#REF!,"No. Ramo",15,"IPP","O","PP",1,"UR",112)+GETPIVOTDATA("Reducción ",#REF!,"No. Ramo",15,"IPP","O","PP",99,"UR",400)+GETPIVOTDATA("Reducción ",#REF!,"No. Ramo",15,"IPP","P","PP",1)-GETPIVOTDATA("Reducción ",#REF!,"No. Ramo",15,"IPP","P","PP",1,"UR","B00")+GETPIVOTDATA("Reducción ",#REF!,"No. Ramo",15,"IPP","G","PP",1,"UR",110)*0.199015217451886</f>
        <v>#REF!</v>
      </c>
      <c r="Q228" s="69" t="e">
        <f>+GETPIVOTDATA("Ampliación ",#REF!,"No. Ramo",15,"IPP","E","PP",3,"UR",210)+GETPIVOTDATA("Ampliación ",#REF!,"No. Ramo",15,"IPP","E","PP",3,"UR",212)+GETPIVOTDATA("Ampliación ",#REF!,"No. Ramo",15,"IPP","M","PP",1,"UR",400)+GETPIVOTDATA("Ampliación ",#REF!,"No. Ramo",15,"IPP","M","PP",1,"UR",410)+GETPIVOTDATA("Ampliación ",#REF!,"No. Ramo",15,"IPP","M","PP",1,"UR",411)+GETPIVOTDATA("Ampliación ",#REF!,"No. Ramo",15,"IPP","O","PP",1,"UR",112)+GETPIVOTDATA("Ampliación ",#REF!,"No. Ramo",15,"IPP","O","PP",99,"UR",400)+GETPIVOTDATA("Ampliación ",#REF!,"No. Ramo",15,"IPP","P","PP",1)-GETPIVOTDATA("Ampliación ",#REF!,"No. Ramo",15,"IPP","P","PP",1,"UR","B00")+GETPIVOTDATA("Ampliación ",#REF!,"No. Ramo",15,"IPP","G","PP",1,"UR",110)*0.199015217451886</f>
        <v>#REF!</v>
      </c>
      <c r="R228" s="69" t="e">
        <f t="shared" si="79"/>
        <v>#REF!</v>
      </c>
      <c r="S228" s="69"/>
      <c r="T228" s="69"/>
      <c r="U228" s="69" t="e">
        <f t="shared" si="83"/>
        <v>#REF!</v>
      </c>
      <c r="V228" s="69" t="e">
        <f t="shared" si="83"/>
        <v>#REF!</v>
      </c>
      <c r="W228" s="69" t="e">
        <f t="shared" si="83"/>
        <v>#REF!</v>
      </c>
      <c r="X228" s="79" t="e">
        <f t="shared" si="83"/>
        <v>#REF!</v>
      </c>
      <c r="Y228"/>
      <c r="Z228"/>
      <c r="AA228"/>
      <c r="AB228"/>
      <c r="AC228"/>
      <c r="AD228"/>
      <c r="AE228"/>
      <c r="AF228"/>
      <c r="AG228"/>
      <c r="AH228" s="174"/>
      <c r="AI228" s="157" t="s">
        <v>777</v>
      </c>
      <c r="AJ228" s="158"/>
      <c r="AK228" s="158"/>
      <c r="AL228" s="277"/>
      <c r="AM228" s="277"/>
      <c r="AN228" s="277"/>
      <c r="AO228" s="278"/>
      <c r="AP228" s="146"/>
      <c r="AQ228" s="146"/>
      <c r="AR228" s="146"/>
      <c r="AS228" s="245"/>
      <c r="AT228" s="245"/>
      <c r="AU228" s="146"/>
      <c r="AX228" s="174"/>
      <c r="AY228" s="157" t="s">
        <v>777</v>
      </c>
      <c r="AZ228" s="158"/>
      <c r="BA228" s="158"/>
      <c r="BB228" s="275"/>
      <c r="BC228" s="275"/>
      <c r="BD228" s="275"/>
      <c r="BE228" s="276"/>
      <c r="BF228" s="187">
        <f>+AU228</f>
        <v>0</v>
      </c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95" customFormat="1">
      <c r="A229"/>
      <c r="B229" s="31"/>
      <c r="C229" s="30" t="s">
        <v>277</v>
      </c>
      <c r="D229" s="30"/>
      <c r="E229" s="30"/>
      <c r="F229" s="33" t="s">
        <v>863</v>
      </c>
      <c r="G229" s="33" t="s">
        <v>276</v>
      </c>
      <c r="H229" s="33"/>
      <c r="I229" s="67">
        <v>1</v>
      </c>
      <c r="J229" s="33"/>
      <c r="K229" s="69" t="e">
        <f>+GETPIVOTDATA("PPEF 2010 ",#REF!,"No. Ramo",15,"IPP","E","PP",1,"UR","QEZ")+GETPIVOTDATA("PPEF 2010 ",#REF!,"No. Ramo",15,"IPP","E","PP",3,"UR","QEZ")+GETPIVOTDATA("PPEF 2010 ",#REF!,"No. Ramo",15,"IPP","E","PP",7,"UR","QEU")+GETPIVOTDATA("PPEF 2010 ",#REF!,"No. Ramo",15,"IPP","F","PP",2,"UR","QEZ")+GETPIVOTDATA("PPEF 2010 ",#REF!,"No. Ramo",15,"IPP","F","PP",1,"UR","QEZ")+GETPIVOTDATA("PPEF 2010 ",#REF!,"No. Ramo",15,"IPP","M","PP",1,"UR","QEZ")+GETPIVOTDATA("PPEF 2010 ",#REF!,"No. Ramo",15,"IPP","O","PP",1,"UR","QEZ")</f>
        <v>#REF!</v>
      </c>
      <c r="L229" s="69" t="e">
        <f>+GETPIVOTDATA("Ampliación Neta DIP ",#REF!,"No. Ramo",15,"IPP","E","PP",1,"UR","QEZ")+GETPIVOTDATA("Ampliación Neta DIP ",#REF!,"No. Ramo",15,"IPP","E","PP",3,"UR","QEZ")+GETPIVOTDATA("Ampliación Neta DIP ",#REF!,"No. Ramo",15,"IPP","E","PP",7,"UR","QEU")+GETPIVOTDATA("Ampliación Neta DIP ",#REF!,"No. Ramo",15,"IPP","F","PP",2,"UR","QEZ")+GETPIVOTDATA("Ampliación Neta DIP ",#REF!,"No. Ramo",15,"IPP","F","PP",1,"UR","QEZ")+GETPIVOTDATA("Ampliación Neta DIP ",#REF!,"No. Ramo",15,"IPP","M","PP",1,"UR","QEZ")+GETPIVOTDATA("Ampliación Neta DIP ",#REF!,"No. Ramo",15,"IPP","O","PP",1,"UR","QEZ")</f>
        <v>#REF!</v>
      </c>
      <c r="M229" s="69" t="e">
        <f>+GETPIVOTDATA("Recorte SHCP ",#REF!,"No. Ramo",15,"IPP","E","PP",1,"UR","QEZ")+GETPIVOTDATA("Recorte SHCP ",#REF!,"No. Ramo",15,"IPP","E","PP",3,"UR","QEZ")+GETPIVOTDATA("Recorte SHCP ",#REF!,"No. Ramo",15,"IPP","E","PP",7,"UR","QEU")+GETPIVOTDATA("Recorte SHCP ",#REF!,"No. Ramo",15,"IPP","F","PP",2,"UR","QEZ")+GETPIVOTDATA("Recorte SHCP ",#REF!,"No. Ramo",15,"IPP","F","PP",1,"UR","QEZ")+GETPIVOTDATA("Recorte SHCP ",#REF!,"No. Ramo",15,"IPP","M","PP",1,"UR","QEZ")+GETPIVOTDATA("Recorte SHCP ",#REF!,"No. Ramo",15,"IPP","O","PP",1,"UR","QEZ")</f>
        <v>#REF!</v>
      </c>
      <c r="N229" s="69" t="e">
        <f>+GETPIVOTDATA("PEF 2010 ",#REF!,"No. Ramo",15,"IPP","E","PP",1,"UR","QEZ")+GETPIVOTDATA("PEF 2010 ",#REF!,"No. Ramo",15,"IPP","E","PP",3,"UR","QEZ")+GETPIVOTDATA("PEF 2010 ",#REF!,"No. Ramo",15,"IPP","E","PP",7,"UR","QEU")+GETPIVOTDATA("PEF 2010 ",#REF!,"No. Ramo",15,"IPP","F","PP",2,"UR","QEZ")+GETPIVOTDATA("PEF 2010 ",#REF!,"No. Ramo",15,"IPP","F","PP",1,"UR","QEZ")+GETPIVOTDATA("PEF 2010 ",#REF!,"No. Ramo",15,"IPP","M","PP",1,"UR","QEZ")+GETPIVOTDATA("PEF 2010 ",#REF!,"No. Ramo",15,"IPP","O","PP",1,"UR","QEZ")</f>
        <v>#REF!</v>
      </c>
      <c r="O229" s="69" t="e">
        <f>+GETPIVOTDATA("PPEF 2011 ",#REF!,"No. Ramo",15,"IPP","E","PP",1,"UR","QEZ")+GETPIVOTDATA("PPEF 2011 ",#REF!,"No. Ramo",15,"IPP","E","PP",3,"UR","QEZ")+GETPIVOTDATA("PPEF 2011 ",#REF!,"No. Ramo",15,"IPP","E","PP",7,"UR","QEU")+GETPIVOTDATA("PPEF 2011 ",#REF!,"No. Ramo",15,"IPP","F","PP",2,"UR","QEZ")+GETPIVOTDATA("PPEF 2011 ",#REF!,"No. Ramo",15,"IPP","F","PP",1,"UR","QEZ")+GETPIVOTDATA("PPEF 2011 ",#REF!,"No. Ramo",15,"IPP","M","PP",1,"UR","QEZ")+GETPIVOTDATA("PPEF 2011 ",#REF!,"No. Ramo",15,"IPP","O","PP",1,"UR","QEZ")</f>
        <v>#REF!</v>
      </c>
      <c r="P229" s="69" t="e">
        <f>+GETPIVOTDATA("Reducción ",#REF!,"No. Ramo",15,"IPP","E","PP",1,"UR","QEZ")+GETPIVOTDATA("Reducción ",#REF!,"No. Ramo",15,"IPP","E","PP",3,"UR","QEZ")+GETPIVOTDATA("Reducción ",#REF!,"No. Ramo",15,"IPP","E","PP",7,"UR","QEU")+GETPIVOTDATA("Reducción ",#REF!,"No. Ramo",15,"IPP","F","PP",2,"UR","QEZ")+GETPIVOTDATA("Reducción ",#REF!,"No. Ramo",15,"IPP","F","PP",1,"UR","QEZ")+GETPIVOTDATA("Reducción ",#REF!,"No. Ramo",15,"IPP","M","PP",1,"UR","QEZ")+GETPIVOTDATA("Reducción ",#REF!,"No. Ramo",15,"IPP","O","PP",1,"UR","QEZ")</f>
        <v>#REF!</v>
      </c>
      <c r="Q229" s="69" t="e">
        <f>+GETPIVOTDATA("Ampliación ",#REF!,"No. Ramo",15,"IPP","E","PP",1,"UR","QEZ")+GETPIVOTDATA("Ampliación ",#REF!,"No. Ramo",15,"IPP","E","PP",3,"UR","QEZ")+GETPIVOTDATA("Ampliación ",#REF!,"No. Ramo",15,"IPP","E","PP",7,"UR","QEU")+GETPIVOTDATA("Ampliación ",#REF!,"No. Ramo",15,"IPP","F","PP",2,"UR","QEZ")+GETPIVOTDATA("Ampliación ",#REF!,"No. Ramo",15,"IPP","F","PP",1,"UR","QEZ")+GETPIVOTDATA("Ampliación ",#REF!,"No. Ramo",15,"IPP","M","PP",1,"UR","QEZ")+GETPIVOTDATA("Ampliación ",#REF!,"No. Ramo",15,"IPP","O","PP",1,"UR","QEZ")</f>
        <v>#REF!</v>
      </c>
      <c r="R229" s="69" t="e">
        <f t="shared" si="79"/>
        <v>#REF!</v>
      </c>
      <c r="S229" s="69"/>
      <c r="T229" s="69"/>
      <c r="U229" s="69" t="e">
        <f t="shared" si="83"/>
        <v>#REF!</v>
      </c>
      <c r="V229" s="69" t="e">
        <f t="shared" si="83"/>
        <v>#REF!</v>
      </c>
      <c r="W229" s="69" t="e">
        <f t="shared" si="83"/>
        <v>#REF!</v>
      </c>
      <c r="X229" s="69" t="e">
        <f t="shared" si="83"/>
        <v>#REF!</v>
      </c>
      <c r="Y229"/>
      <c r="Z229"/>
      <c r="AA229"/>
      <c r="AB229"/>
      <c r="AC229"/>
      <c r="AD229"/>
      <c r="AE229"/>
      <c r="AF229"/>
      <c r="AG229"/>
      <c r="AH229" s="174"/>
      <c r="AI229" s="157" t="s">
        <v>277</v>
      </c>
      <c r="AJ229" s="158"/>
      <c r="AK229" s="158"/>
      <c r="AL229" s="277"/>
      <c r="AM229" s="277"/>
      <c r="AN229" s="277"/>
      <c r="AO229" s="278"/>
      <c r="AP229" s="146"/>
      <c r="AQ229" s="146"/>
      <c r="AR229" s="146"/>
      <c r="AS229" s="245"/>
      <c r="AT229" s="245"/>
      <c r="AU229" s="146"/>
      <c r="AX229" s="174"/>
      <c r="AY229" s="157" t="s">
        <v>277</v>
      </c>
      <c r="AZ229" s="158"/>
      <c r="BA229" s="158"/>
      <c r="BB229" s="275"/>
      <c r="BC229" s="275"/>
      <c r="BD229" s="275"/>
      <c r="BE229" s="276"/>
      <c r="BF229" s="187">
        <f>+AU229</f>
        <v>0</v>
      </c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95" customFormat="1">
      <c r="A230"/>
      <c r="B230" s="31"/>
      <c r="C230" s="30" t="s">
        <v>280</v>
      </c>
      <c r="D230" s="30"/>
      <c r="E230" s="30"/>
      <c r="F230" s="33" t="s">
        <v>864</v>
      </c>
      <c r="G230" s="33" t="s">
        <v>13</v>
      </c>
      <c r="H230" s="33"/>
      <c r="I230" s="67">
        <v>1</v>
      </c>
      <c r="J230" s="33"/>
      <c r="K230" s="69" t="e">
        <f>+GETPIVOTDATA("PPEF 2010 ",#REF!,"No. Ramo",15,"IPP","E","PP",3,"UR","B00")+GETPIVOTDATA("PPEF 2010 ",#REF!,"No. Ramo",15,"IPP","E","PP",4,"UR","B00")*0.710990348011172+GETPIVOTDATA("PPEF 2010 ",#REF!,"No. Ramo",15,"IPP","M","PP",1,"UR","B00")+GETPIVOTDATA("PPEF 2010 ",#REF!,"No. Ramo",15,"IPP","O","PP",1,"UR","B00")+GETPIVOTDATA("PPEF 2010 ",#REF!,"No. Ramo",15,"IPP","O","PP",99,"UR","B00")+GETPIVOTDATA("PPEF 2010 ",#REF!,"No. Ramo",15,"IPP","P","PP",1,"UR","B00")</f>
        <v>#REF!</v>
      </c>
      <c r="L230" s="69" t="e">
        <f>+GETPIVOTDATA("Ampliación Neta DIP ",#REF!,"No. Ramo",15,"IPP","E","PP",3,"UR","B00")+GETPIVOTDATA("Ampliación Neta DIP ",#REF!,"No. Ramo",15,"IPP","E","PP",4,"UR","B00")*0.710990348011172+GETPIVOTDATA("Ampliación Neta DIP ",#REF!,"No. Ramo",15,"IPP","M","PP",1,"UR","B00")+GETPIVOTDATA("Ampliación Neta DIP ",#REF!,"No. Ramo",15,"IPP","O","PP",1,"UR","B00")+GETPIVOTDATA("Ampliación Neta DIP ",#REF!,"No. Ramo",15,"IPP","O","PP",99,"UR","B00")+GETPIVOTDATA("Ampliación Neta DIP ",#REF!,"No. Ramo",15,"IPP","P","PP",1,"UR","B00")</f>
        <v>#REF!</v>
      </c>
      <c r="M230" s="69" t="e">
        <f>+GETPIVOTDATA("Recorte SHCP ",#REF!,"No. Ramo",15,"IPP","E","PP",3,"UR","B00")+GETPIVOTDATA("Recorte SHCP ",#REF!,"No. Ramo",15,"IPP","E","PP",4,"UR","B00")*0.710990348011172+GETPIVOTDATA("Recorte SHCP ",#REF!,"No. Ramo",15,"IPP","M","PP",1,"UR","B00")+GETPIVOTDATA("Recorte SHCP ",#REF!,"No. Ramo",15,"IPP","O","PP",1,"UR","B00")+GETPIVOTDATA("Recorte SHCP ",#REF!,"No. Ramo",15,"IPP","O","PP",99,"UR","B00")+GETPIVOTDATA("Recorte SHCP ",#REF!,"No. Ramo",15,"IPP","P","PP",1,"UR","B00")</f>
        <v>#REF!</v>
      </c>
      <c r="N230" s="69" t="e">
        <f>+GETPIVOTDATA("PEF 2010 ",#REF!,"No. Ramo",15,"IPP","E","PP",3,"UR","B00")+GETPIVOTDATA("PEF 2010 ",#REF!,"No. Ramo",15,"IPP","E","PP",4,"UR","B00")*0.710990348011172+GETPIVOTDATA("PEF 2010 ",#REF!,"No. Ramo",15,"IPP","M","PP",1,"UR","B00")+GETPIVOTDATA("PEF 2010 ",#REF!,"No. Ramo",15,"IPP","O","PP",1,"UR","B00")+GETPIVOTDATA("PEF 2010 ",#REF!,"No. Ramo",15,"IPP","O","PP",99,"UR","B00")+GETPIVOTDATA("PEF 2010 ",#REF!,"No. Ramo",15,"IPP","P","PP",1,"UR","B00")</f>
        <v>#REF!</v>
      </c>
      <c r="O230" s="69" t="e">
        <f>+GETPIVOTDATA("PPEF 2011 ",#REF!,"No. Ramo",15,"IPP","E","PP",3,"UR","B00")+GETPIVOTDATA("PPEF 2011 ",#REF!,"No. Ramo",15,"IPP","E","PP",4,"UR","B00")*0.710990348011172+GETPIVOTDATA("PPEF 2011 ",#REF!,"No. Ramo",15,"IPP","M","PP",1,"UR","B00")+GETPIVOTDATA("PPEF 2011 ",#REF!,"No. Ramo",15,"IPP","O","PP",1,"UR","B00")+GETPIVOTDATA("PPEF 2011 ",#REF!,"No. Ramo",15,"IPP","O","PP",99,"UR","B00")+GETPIVOTDATA("PPEF 2011 ",#REF!,"No. Ramo",15,"IPP","P","PP",1,"UR","B00")</f>
        <v>#REF!</v>
      </c>
      <c r="P230" s="69" t="e">
        <f>+GETPIVOTDATA("Reducción ",#REF!,"No. Ramo",15,"IPP","E","PP",3,"UR","B00")+GETPIVOTDATA("Reducción ",#REF!,"No. Ramo",15,"IPP","E","PP",4,"UR","B00")*0.710990348011172+GETPIVOTDATA("Reducción ",#REF!,"No. Ramo",15,"IPP","M","PP",1,"UR","B00")+GETPIVOTDATA("Reducción ",#REF!,"No. Ramo",15,"IPP","O","PP",1,"UR","B00")+GETPIVOTDATA("Reducción ",#REF!,"No. Ramo",15,"IPP","O","PP",99,"UR","B00")+GETPIVOTDATA("Reducción ",#REF!,"No. Ramo",15,"IPP","P","PP",1,"UR","B00")</f>
        <v>#REF!</v>
      </c>
      <c r="Q230" s="69" t="e">
        <f>+GETPIVOTDATA("Ampliación ",#REF!,"No. Ramo",15,"IPP","E","PP",3,"UR","B00")+GETPIVOTDATA("Ampliación ",#REF!,"No. Ramo",15,"IPP","E","PP",4,"UR","B00")*0.710990348011172+GETPIVOTDATA("Ampliación ",#REF!,"No. Ramo",15,"IPP","M","PP",1,"UR","B00")+GETPIVOTDATA("Ampliación ",#REF!,"No. Ramo",15,"IPP","O","PP",1,"UR","B00")+GETPIVOTDATA("Ampliación ",#REF!,"No. Ramo",15,"IPP","O","PP",99,"UR","B00")+GETPIVOTDATA("Ampliación ",#REF!,"No. Ramo",15,"IPP","P","PP",1,"UR","B00")</f>
        <v>#REF!</v>
      </c>
      <c r="R230" s="69" t="e">
        <f t="shared" si="79"/>
        <v>#REF!</v>
      </c>
      <c r="S230" s="69"/>
      <c r="T230" s="69"/>
      <c r="U230" s="69" t="e">
        <f t="shared" si="83"/>
        <v>#REF!</v>
      </c>
      <c r="V230" s="69" t="e">
        <f t="shared" si="83"/>
        <v>#REF!</v>
      </c>
      <c r="W230" s="69" t="e">
        <f t="shared" si="83"/>
        <v>#REF!</v>
      </c>
      <c r="X230" s="69" t="e">
        <f t="shared" si="83"/>
        <v>#REF!</v>
      </c>
      <c r="Y230"/>
      <c r="Z230"/>
      <c r="AA230"/>
      <c r="AB230"/>
      <c r="AC230"/>
      <c r="AD230"/>
      <c r="AE230"/>
      <c r="AF230"/>
      <c r="AG230"/>
      <c r="AH230" s="174"/>
      <c r="AI230" s="157" t="s">
        <v>280</v>
      </c>
      <c r="AJ230" s="158"/>
      <c r="AK230" s="158"/>
      <c r="AL230" s="277"/>
      <c r="AM230" s="277"/>
      <c r="AN230" s="277"/>
      <c r="AO230" s="278"/>
      <c r="AP230" s="146"/>
      <c r="AQ230" s="146"/>
      <c r="AR230" s="146"/>
      <c r="AS230" s="245"/>
      <c r="AT230" s="245"/>
      <c r="AU230" s="146"/>
      <c r="AX230" s="174"/>
      <c r="AY230" s="157" t="s">
        <v>280</v>
      </c>
      <c r="AZ230" s="158"/>
      <c r="BA230" s="158"/>
      <c r="BB230" s="275"/>
      <c r="BC230" s="275"/>
      <c r="BD230" s="275"/>
      <c r="BE230" s="276"/>
      <c r="BF230" s="187">
        <f>+AU230</f>
        <v>0</v>
      </c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95" customFormat="1">
      <c r="A231"/>
      <c r="B231" s="117"/>
      <c r="C231" s="100" t="s">
        <v>1035</v>
      </c>
      <c r="D231" s="118"/>
      <c r="E231" s="118"/>
      <c r="F231" s="91"/>
      <c r="G231" s="91"/>
      <c r="H231" s="91"/>
      <c r="I231" s="67"/>
      <c r="J231" s="91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/>
      <c r="Z231"/>
      <c r="AA231"/>
      <c r="AB231"/>
      <c r="AC231"/>
      <c r="AD231"/>
      <c r="AE231"/>
      <c r="AF231"/>
      <c r="AG231"/>
      <c r="AH231" s="152"/>
      <c r="AI231" s="159" t="s">
        <v>1035</v>
      </c>
      <c r="AJ231" s="158"/>
      <c r="AK231" s="158"/>
      <c r="AL231" s="277"/>
      <c r="AM231" s="277"/>
      <c r="AN231" s="277"/>
      <c r="AO231" s="278"/>
      <c r="AP231" s="146"/>
      <c r="AQ231" s="146"/>
      <c r="AR231" s="146"/>
      <c r="AS231" s="245"/>
      <c r="AT231" s="245"/>
      <c r="AU231" s="146"/>
      <c r="AX231" s="152"/>
      <c r="AY231" s="159" t="s">
        <v>1035</v>
      </c>
      <c r="AZ231" s="158"/>
      <c r="BA231" s="158"/>
      <c r="BB231" s="275"/>
      <c r="BC231" s="275"/>
      <c r="BD231" s="275"/>
      <c r="BE231" s="276"/>
      <c r="BF231" s="187">
        <f>+AU231</f>
        <v>0</v>
      </c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95" customFormat="1">
      <c r="A232"/>
      <c r="B232" s="36" t="s">
        <v>776</v>
      </c>
      <c r="C232" s="37" t="s">
        <v>788</v>
      </c>
      <c r="D232" s="37"/>
      <c r="E232" s="37"/>
      <c r="F232" s="91" t="s">
        <v>865</v>
      </c>
      <c r="G232" s="91" t="s">
        <v>866</v>
      </c>
      <c r="H232" s="92"/>
      <c r="I232" s="67">
        <v>1</v>
      </c>
      <c r="J232" s="92"/>
      <c r="K232" s="93" t="e">
        <f>+GETPIVOTDATA("PPEF 2010 ",#REF!,"No. Ramo",31,"IPP","E","PP",2,"UR",100)+GETPIVOTDATA("PPEF 2010 ",#REF!,"No. Ramo",31,"IPP","E","PP",1,"UR",200)+GETPIVOTDATA("PPEF 2010 ",#REF!,"No. Ramo",31,"IPP","M","PP",1,"UR",200)+GETPIVOTDATA("PPEF 2010 ",#REF!,"No. Ramo",31,"IPP","M","PP",1,"UR",300)+GETPIVOTDATA("PPEF 2010 ",#REF!,"No. Ramo",31,"IPP","O","PP",1,"UR",300)</f>
        <v>#REF!</v>
      </c>
      <c r="L232" s="93" t="e">
        <f>+GETPIVOTDATA("Ampliación Neta DIP ",#REF!,"No. Ramo",31,"IPP","E","PP",2,"UR",100)+GETPIVOTDATA("Ampliación Neta DIP ",#REF!,"No. Ramo",31,"IPP","E","PP",1,"UR",200)+GETPIVOTDATA("Ampliación Neta DIP ",#REF!,"No. Ramo",31,"IPP","M","PP",1,"UR",200)+GETPIVOTDATA("Ampliación Neta DIP ",#REF!,"No. Ramo",31,"IPP","M","PP",1,"UR",300)+GETPIVOTDATA("Ampliación Neta DIP ",#REF!,"No. Ramo",31,"IPP","O","PP",1,"UR",300)</f>
        <v>#REF!</v>
      </c>
      <c r="M232" s="93" t="e">
        <f>+GETPIVOTDATA("Recorte SHCP ",#REF!,"No. Ramo",31,"IPP","E","PP",2,"UR",100)+GETPIVOTDATA("Recorte SHCP ",#REF!,"No. Ramo",31,"IPP","E","PP",1,"UR",200)+GETPIVOTDATA("Recorte SHCP ",#REF!,"No. Ramo",31,"IPP","M","PP",1,"UR",200)+GETPIVOTDATA("Recorte SHCP ",#REF!,"No. Ramo",31,"IPP","M","PP",1,"UR",300)+GETPIVOTDATA("Recorte SHCP ",#REF!,"No. Ramo",31,"IPP","O","PP",1,"UR",300)</f>
        <v>#REF!</v>
      </c>
      <c r="N232" s="93" t="e">
        <f>+GETPIVOTDATA("PEF 2010 ",#REF!,"No. Ramo",31,"IPP","E","PP",2,"UR",100)+GETPIVOTDATA("PEF 2010 ",#REF!,"No. Ramo",31,"IPP","E","PP",1,"UR",200)+GETPIVOTDATA("PEF 2010 ",#REF!,"No. Ramo",31,"IPP","M","PP",1,"UR",200)+GETPIVOTDATA("PEF 2010 ",#REF!,"No. Ramo",31,"IPP","M","PP",1,"UR",300)+GETPIVOTDATA("PEF 2010 ",#REF!,"No. Ramo",31,"IPP","O","PP",1,"UR",300)</f>
        <v>#REF!</v>
      </c>
      <c r="O232" s="93" t="e">
        <f>+GETPIVOTDATA("PPEF 2011 ",#REF!,"No. Ramo",31,"IPP","E","PP",2,"UR",100)+GETPIVOTDATA("PPEF 2011 ",#REF!,"No. Ramo",31,"IPP","E","PP",1,"UR",200)+GETPIVOTDATA("PPEF 2011 ",#REF!,"No. Ramo",31,"IPP","M","PP",1,"UR",200)+GETPIVOTDATA("PPEF 2011 ",#REF!,"No. Ramo",31,"IPP","M","PP",1,"UR",300)+GETPIVOTDATA("PPEF 2011 ",#REF!,"No. Ramo",31,"IPP","O","PP",1,"UR",300)</f>
        <v>#REF!</v>
      </c>
      <c r="P232" s="93" t="e">
        <f>+GETPIVOTDATA("Reducción ",#REF!,"No. Ramo",31,"IPP","E","PP",2,"UR",100)+GETPIVOTDATA("Reducción ",#REF!,"No. Ramo",31,"IPP","E","PP",1,"UR",200)+GETPIVOTDATA("Reducción ",#REF!,"No. Ramo",31,"IPP","M","PP",1,"UR",200)+GETPIVOTDATA("Reducción ",#REF!,"No. Ramo",31,"IPP","M","PP",1,"UR",300)+GETPIVOTDATA("Reducción ",#REF!,"No. Ramo",31,"IPP","O","PP",1,"UR",300)</f>
        <v>#REF!</v>
      </c>
      <c r="Q232" s="93" t="e">
        <f>+GETPIVOTDATA("Ampliación ",#REF!,"No. Ramo",31,"IPP","E","PP",2,"UR",100)+GETPIVOTDATA("Ampliación ",#REF!,"No. Ramo",31,"IPP","E","PP",1,"UR",200)+GETPIVOTDATA("Ampliación ",#REF!,"No. Ramo",31,"IPP","M","PP",1,"UR",200)+GETPIVOTDATA("Ampliación ",#REF!,"No. Ramo",31,"IPP","M","PP",1,"UR",300)+GETPIVOTDATA("Ampliación ",#REF!,"No. Ramo",31,"IPP","O","PP",1,"UR",300)</f>
        <v>#REF!</v>
      </c>
      <c r="R232" s="93" t="e">
        <f t="shared" si="79"/>
        <v>#REF!</v>
      </c>
      <c r="S232" s="93"/>
      <c r="T232" s="93"/>
      <c r="U232" s="93" t="e">
        <f t="shared" si="83"/>
        <v>#REF!</v>
      </c>
      <c r="V232" s="93" t="e">
        <f t="shared" si="83"/>
        <v>#REF!</v>
      </c>
      <c r="W232" s="93" t="e">
        <f t="shared" si="83"/>
        <v>#REF!</v>
      </c>
      <c r="X232" s="93" t="e">
        <f t="shared" si="83"/>
        <v>#REF!</v>
      </c>
      <c r="Y232"/>
      <c r="Z232"/>
      <c r="AA232"/>
      <c r="AB232"/>
      <c r="AC232"/>
      <c r="AD232"/>
      <c r="AE232"/>
      <c r="AF232"/>
      <c r="AG232"/>
      <c r="AH232" s="147" t="s">
        <v>776</v>
      </c>
      <c r="AI232" s="148" t="s">
        <v>788</v>
      </c>
      <c r="AJ232" s="160"/>
      <c r="AK232" s="160"/>
      <c r="AL232" s="277"/>
      <c r="AM232" s="277"/>
      <c r="AN232" s="277"/>
      <c r="AO232" s="278"/>
      <c r="AP232" s="146">
        <v>0</v>
      </c>
      <c r="AQ232" s="146">
        <v>0</v>
      </c>
      <c r="AR232" s="146">
        <v>0</v>
      </c>
      <c r="AS232" s="245"/>
      <c r="AT232" s="245"/>
      <c r="AU232" s="146">
        <v>0</v>
      </c>
      <c r="AX232" s="147" t="s">
        <v>776</v>
      </c>
      <c r="AY232" s="148" t="s">
        <v>788</v>
      </c>
      <c r="AZ232" s="160"/>
      <c r="BA232" s="160"/>
      <c r="BB232" s="275"/>
      <c r="BC232" s="275"/>
      <c r="BD232" s="275"/>
      <c r="BE232" s="276"/>
      <c r="BF232" s="187">
        <v>0</v>
      </c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95" customFormat="1">
      <c r="A233"/>
      <c r="B233" s="94" t="s">
        <v>789</v>
      </c>
      <c r="C233" s="94"/>
      <c r="D233" s="94"/>
      <c r="E233" s="94"/>
      <c r="F233" s="45"/>
      <c r="G233" s="45"/>
      <c r="H233" s="45"/>
      <c r="I233" s="95"/>
      <c r="J233" s="45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/>
      <c r="Z233"/>
      <c r="AA233"/>
      <c r="AB233"/>
      <c r="AC233"/>
      <c r="AD233"/>
      <c r="AE233"/>
      <c r="AF233"/>
      <c r="AG233"/>
      <c r="AH233" s="176" t="s">
        <v>789</v>
      </c>
      <c r="AI233" s="177"/>
      <c r="AJ233" s="178"/>
      <c r="AK233" s="178"/>
      <c r="AL233" s="176"/>
      <c r="AM233" s="135"/>
      <c r="AN233" s="135"/>
      <c r="AO233" s="135"/>
      <c r="AP233" s="135"/>
      <c r="AQ233" s="135"/>
      <c r="AR233" s="135"/>
      <c r="AS233" s="135"/>
      <c r="AT233" s="135"/>
      <c r="AU233" s="135"/>
      <c r="AX233" s="180" t="s">
        <v>789</v>
      </c>
      <c r="AY233" s="177"/>
      <c r="AZ233" s="178"/>
      <c r="BA233" s="178"/>
      <c r="BB233" s="176"/>
      <c r="BC233" s="182"/>
      <c r="BD233" s="182"/>
      <c r="BE233" s="182"/>
      <c r="BF233" s="182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95" customFormat="1">
      <c r="A234"/>
      <c r="B234"/>
      <c r="C234"/>
      <c r="D234" s="96"/>
      <c r="E234"/>
      <c r="F234" s="42"/>
      <c r="G234" s="42"/>
      <c r="H234" s="42"/>
      <c r="I234" s="89"/>
      <c r="J234" s="4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/>
      <c r="Z234"/>
      <c r="AA234"/>
      <c r="AB234"/>
      <c r="AC234"/>
      <c r="AD234"/>
      <c r="AE234"/>
      <c r="AF234"/>
      <c r="AG234"/>
      <c r="AH234" s="136"/>
      <c r="AI234" s="179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  <c r="AX234" s="193"/>
      <c r="AY234" s="194"/>
      <c r="AZ234" s="182"/>
      <c r="BA234" s="182"/>
      <c r="BB234" s="182"/>
      <c r="BC234" s="182"/>
      <c r="BD234" s="182"/>
      <c r="BE234" s="182"/>
      <c r="BF234" s="182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>
      <c r="J235" s="97"/>
    </row>
    <row r="236" spans="1:75" s="1" customFormat="1">
      <c r="A236"/>
      <c r="B236"/>
      <c r="C236"/>
      <c r="D236" s="96"/>
      <c r="E236"/>
      <c r="F236" s="42"/>
      <c r="G236" s="42"/>
      <c r="H236" s="42"/>
      <c r="I236" s="89"/>
      <c r="J236" s="42"/>
      <c r="Y236"/>
      <c r="Z236"/>
      <c r="AA236"/>
      <c r="AB236"/>
      <c r="AC236"/>
      <c r="AD236"/>
      <c r="AE236"/>
      <c r="AF236"/>
      <c r="AG236"/>
      <c r="AH236" s="136"/>
      <c r="AI236" s="179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  <c r="AV236" s="195"/>
      <c r="AW236" s="195"/>
      <c r="AX236" s="193"/>
      <c r="AY236" s="194"/>
      <c r="AZ236" s="182"/>
      <c r="BA236" s="182"/>
      <c r="BB236" s="182"/>
      <c r="BC236" s="182"/>
      <c r="BD236" s="182"/>
      <c r="BE236" s="182"/>
      <c r="BF236" s="182"/>
      <c r="BG236" s="195"/>
      <c r="BH236" s="195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</sheetData>
  <autoFilter ref="A3:AB233">
    <filterColumn colId="2" showButton="0"/>
    <filterColumn colId="3" showButton="0"/>
  </autoFilter>
  <mergeCells count="16">
    <mergeCell ref="AJ198:AO198"/>
    <mergeCell ref="AZ198:BE198"/>
    <mergeCell ref="AY3:BE3"/>
    <mergeCell ref="AH4:AO4"/>
    <mergeCell ref="AX4:BE4"/>
    <mergeCell ref="AJ12:AO12"/>
    <mergeCell ref="AZ12:BE12"/>
    <mergeCell ref="D45:E45"/>
    <mergeCell ref="AJ45:AK45"/>
    <mergeCell ref="AZ45:BA45"/>
    <mergeCell ref="AH1:AK1"/>
    <mergeCell ref="B2:E2"/>
    <mergeCell ref="N2:O2"/>
    <mergeCell ref="S2:X2"/>
    <mergeCell ref="C3:E3"/>
    <mergeCell ref="AI3:AO3"/>
  </mergeCells>
  <pageMargins left="0.70866141732283472" right="0.70866141732283472" top="0.74803149606299213" bottom="0.74803149606299213" header="0.31496062992125984" footer="0.31496062992125984"/>
  <pageSetup scale="75" fitToHeight="9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25">
    <tabColor rgb="FF00B050"/>
    <pageSetUpPr fitToPage="1"/>
  </sheetPr>
  <dimension ref="A1:AJ1835"/>
  <sheetViews>
    <sheetView view="pageBreakPreview" topLeftCell="AB1" zoomScaleSheetLayoutView="100" workbookViewId="0">
      <selection activeCell="AD10" sqref="AD10"/>
    </sheetView>
  </sheetViews>
  <sheetFormatPr baseColWidth="10" defaultRowHeight="15"/>
  <cols>
    <col min="1" max="1" width="16.5703125" style="249" bestFit="1" customWidth="1"/>
    <col min="2" max="2" width="20.42578125" style="18" bestFit="1" customWidth="1"/>
    <col min="3" max="3" width="5.85546875" style="17" bestFit="1" customWidth="1"/>
    <col min="4" max="4" width="52.42578125" style="17" customWidth="1"/>
    <col min="5" max="5" width="15.140625" style="18" bestFit="1" customWidth="1"/>
    <col min="6" max="6" width="15.140625" style="21" bestFit="1" customWidth="1"/>
    <col min="7" max="7" width="10.5703125" style="296" bestFit="1" customWidth="1"/>
    <col min="8" max="9" width="15.140625" style="21" bestFit="1" customWidth="1"/>
    <col min="10" max="11" width="15.140625" style="21" customWidth="1"/>
    <col min="12" max="12" width="4.85546875" style="22" hidden="1" customWidth="1"/>
    <col min="13" max="13" width="2.42578125" style="22" hidden="1" customWidth="1"/>
    <col min="14" max="14" width="4" style="22" hidden="1" customWidth="1"/>
    <col min="15" max="15" width="23.7109375" style="21" hidden="1" customWidth="1"/>
    <col min="16" max="16" width="7.140625" style="297" bestFit="1" customWidth="1"/>
    <col min="17" max="21" width="11.42578125" style="21"/>
    <col min="22" max="25" width="16.5703125" style="21" bestFit="1" customWidth="1"/>
    <col min="26" max="35" width="11.42578125" style="21"/>
    <col min="36" max="36" width="16.5703125" style="21" bestFit="1" customWidth="1"/>
    <col min="37" max="16384" width="11.42578125" style="21"/>
  </cols>
  <sheetData>
    <row r="1" spans="1:36">
      <c r="A1" s="21"/>
      <c r="B1" s="21"/>
      <c r="AB1" s="125" t="s">
        <v>1560</v>
      </c>
      <c r="AC1" s="125"/>
      <c r="AD1" s="125"/>
      <c r="AE1" s="125"/>
      <c r="AF1" s="125"/>
      <c r="AG1" s="125"/>
      <c r="AH1" s="125"/>
      <c r="AI1" s="125"/>
      <c r="AJ1" s="124"/>
    </row>
    <row r="2" spans="1:36">
      <c r="A2" s="294" t="s">
        <v>1315</v>
      </c>
      <c r="B2" s="248">
        <v>1</v>
      </c>
      <c r="Q2" s="125" t="s">
        <v>1473</v>
      </c>
      <c r="R2" s="125"/>
      <c r="S2" s="125"/>
      <c r="T2" s="125"/>
      <c r="U2" s="125"/>
      <c r="V2" s="124"/>
      <c r="W2" s="124"/>
      <c r="X2" s="124"/>
      <c r="Y2" s="124"/>
      <c r="AB2" s="125"/>
      <c r="AC2" s="125"/>
      <c r="AD2" s="279"/>
      <c r="AE2" s="279"/>
      <c r="AF2" s="279"/>
      <c r="AG2" s="279"/>
      <c r="AH2" s="279"/>
      <c r="AI2" s="279"/>
      <c r="AJ2" s="124"/>
    </row>
    <row r="3" spans="1:36">
      <c r="A3" s="21"/>
      <c r="B3" s="21"/>
      <c r="C3" s="21"/>
      <c r="D3" s="21"/>
      <c r="E3" s="21"/>
      <c r="G3" s="21"/>
      <c r="Q3" s="125"/>
      <c r="R3" s="125"/>
      <c r="S3" s="279"/>
      <c r="T3" s="279"/>
      <c r="U3" s="279"/>
      <c r="V3" s="124"/>
      <c r="W3" s="124"/>
      <c r="X3" s="124"/>
      <c r="Y3" s="124"/>
      <c r="AB3" s="238"/>
      <c r="AC3" s="239"/>
      <c r="AD3" s="239"/>
      <c r="AE3" s="239"/>
      <c r="AF3" s="239"/>
      <c r="AG3" s="239"/>
      <c r="AH3" s="239"/>
      <c r="AI3" s="239"/>
      <c r="AJ3" s="295" t="s">
        <v>1526</v>
      </c>
    </row>
    <row r="4" spans="1:36" s="12" customFormat="1">
      <c r="A4" s="249"/>
      <c r="B4" s="249"/>
      <c r="C4" s="249"/>
      <c r="D4" s="249"/>
      <c r="E4" s="38" t="s">
        <v>636</v>
      </c>
      <c r="F4" s="39"/>
      <c r="G4" s="40"/>
      <c r="H4" s="40"/>
      <c r="I4" s="21"/>
      <c r="J4" s="21"/>
      <c r="K4" s="21"/>
      <c r="L4" s="22"/>
      <c r="M4" s="22"/>
      <c r="N4" s="22"/>
      <c r="O4" s="21"/>
      <c r="P4" s="297" t="s">
        <v>791</v>
      </c>
      <c r="Q4" s="238"/>
      <c r="R4" s="239"/>
      <c r="S4" s="239"/>
      <c r="T4" s="239"/>
      <c r="U4" s="239"/>
      <c r="V4" s="230" t="s">
        <v>7</v>
      </c>
      <c r="W4" s="230" t="s">
        <v>1318</v>
      </c>
      <c r="X4" s="230" t="s">
        <v>1521</v>
      </c>
      <c r="Y4" s="230" t="s">
        <v>639</v>
      </c>
      <c r="AB4" s="238" t="s">
        <v>650</v>
      </c>
      <c r="AC4" s="239"/>
      <c r="AD4" s="239"/>
      <c r="AE4" s="239"/>
      <c r="AF4" s="239"/>
      <c r="AG4" s="239"/>
      <c r="AH4" s="239"/>
      <c r="AI4" s="239"/>
      <c r="AJ4" s="298">
        <f>+AJ5+AJ7+AJ9+AJ11+AJ18+AJ23+AJ25+AJ29+AJ55+AJ62+AJ65+AJ71+AJ74+AJ79+AJ83</f>
        <v>85740757808.000015</v>
      </c>
    </row>
    <row r="5" spans="1:36">
      <c r="A5" s="10" t="s">
        <v>606</v>
      </c>
      <c r="B5" s="16" t="s">
        <v>608</v>
      </c>
      <c r="C5" s="16" t="s">
        <v>0</v>
      </c>
      <c r="D5" s="16" t="s">
        <v>1</v>
      </c>
      <c r="E5" s="20" t="s">
        <v>644</v>
      </c>
      <c r="F5" s="12" t="s">
        <v>640</v>
      </c>
      <c r="G5" s="12" t="s">
        <v>641</v>
      </c>
      <c r="H5" s="12" t="s">
        <v>642</v>
      </c>
      <c r="Q5" s="238" t="s">
        <v>650</v>
      </c>
      <c r="R5" s="239"/>
      <c r="S5" s="239"/>
      <c r="T5" s="239"/>
      <c r="U5" s="239"/>
      <c r="V5" s="299">
        <f>+V6+V8+V10+V12+V19+V24+V26+V30+V56+V64+V67+V73+V76+V81+V85</f>
        <v>81981582081.000015</v>
      </c>
      <c r="W5" s="299">
        <f>+W6+W8+W10+W12+W19+W24+W26+W30+W56+W64+W67+W73+W76+W81+W85</f>
        <v>689024273</v>
      </c>
      <c r="X5" s="299">
        <f>+X6+X8+X10+X12+X19+X24+X26+X30+X56+X64+X67+X73+X76+X81+X85</f>
        <v>4448200000</v>
      </c>
      <c r="Y5" s="299">
        <f>+Y6+Y8+Y10+Y12+Y19+Y24+Y26+Y30+Y56+Y64+Y67+Y73+Y76+Y81+Y85</f>
        <v>85740757808.000015</v>
      </c>
      <c r="AB5" s="300" t="s">
        <v>1337</v>
      </c>
      <c r="AC5" s="301"/>
      <c r="AD5" s="301"/>
      <c r="AE5" s="301"/>
      <c r="AF5" s="301"/>
      <c r="AG5" s="301"/>
      <c r="AH5" s="301"/>
      <c r="AI5" s="301"/>
      <c r="AJ5" s="298">
        <f>+AJ6</f>
        <v>69791436</v>
      </c>
    </row>
    <row r="6" spans="1:36">
      <c r="A6" s="249">
        <v>4</v>
      </c>
      <c r="B6" s="21" t="s">
        <v>615</v>
      </c>
      <c r="C6" s="21">
        <v>1</v>
      </c>
      <c r="D6" s="21" t="s">
        <v>25</v>
      </c>
      <c r="E6" s="39">
        <v>69791436</v>
      </c>
      <c r="F6" s="40"/>
      <c r="G6" s="40"/>
      <c r="H6" s="40">
        <v>69791436</v>
      </c>
      <c r="Q6" s="300" t="s">
        <v>1337</v>
      </c>
      <c r="R6" s="301"/>
      <c r="S6" s="301"/>
      <c r="T6" s="301"/>
      <c r="U6" s="301"/>
      <c r="V6" s="299">
        <f>+V7</f>
        <v>69791436</v>
      </c>
      <c r="W6" s="299">
        <f>+W7</f>
        <v>0</v>
      </c>
      <c r="X6" s="299">
        <f>+X7</f>
        <v>0</v>
      </c>
      <c r="Y6" s="299">
        <f>+Y7</f>
        <v>69791436</v>
      </c>
      <c r="AB6" s="302" t="s">
        <v>1474</v>
      </c>
      <c r="AC6" s="303" t="s">
        <v>25</v>
      </c>
      <c r="AD6" s="235"/>
      <c r="AE6" s="235"/>
      <c r="AF6" s="235"/>
      <c r="AG6" s="235"/>
      <c r="AH6" s="235"/>
      <c r="AI6" s="235"/>
      <c r="AJ6" s="304">
        <f>+Y7</f>
        <v>69791436</v>
      </c>
    </row>
    <row r="7" spans="1:36">
      <c r="A7" s="249">
        <v>5</v>
      </c>
      <c r="B7" s="21" t="s">
        <v>611</v>
      </c>
      <c r="C7" s="21">
        <v>5</v>
      </c>
      <c r="D7" s="21" t="s">
        <v>48</v>
      </c>
      <c r="E7" s="39">
        <v>13267510</v>
      </c>
      <c r="F7" s="40"/>
      <c r="G7" s="40"/>
      <c r="H7" s="40">
        <v>13267510</v>
      </c>
      <c r="L7" s="305">
        <v>4</v>
      </c>
      <c r="M7" s="306" t="s">
        <v>615</v>
      </c>
      <c r="N7" s="307">
        <v>1</v>
      </c>
      <c r="O7" s="308" t="s">
        <v>25</v>
      </c>
      <c r="P7" s="309">
        <v>1</v>
      </c>
      <c r="Q7" s="236" t="s">
        <v>1474</v>
      </c>
      <c r="R7" s="303" t="s">
        <v>25</v>
      </c>
      <c r="S7" s="235"/>
      <c r="T7" s="235"/>
      <c r="U7" s="235"/>
      <c r="V7" s="310">
        <f>+GETPIVOTDATA("PPEF 2011 ",$A4,"No. Ramo",$L7,"IPP",$M7,"PP",$N7,"Programa Presupuestario (PP)",$O7)*$P7</f>
        <v>69791436</v>
      </c>
      <c r="W7" s="310">
        <f>+GETPIVOTDATA("Reducción ",$A4,"No. Ramo",$L7,"IPP",$M7,"PP",$N7,"Programa Presupuestario (PP)",$O7)*$P7</f>
        <v>0</v>
      </c>
      <c r="X7" s="310">
        <f>+GETPIVOTDATA("Ampliación ",$A4,"No. Ramo",$L7,"IPP",$M7,"PP",$N7,"Programa Presupuestario (PP)",$O7)*$P7</f>
        <v>0</v>
      </c>
      <c r="Y7" s="310">
        <f>+GETPIVOTDATA("PEF 2011 ",$A4,"No. Ramo",$L7,"IPP",$M7,"PP",$N7,"Programa Presupuestario (PP)",$O7)*$P7</f>
        <v>69791436</v>
      </c>
      <c r="AB7" s="300" t="s">
        <v>1475</v>
      </c>
      <c r="AC7" s="311"/>
      <c r="AD7" s="301"/>
      <c r="AE7" s="301"/>
      <c r="AF7" s="301"/>
      <c r="AG7" s="301"/>
      <c r="AH7" s="301"/>
      <c r="AI7" s="301"/>
      <c r="AJ7" s="298">
        <f>+AJ8</f>
        <v>13267510</v>
      </c>
    </row>
    <row r="8" spans="1:36" ht="30" customHeight="1">
      <c r="A8" s="21">
        <v>6</v>
      </c>
      <c r="B8" s="21" t="s">
        <v>619</v>
      </c>
      <c r="C8" s="21">
        <v>199</v>
      </c>
      <c r="D8" s="21" t="s">
        <v>93</v>
      </c>
      <c r="E8" s="39">
        <v>65000000</v>
      </c>
      <c r="F8" s="40"/>
      <c r="G8" s="40"/>
      <c r="H8" s="40">
        <v>65000000</v>
      </c>
      <c r="L8" s="312"/>
      <c r="M8" s="313"/>
      <c r="N8" s="314"/>
      <c r="O8" s="315"/>
      <c r="P8" s="316"/>
      <c r="Q8" s="300" t="s">
        <v>1475</v>
      </c>
      <c r="R8" s="311"/>
      <c r="S8" s="301"/>
      <c r="T8" s="301"/>
      <c r="U8" s="301"/>
      <c r="V8" s="299">
        <f>+V9</f>
        <v>13267510</v>
      </c>
      <c r="W8" s="299">
        <f>+W9</f>
        <v>0</v>
      </c>
      <c r="X8" s="299">
        <f>+X9</f>
        <v>0</v>
      </c>
      <c r="Y8" s="299">
        <f>+Y9</f>
        <v>13267510</v>
      </c>
      <c r="AB8" s="317" t="s">
        <v>1476</v>
      </c>
      <c r="AC8" s="408" t="s">
        <v>48</v>
      </c>
      <c r="AD8" s="408"/>
      <c r="AE8" s="408"/>
      <c r="AF8" s="408"/>
      <c r="AG8" s="408"/>
      <c r="AH8" s="408"/>
      <c r="AI8" s="409"/>
      <c r="AJ8" s="304">
        <f>+Y9</f>
        <v>13267510</v>
      </c>
    </row>
    <row r="9" spans="1:36" ht="15" customHeight="1">
      <c r="A9" s="249">
        <v>8</v>
      </c>
      <c r="B9" s="21" t="s">
        <v>613</v>
      </c>
      <c r="C9" s="21">
        <v>5</v>
      </c>
      <c r="D9" s="21" t="s">
        <v>113</v>
      </c>
      <c r="E9" s="39">
        <v>1000863845</v>
      </c>
      <c r="F9" s="40"/>
      <c r="G9" s="40">
        <v>30000000</v>
      </c>
      <c r="H9" s="40">
        <v>1030863845</v>
      </c>
      <c r="L9" s="312">
        <v>5</v>
      </c>
      <c r="M9" s="313" t="s">
        <v>611</v>
      </c>
      <c r="N9" s="314">
        <v>5</v>
      </c>
      <c r="O9" s="315" t="s">
        <v>48</v>
      </c>
      <c r="P9" s="309">
        <v>1</v>
      </c>
      <c r="Q9" s="234" t="s">
        <v>1476</v>
      </c>
      <c r="R9" s="303" t="s">
        <v>48</v>
      </c>
      <c r="S9" s="318"/>
      <c r="T9" s="318"/>
      <c r="U9" s="318"/>
      <c r="V9" s="310">
        <f>+GETPIVOTDATA("PPEF 2011 ",$A6,"No. Ramo",$L9,"IPP",$M9,"PP",$N9,"Programa Presupuestario (PP)",$O9)*$P9</f>
        <v>13267510</v>
      </c>
      <c r="W9" s="310">
        <f>+GETPIVOTDATA("Reducción ",$A6,"No. Ramo",$L9,"IPP",$M9,"PP",$N9,"Programa Presupuestario (PP)",$O9)*$P9</f>
        <v>0</v>
      </c>
      <c r="X9" s="310">
        <f>+GETPIVOTDATA("Ampliación ",$A6,"No. Ramo",$L9,"IPP",$M9,"PP",$N9,"Programa Presupuestario (PP)",$O9)*$P9</f>
        <v>0</v>
      </c>
      <c r="Y9" s="310">
        <f>+GETPIVOTDATA("PEF 2011 ",$A6,"No. Ramo",$L9,"IPP",$M9,"PP",$N9,"Programa Presupuestario (PP)",$O9)*$P9</f>
        <v>13267510</v>
      </c>
      <c r="AB9" s="238" t="s">
        <v>1477</v>
      </c>
      <c r="AC9" s="311"/>
      <c r="AD9" s="301"/>
      <c r="AE9" s="301"/>
      <c r="AF9" s="301"/>
      <c r="AG9" s="301"/>
      <c r="AH9" s="301"/>
      <c r="AI9" s="301"/>
      <c r="AJ9" s="298">
        <f>+AJ10</f>
        <v>65000000</v>
      </c>
    </row>
    <row r="10" spans="1:36">
      <c r="B10" s="21" t="s">
        <v>619</v>
      </c>
      <c r="C10" s="21">
        <v>232</v>
      </c>
      <c r="D10" s="21" t="s">
        <v>140</v>
      </c>
      <c r="E10" s="39">
        <v>10369000002</v>
      </c>
      <c r="F10" s="40"/>
      <c r="G10" s="40">
        <v>3044700000</v>
      </c>
      <c r="H10" s="40">
        <v>13413700002</v>
      </c>
      <c r="L10" s="312"/>
      <c r="M10" s="313"/>
      <c r="N10" s="314"/>
      <c r="O10" s="315"/>
      <c r="P10" s="316"/>
      <c r="Q10" s="238" t="s">
        <v>1477</v>
      </c>
      <c r="R10" s="311"/>
      <c r="S10" s="301"/>
      <c r="T10" s="301"/>
      <c r="U10" s="301"/>
      <c r="V10" s="299">
        <f>+V11</f>
        <v>65000000</v>
      </c>
      <c r="W10" s="299">
        <f>+W11</f>
        <v>0</v>
      </c>
      <c r="X10" s="299">
        <f>+X11</f>
        <v>0</v>
      </c>
      <c r="Y10" s="299">
        <f>+Y11</f>
        <v>65000000</v>
      </c>
      <c r="AB10" s="317" t="s">
        <v>1478</v>
      </c>
      <c r="AC10" s="319" t="s">
        <v>93</v>
      </c>
      <c r="AD10" s="235"/>
      <c r="AE10" s="235"/>
      <c r="AF10" s="235"/>
      <c r="AG10" s="235"/>
      <c r="AH10" s="235"/>
      <c r="AI10" s="235"/>
      <c r="AJ10" s="304">
        <f>+Y11</f>
        <v>65000000</v>
      </c>
    </row>
    <row r="11" spans="1:36">
      <c r="B11" s="21"/>
      <c r="C11" s="21">
        <v>234</v>
      </c>
      <c r="D11" s="21" t="s">
        <v>142</v>
      </c>
      <c r="E11" s="39">
        <v>7697000000</v>
      </c>
      <c r="F11" s="40"/>
      <c r="G11" s="40">
        <v>920000000</v>
      </c>
      <c r="H11" s="40">
        <v>8617000000</v>
      </c>
      <c r="L11" s="320">
        <v>6</v>
      </c>
      <c r="M11" s="313" t="s">
        <v>619</v>
      </c>
      <c r="N11" s="314">
        <v>199</v>
      </c>
      <c r="O11" s="315" t="s">
        <v>93</v>
      </c>
      <c r="P11" s="309">
        <v>1</v>
      </c>
      <c r="Q11" s="234" t="s">
        <v>1478</v>
      </c>
      <c r="R11" s="319" t="s">
        <v>93</v>
      </c>
      <c r="S11" s="235"/>
      <c r="T11" s="235"/>
      <c r="U11" s="235"/>
      <c r="V11" s="310">
        <f>+GETPIVOTDATA("PPEF 2011 ",$A8,"No. Ramo",$L11,"IPP",$M11,"PP",$N11,"Programa Presupuestario (PP)",$O11)*$P11</f>
        <v>65000000</v>
      </c>
      <c r="W11" s="310">
        <f>+GETPIVOTDATA("Reducción ",$A8,"No. Ramo",$L11,"IPP",$M11,"PP",$N11,"Programa Presupuestario (PP)",$O11)*$P11</f>
        <v>0</v>
      </c>
      <c r="X11" s="310">
        <f>+GETPIVOTDATA("Ampliación ",$A8,"No. Ramo",$L11,"IPP",$M11,"PP",$N11,"Programa Presupuestario (PP)",$O11)*$P11</f>
        <v>0</v>
      </c>
      <c r="Y11" s="310">
        <f>+GETPIVOTDATA("PEF 2011 ",$A8,"No. Ramo",$L11,"IPP",$M11,"PP",$N11,"Programa Presupuestario (PP)",$O11)*$P11</f>
        <v>65000000</v>
      </c>
      <c r="AB11" s="238" t="s">
        <v>1341</v>
      </c>
      <c r="AC11" s="311"/>
      <c r="AD11" s="301"/>
      <c r="AE11" s="301"/>
      <c r="AF11" s="301"/>
      <c r="AG11" s="301"/>
      <c r="AH11" s="301"/>
      <c r="AI11" s="301"/>
      <c r="AJ11" s="298">
        <f>+SUM(AJ12:AJ17)</f>
        <v>25014063847</v>
      </c>
    </row>
    <row r="12" spans="1:36">
      <c r="B12" s="21" t="s">
        <v>616</v>
      </c>
      <c r="C12" s="21">
        <v>7</v>
      </c>
      <c r="D12" s="21" t="s">
        <v>146</v>
      </c>
      <c r="E12" s="39">
        <v>2500000</v>
      </c>
      <c r="F12" s="40"/>
      <c r="G12" s="40"/>
      <c r="H12" s="40">
        <v>2500000</v>
      </c>
      <c r="L12" s="321"/>
      <c r="M12" s="313"/>
      <c r="N12" s="314"/>
      <c r="O12" s="315"/>
      <c r="P12" s="309">
        <v>1</v>
      </c>
      <c r="Q12" s="238" t="s">
        <v>1341</v>
      </c>
      <c r="R12" s="311"/>
      <c r="S12" s="301"/>
      <c r="T12" s="301"/>
      <c r="U12" s="301"/>
      <c r="V12" s="299">
        <f>+SUM(V13:V18)</f>
        <v>20399863847</v>
      </c>
      <c r="W12" s="299">
        <f>+SUM(W13:W18)</f>
        <v>0</v>
      </c>
      <c r="X12" s="299">
        <f>+SUM(X13:X18)</f>
        <v>4614200000</v>
      </c>
      <c r="Y12" s="299">
        <f>+SUM(Y13:Y18)</f>
        <v>25014063847</v>
      </c>
      <c r="AB12" s="317" t="s">
        <v>853</v>
      </c>
      <c r="AC12" s="322" t="s">
        <v>113</v>
      </c>
      <c r="AD12" s="237"/>
      <c r="AE12" s="237"/>
      <c r="AF12" s="237"/>
      <c r="AG12" s="237"/>
      <c r="AH12" s="237"/>
      <c r="AI12" s="237"/>
      <c r="AJ12" s="304">
        <f t="shared" ref="AJ12:AJ17" si="0">+Y13</f>
        <v>1030863845</v>
      </c>
    </row>
    <row r="13" spans="1:36">
      <c r="B13" s="21"/>
      <c r="C13" s="21">
        <v>16</v>
      </c>
      <c r="D13" s="21" t="s">
        <v>151</v>
      </c>
      <c r="E13" s="39">
        <v>1110500000</v>
      </c>
      <c r="F13" s="40"/>
      <c r="G13" s="40">
        <v>589500000</v>
      </c>
      <c r="H13" s="40">
        <v>1700000000</v>
      </c>
      <c r="L13" s="323">
        <v>8</v>
      </c>
      <c r="M13" s="313" t="s">
        <v>613</v>
      </c>
      <c r="N13" s="314">
        <v>5</v>
      </c>
      <c r="O13" s="315" t="s">
        <v>113</v>
      </c>
      <c r="P13" s="309">
        <v>1</v>
      </c>
      <c r="Q13" s="234" t="s">
        <v>853</v>
      </c>
      <c r="R13" s="322" t="s">
        <v>113</v>
      </c>
      <c r="S13" s="237"/>
      <c r="T13" s="237"/>
      <c r="U13" s="237"/>
      <c r="V13" s="310">
        <f t="shared" ref="V13:V18" si="1">+GETPIVOTDATA("PPEF 2011 ",$A10,"No. Ramo",$L13,"IPP",$M13,"PP",$N13,"Programa Presupuestario (PP)",$O13)*$P13</f>
        <v>1000863845</v>
      </c>
      <c r="W13" s="310">
        <f t="shared" ref="W13:W18" si="2">+GETPIVOTDATA("Reducción ",$A10,"No. Ramo",$L13,"IPP",$M13,"PP",$N13,"Programa Presupuestario (PP)",$O13)*$P13</f>
        <v>0</v>
      </c>
      <c r="X13" s="310">
        <f t="shared" ref="X13:X18" si="3">+GETPIVOTDATA("Ampliación ",$A10,"No. Ramo",$L13,"IPP",$M13,"PP",$N13,"Programa Presupuestario (PP)",$O13)*$P13</f>
        <v>30000000</v>
      </c>
      <c r="Y13" s="310">
        <f t="shared" ref="Y13:Y18" si="4">+GETPIVOTDATA("PEF 2011 ",$A10,"No. Ramo",$L13,"IPP",$M13,"PP",$N13,"Programa Presupuestario (PP)",$O13)*$P13</f>
        <v>1030863845</v>
      </c>
      <c r="AB13" s="317" t="s">
        <v>808</v>
      </c>
      <c r="AC13" s="322" t="s">
        <v>140</v>
      </c>
      <c r="AD13" s="237"/>
      <c r="AE13" s="237"/>
      <c r="AF13" s="237"/>
      <c r="AG13" s="237"/>
      <c r="AH13" s="237"/>
      <c r="AI13" s="237"/>
      <c r="AJ13" s="304">
        <f t="shared" si="0"/>
        <v>13413700002</v>
      </c>
    </row>
    <row r="14" spans="1:36">
      <c r="B14" s="21"/>
      <c r="C14" s="21">
        <v>17</v>
      </c>
      <c r="D14" s="21" t="s">
        <v>152</v>
      </c>
      <c r="E14" s="39">
        <v>220000000</v>
      </c>
      <c r="F14" s="40"/>
      <c r="G14" s="40">
        <v>30000000</v>
      </c>
      <c r="H14" s="40">
        <v>250000000</v>
      </c>
      <c r="L14" s="323">
        <v>8</v>
      </c>
      <c r="M14" s="324" t="s">
        <v>619</v>
      </c>
      <c r="N14" s="314">
        <v>232</v>
      </c>
      <c r="O14" s="315" t="s">
        <v>140</v>
      </c>
      <c r="P14" s="309">
        <v>1</v>
      </c>
      <c r="Q14" s="234" t="s">
        <v>808</v>
      </c>
      <c r="R14" s="322" t="s">
        <v>140</v>
      </c>
      <c r="S14" s="237"/>
      <c r="T14" s="237"/>
      <c r="U14" s="237"/>
      <c r="V14" s="310">
        <f t="shared" si="1"/>
        <v>10369000002</v>
      </c>
      <c r="W14" s="310">
        <f t="shared" si="2"/>
        <v>0</v>
      </c>
      <c r="X14" s="310">
        <f t="shared" si="3"/>
        <v>3044700000</v>
      </c>
      <c r="Y14" s="310">
        <f t="shared" si="4"/>
        <v>13413700002</v>
      </c>
      <c r="AB14" s="317" t="s">
        <v>821</v>
      </c>
      <c r="AC14" s="325" t="s">
        <v>142</v>
      </c>
      <c r="AD14" s="235"/>
      <c r="AE14" s="235"/>
      <c r="AF14" s="235"/>
      <c r="AG14" s="235"/>
      <c r="AH14" s="235"/>
      <c r="AI14" s="235"/>
      <c r="AJ14" s="304">
        <f t="shared" si="0"/>
        <v>8617000000</v>
      </c>
    </row>
    <row r="15" spans="1:36">
      <c r="A15" s="249">
        <v>9</v>
      </c>
      <c r="B15" s="21" t="s">
        <v>614</v>
      </c>
      <c r="C15" s="21">
        <v>4</v>
      </c>
      <c r="D15" s="21" t="s">
        <v>157</v>
      </c>
      <c r="E15" s="39">
        <v>2336275006</v>
      </c>
      <c r="F15" s="40"/>
      <c r="G15" s="40">
        <v>270000000</v>
      </c>
      <c r="H15" s="40">
        <v>2606275006</v>
      </c>
      <c r="L15" s="323">
        <v>8</v>
      </c>
      <c r="M15" s="324" t="s">
        <v>619</v>
      </c>
      <c r="N15" s="314">
        <v>234</v>
      </c>
      <c r="O15" s="315" t="s">
        <v>142</v>
      </c>
      <c r="P15" s="309">
        <v>1</v>
      </c>
      <c r="Q15" s="234" t="s">
        <v>821</v>
      </c>
      <c r="R15" s="325" t="s">
        <v>142</v>
      </c>
      <c r="S15" s="235"/>
      <c r="T15" s="235"/>
      <c r="U15" s="235"/>
      <c r="V15" s="310">
        <f t="shared" si="1"/>
        <v>7697000000</v>
      </c>
      <c r="W15" s="310">
        <f t="shared" si="2"/>
        <v>0</v>
      </c>
      <c r="X15" s="310">
        <f t="shared" si="3"/>
        <v>920000000</v>
      </c>
      <c r="Y15" s="310">
        <f t="shared" si="4"/>
        <v>8617000000</v>
      </c>
      <c r="AB15" s="317" t="s">
        <v>1031</v>
      </c>
      <c r="AC15" s="325" t="s">
        <v>146</v>
      </c>
      <c r="AD15" s="235"/>
      <c r="AE15" s="235"/>
      <c r="AF15" s="235"/>
      <c r="AG15" s="235"/>
      <c r="AH15" s="235"/>
      <c r="AI15" s="235"/>
      <c r="AJ15" s="304">
        <f t="shared" si="0"/>
        <v>2500000</v>
      </c>
    </row>
    <row r="16" spans="1:36">
      <c r="B16" s="21"/>
      <c r="C16" s="21">
        <v>10</v>
      </c>
      <c r="D16" s="21" t="s">
        <v>158</v>
      </c>
      <c r="E16" s="39">
        <v>21817500</v>
      </c>
      <c r="F16" s="40"/>
      <c r="G16" s="40"/>
      <c r="H16" s="40">
        <v>21817500</v>
      </c>
      <c r="L16" s="323">
        <v>8</v>
      </c>
      <c r="M16" s="324" t="s">
        <v>616</v>
      </c>
      <c r="N16" s="314">
        <v>7</v>
      </c>
      <c r="O16" s="315" t="s">
        <v>146</v>
      </c>
      <c r="P16" s="309">
        <v>1</v>
      </c>
      <c r="Q16" s="234" t="s">
        <v>1031</v>
      </c>
      <c r="R16" s="325" t="s">
        <v>146</v>
      </c>
      <c r="S16" s="235"/>
      <c r="T16" s="235"/>
      <c r="U16" s="235"/>
      <c r="V16" s="310">
        <f t="shared" si="1"/>
        <v>2500000</v>
      </c>
      <c r="W16" s="310">
        <f t="shared" si="2"/>
        <v>0</v>
      </c>
      <c r="X16" s="310">
        <f t="shared" si="3"/>
        <v>0</v>
      </c>
      <c r="Y16" s="310">
        <f t="shared" si="4"/>
        <v>2500000</v>
      </c>
      <c r="AB16" s="317" t="s">
        <v>1036</v>
      </c>
      <c r="AC16" s="325" t="s">
        <v>151</v>
      </c>
      <c r="AD16" s="237"/>
      <c r="AE16" s="235"/>
      <c r="AF16" s="235"/>
      <c r="AG16" s="235"/>
      <c r="AH16" s="235"/>
      <c r="AI16" s="235"/>
      <c r="AJ16" s="304">
        <f t="shared" si="0"/>
        <v>1700000000</v>
      </c>
    </row>
    <row r="17" spans="1:36">
      <c r="B17" s="21"/>
      <c r="C17" s="21">
        <v>40</v>
      </c>
      <c r="D17" s="21" t="s">
        <v>162</v>
      </c>
      <c r="E17" s="39">
        <v>4872800000</v>
      </c>
      <c r="F17" s="40"/>
      <c r="G17" s="40">
        <v>-626000000</v>
      </c>
      <c r="H17" s="40">
        <v>4246800000</v>
      </c>
      <c r="L17" s="323">
        <v>8</v>
      </c>
      <c r="M17" s="324" t="s">
        <v>616</v>
      </c>
      <c r="N17" s="314">
        <v>16</v>
      </c>
      <c r="O17" s="315" t="s">
        <v>151</v>
      </c>
      <c r="P17" s="309">
        <v>1</v>
      </c>
      <c r="Q17" s="234" t="s">
        <v>1036</v>
      </c>
      <c r="R17" s="325" t="s">
        <v>151</v>
      </c>
      <c r="S17" s="237"/>
      <c r="T17" s="235"/>
      <c r="U17" s="235"/>
      <c r="V17" s="310">
        <f t="shared" si="1"/>
        <v>1110500000</v>
      </c>
      <c r="W17" s="310">
        <f t="shared" si="2"/>
        <v>0</v>
      </c>
      <c r="X17" s="310">
        <f t="shared" si="3"/>
        <v>589500000</v>
      </c>
      <c r="Y17" s="310">
        <f t="shared" si="4"/>
        <v>1700000000</v>
      </c>
      <c r="AB17" s="317" t="s">
        <v>817</v>
      </c>
      <c r="AC17" s="325" t="s">
        <v>152</v>
      </c>
      <c r="AD17" s="237"/>
      <c r="AE17" s="235"/>
      <c r="AF17" s="235"/>
      <c r="AG17" s="235"/>
      <c r="AH17" s="235"/>
      <c r="AI17" s="235"/>
      <c r="AJ17" s="304">
        <f t="shared" si="0"/>
        <v>250000000</v>
      </c>
    </row>
    <row r="18" spans="1:36">
      <c r="B18" s="21"/>
      <c r="C18" s="21">
        <v>41</v>
      </c>
      <c r="D18" s="21" t="s">
        <v>163</v>
      </c>
      <c r="E18" s="39">
        <v>1000000000</v>
      </c>
      <c r="F18" s="40"/>
      <c r="G18" s="40"/>
      <c r="H18" s="40">
        <v>1000000000</v>
      </c>
      <c r="L18" s="323">
        <v>8</v>
      </c>
      <c r="M18" s="324" t="s">
        <v>616</v>
      </c>
      <c r="N18" s="314">
        <v>17</v>
      </c>
      <c r="O18" s="315" t="s">
        <v>152</v>
      </c>
      <c r="P18" s="309">
        <v>1</v>
      </c>
      <c r="Q18" s="234" t="s">
        <v>817</v>
      </c>
      <c r="R18" s="325" t="s">
        <v>152</v>
      </c>
      <c r="S18" s="237"/>
      <c r="T18" s="235"/>
      <c r="U18" s="235"/>
      <c r="V18" s="310">
        <f t="shared" si="1"/>
        <v>220000000</v>
      </c>
      <c r="W18" s="310">
        <f t="shared" si="2"/>
        <v>0</v>
      </c>
      <c r="X18" s="310">
        <f t="shared" si="3"/>
        <v>30000000</v>
      </c>
      <c r="Y18" s="310">
        <f t="shared" si="4"/>
        <v>250000000</v>
      </c>
      <c r="AB18" s="238" t="s">
        <v>1324</v>
      </c>
      <c r="AC18" s="239"/>
      <c r="AD18" s="239"/>
      <c r="AE18" s="239"/>
      <c r="AF18" s="239"/>
      <c r="AG18" s="239"/>
      <c r="AH18" s="239"/>
      <c r="AI18" s="239"/>
      <c r="AJ18" s="298">
        <f>+SUM(AJ19:AJ22)</f>
        <v>7874892506</v>
      </c>
    </row>
    <row r="19" spans="1:36">
      <c r="A19" s="249">
        <v>10</v>
      </c>
      <c r="B19" s="21" t="s">
        <v>611</v>
      </c>
      <c r="C19" s="21">
        <v>7</v>
      </c>
      <c r="D19" s="21" t="s">
        <v>173</v>
      </c>
      <c r="E19" s="39">
        <v>89272815</v>
      </c>
      <c r="F19" s="40"/>
      <c r="G19" s="40"/>
      <c r="H19" s="40">
        <v>89272815</v>
      </c>
      <c r="L19" s="326"/>
      <c r="M19" s="327"/>
      <c r="N19" s="314"/>
      <c r="O19" s="315"/>
      <c r="P19" s="316"/>
      <c r="Q19" s="238" t="s">
        <v>1324</v>
      </c>
      <c r="R19" s="239"/>
      <c r="S19" s="239"/>
      <c r="T19" s="239"/>
      <c r="U19" s="239"/>
      <c r="V19" s="299">
        <f>+SUM(V20:V23)</f>
        <v>8230892506</v>
      </c>
      <c r="W19" s="299">
        <f>+SUM(W20:W23)</f>
        <v>0</v>
      </c>
      <c r="X19" s="299">
        <f>+SUM(X20:X23)</f>
        <v>-356000000</v>
      </c>
      <c r="Y19" s="299">
        <f>+SUM(Y20:Y23)</f>
        <v>7874892506</v>
      </c>
      <c r="AB19" s="317" t="s">
        <v>1479</v>
      </c>
      <c r="AC19" s="325" t="s">
        <v>157</v>
      </c>
      <c r="AD19" s="237"/>
      <c r="AE19" s="235"/>
      <c r="AF19" s="235"/>
      <c r="AG19" s="235"/>
      <c r="AH19" s="235"/>
      <c r="AI19" s="235"/>
      <c r="AJ19" s="304">
        <f>+Y20</f>
        <v>2606275006</v>
      </c>
    </row>
    <row r="20" spans="1:36">
      <c r="A20" s="249">
        <v>11</v>
      </c>
      <c r="B20" s="21" t="s">
        <v>613</v>
      </c>
      <c r="C20" s="21">
        <v>45</v>
      </c>
      <c r="D20" s="21" t="s">
        <v>204</v>
      </c>
      <c r="E20" s="39">
        <v>200035430</v>
      </c>
      <c r="F20" s="40"/>
      <c r="G20" s="40"/>
      <c r="H20" s="40">
        <v>200035430</v>
      </c>
      <c r="L20" s="323">
        <v>9</v>
      </c>
      <c r="M20" s="324" t="s">
        <v>614</v>
      </c>
      <c r="N20" s="314">
        <v>4</v>
      </c>
      <c r="O20" s="315" t="s">
        <v>157</v>
      </c>
      <c r="P20" s="309">
        <v>1</v>
      </c>
      <c r="Q20" s="234" t="s">
        <v>1479</v>
      </c>
      <c r="R20" s="325" t="s">
        <v>157</v>
      </c>
      <c r="S20" s="237"/>
      <c r="T20" s="235"/>
      <c r="U20" s="235"/>
      <c r="V20" s="310">
        <f>+GETPIVOTDATA("PPEF 2011 ",$A17,"No. Ramo",$L20,"IPP",$M20,"PP",$N20,"Programa Presupuestario (PP)",$O20)*$P20</f>
        <v>2336275006</v>
      </c>
      <c r="W20" s="310">
        <f>+GETPIVOTDATA("Reducción ",$A17,"No. Ramo",$L20,"IPP",$M20,"PP",$N20,"Programa Presupuestario (PP)",$O20)*$P20</f>
        <v>0</v>
      </c>
      <c r="X20" s="310">
        <f>+GETPIVOTDATA("Ampliación ",$A17,"No. Ramo",$L20,"IPP",$M20,"PP",$N20,"Programa Presupuestario (PP)",$O20)*$P20</f>
        <v>270000000</v>
      </c>
      <c r="Y20" s="310">
        <f>+GETPIVOTDATA("PEF 2011 ",$A17,"No. Ramo",$L20,"IPP",$M20,"PP",$N20,"Programa Presupuestario (PP)",$O20)*$P20</f>
        <v>2606275006</v>
      </c>
      <c r="AB20" s="317" t="s">
        <v>1480</v>
      </c>
      <c r="AC20" s="325" t="s">
        <v>158</v>
      </c>
      <c r="AD20" s="237"/>
      <c r="AE20" s="235"/>
      <c r="AF20" s="235"/>
      <c r="AG20" s="235"/>
      <c r="AH20" s="235"/>
      <c r="AI20" s="235"/>
      <c r="AJ20" s="304">
        <f>+Y21</f>
        <v>21817500</v>
      </c>
    </row>
    <row r="21" spans="1:36">
      <c r="B21" s="21" t="s">
        <v>619</v>
      </c>
      <c r="C21" s="21">
        <v>152</v>
      </c>
      <c r="D21" s="21" t="s">
        <v>217</v>
      </c>
      <c r="E21" s="39">
        <v>149884733</v>
      </c>
      <c r="F21" s="40"/>
      <c r="G21" s="40">
        <v>150000000</v>
      </c>
      <c r="H21" s="40">
        <v>299884733</v>
      </c>
      <c r="L21" s="323">
        <v>9</v>
      </c>
      <c r="M21" s="324" t="s">
        <v>614</v>
      </c>
      <c r="N21" s="314">
        <v>10</v>
      </c>
      <c r="O21" s="315" t="s">
        <v>158</v>
      </c>
      <c r="P21" s="309">
        <v>1</v>
      </c>
      <c r="Q21" s="234" t="s">
        <v>1480</v>
      </c>
      <c r="R21" s="325" t="s">
        <v>158</v>
      </c>
      <c r="S21" s="237"/>
      <c r="T21" s="235"/>
      <c r="U21" s="235"/>
      <c r="V21" s="310">
        <f>+GETPIVOTDATA("PPEF 2011 ",$A18,"No. Ramo",$L21,"IPP",$M21,"PP",$N21,"Programa Presupuestario (PP)",$O21)*$P21</f>
        <v>21817500</v>
      </c>
      <c r="W21" s="310">
        <f>+GETPIVOTDATA("Reducción ",$A18,"No. Ramo",$L21,"IPP",$M21,"PP",$N21,"Programa Presupuestario (PP)",$O21)*$P21</f>
        <v>0</v>
      </c>
      <c r="X21" s="310">
        <f>+GETPIVOTDATA("Ampliación ",$A18,"No. Ramo",$L21,"IPP",$M21,"PP",$N21,"Programa Presupuestario (PP)",$O21)*$P21</f>
        <v>0</v>
      </c>
      <c r="Y21" s="310">
        <f>+GETPIVOTDATA("PEF 2011 ",$A18,"No. Ramo",$L21,"IPP",$M21,"PP",$N21,"Programa Presupuestario (PP)",$O21)*$P21</f>
        <v>21817500</v>
      </c>
      <c r="AB21" s="317" t="s">
        <v>1481</v>
      </c>
      <c r="AC21" s="325" t="s">
        <v>162</v>
      </c>
      <c r="AD21" s="237"/>
      <c r="AE21" s="235"/>
      <c r="AF21" s="235"/>
      <c r="AG21" s="235"/>
      <c r="AH21" s="235"/>
      <c r="AI21" s="235"/>
      <c r="AJ21" s="304">
        <f>+Y22</f>
        <v>4246800000</v>
      </c>
    </row>
    <row r="22" spans="1:36">
      <c r="B22" s="21" t="s">
        <v>616</v>
      </c>
      <c r="C22" s="21">
        <v>38</v>
      </c>
      <c r="D22" s="21" t="s">
        <v>220</v>
      </c>
      <c r="E22" s="39"/>
      <c r="F22" s="40"/>
      <c r="G22" s="40">
        <v>40000000</v>
      </c>
      <c r="H22" s="40">
        <v>40000000</v>
      </c>
      <c r="L22" s="323">
        <v>9</v>
      </c>
      <c r="M22" s="324" t="s">
        <v>614</v>
      </c>
      <c r="N22" s="314">
        <v>40</v>
      </c>
      <c r="O22" s="315" t="s">
        <v>162</v>
      </c>
      <c r="P22" s="309">
        <v>1</v>
      </c>
      <c r="Q22" s="234" t="s">
        <v>1481</v>
      </c>
      <c r="R22" s="325" t="s">
        <v>162</v>
      </c>
      <c r="S22" s="237"/>
      <c r="T22" s="235"/>
      <c r="U22" s="235"/>
      <c r="V22" s="310">
        <f>+GETPIVOTDATA("PPEF 2011 ",$A19,"No. Ramo",$L22,"IPP",$M22,"PP",$N22,"Programa Presupuestario (PP)",$O22)*$P22</f>
        <v>4872800000</v>
      </c>
      <c r="W22" s="310">
        <f>+GETPIVOTDATA("Reducción ",$A19,"No. Ramo",$L22,"IPP",$M22,"PP",$N22,"Programa Presupuestario (PP)",$O22)*$P22</f>
        <v>0</v>
      </c>
      <c r="X22" s="310">
        <f>+GETPIVOTDATA("Ampliación ",$A19,"No. Ramo",$L22,"IPP",$M22,"PP",$N22,"Programa Presupuestario (PP)",$O22)*$P22</f>
        <v>-626000000</v>
      </c>
      <c r="Y22" s="310">
        <f>+GETPIVOTDATA("PEF 2011 ",$A19,"No. Ramo",$L22,"IPP",$M22,"PP",$N22,"Programa Presupuestario (PP)",$O22)*$P22</f>
        <v>4246800000</v>
      </c>
      <c r="AB22" s="317" t="s">
        <v>1482</v>
      </c>
      <c r="AC22" s="325" t="s">
        <v>163</v>
      </c>
      <c r="AD22" s="237"/>
      <c r="AE22" s="235"/>
      <c r="AF22" s="235"/>
      <c r="AG22" s="235"/>
      <c r="AH22" s="235"/>
      <c r="AI22" s="235"/>
      <c r="AJ22" s="304">
        <f>+Y23</f>
        <v>1000000000</v>
      </c>
    </row>
    <row r="23" spans="1:36">
      <c r="A23" s="249">
        <v>16</v>
      </c>
      <c r="B23" s="21" t="s">
        <v>613</v>
      </c>
      <c r="C23" s="21">
        <v>1</v>
      </c>
      <c r="D23" s="21" t="s">
        <v>296</v>
      </c>
      <c r="E23" s="39">
        <v>2184961677</v>
      </c>
      <c r="F23" s="40">
        <v>689024273</v>
      </c>
      <c r="G23" s="40"/>
      <c r="H23" s="40">
        <v>1495937404</v>
      </c>
      <c r="L23" s="323">
        <v>9</v>
      </c>
      <c r="M23" s="324" t="s">
        <v>614</v>
      </c>
      <c r="N23" s="314">
        <v>41</v>
      </c>
      <c r="O23" s="315" t="s">
        <v>163</v>
      </c>
      <c r="P23" s="309">
        <v>1</v>
      </c>
      <c r="Q23" s="234" t="s">
        <v>1482</v>
      </c>
      <c r="R23" s="325" t="s">
        <v>163</v>
      </c>
      <c r="S23" s="237"/>
      <c r="T23" s="235"/>
      <c r="U23" s="235"/>
      <c r="V23" s="310">
        <f>+GETPIVOTDATA("PPEF 2011 ",$A20,"No. Ramo",$L23,"IPP",$M23,"PP",$N23,"Programa Presupuestario (PP)",$O23)*$P23</f>
        <v>1000000000</v>
      </c>
      <c r="W23" s="310">
        <f>+GETPIVOTDATA("Reducción ",$A20,"No. Ramo",$L23,"IPP",$M23,"PP",$N23,"Programa Presupuestario (PP)",$O23)*$P23</f>
        <v>0</v>
      </c>
      <c r="X23" s="310">
        <f>+GETPIVOTDATA("Ampliación ",$A20,"No. Ramo",$L23,"IPP",$M23,"PP",$N23,"Programa Presupuestario (PP)",$O23)*$P23</f>
        <v>0</v>
      </c>
      <c r="Y23" s="310">
        <f>+GETPIVOTDATA("PEF 2011 ",$A20,"No. Ramo",$L23,"IPP",$M23,"PP",$N23,"Programa Presupuestario (PP)",$O23)*$P23</f>
        <v>1000000000</v>
      </c>
      <c r="AB23" s="238" t="s">
        <v>1325</v>
      </c>
      <c r="AC23" s="328"/>
      <c r="AD23" s="301"/>
      <c r="AE23" s="239"/>
      <c r="AF23" s="239"/>
      <c r="AG23" s="239"/>
      <c r="AH23" s="239"/>
      <c r="AI23" s="239"/>
      <c r="AJ23" s="298">
        <f>+AJ24</f>
        <v>89272815</v>
      </c>
    </row>
    <row r="24" spans="1:36" ht="30" customHeight="1">
      <c r="B24" s="21"/>
      <c r="C24" s="21">
        <v>2</v>
      </c>
      <c r="D24" s="21" t="s">
        <v>297</v>
      </c>
      <c r="E24" s="39">
        <v>910105047</v>
      </c>
      <c r="F24" s="40"/>
      <c r="G24" s="40"/>
      <c r="H24" s="40">
        <v>910105047</v>
      </c>
      <c r="L24" s="312"/>
      <c r="M24" s="313"/>
      <c r="N24" s="314"/>
      <c r="O24" s="315"/>
      <c r="P24" s="316"/>
      <c r="Q24" s="238" t="s">
        <v>1325</v>
      </c>
      <c r="R24" s="328"/>
      <c r="S24" s="301"/>
      <c r="T24" s="239"/>
      <c r="U24" s="239"/>
      <c r="V24" s="299">
        <f>+V25</f>
        <v>89272815</v>
      </c>
      <c r="W24" s="299">
        <f>+W25</f>
        <v>0</v>
      </c>
      <c r="X24" s="299">
        <f>+X25</f>
        <v>0</v>
      </c>
      <c r="Y24" s="299">
        <f>+Y25</f>
        <v>89272815</v>
      </c>
      <c r="AB24" s="317" t="s">
        <v>1483</v>
      </c>
      <c r="AC24" s="410" t="s">
        <v>173</v>
      </c>
      <c r="AD24" s="410"/>
      <c r="AE24" s="410"/>
      <c r="AF24" s="410"/>
      <c r="AG24" s="410"/>
      <c r="AH24" s="410"/>
      <c r="AI24" s="411"/>
      <c r="AJ24" s="304">
        <f>+Y25</f>
        <v>89272815</v>
      </c>
    </row>
    <row r="25" spans="1:36" ht="15" customHeight="1">
      <c r="B25" s="21"/>
      <c r="C25" s="21">
        <v>5</v>
      </c>
      <c r="D25" s="21" t="s">
        <v>298</v>
      </c>
      <c r="E25" s="39">
        <v>46014375</v>
      </c>
      <c r="F25" s="40"/>
      <c r="G25" s="40"/>
      <c r="H25" s="40">
        <v>46014375</v>
      </c>
      <c r="L25" s="312">
        <v>10</v>
      </c>
      <c r="M25" s="313" t="s">
        <v>611</v>
      </c>
      <c r="N25" s="314">
        <v>7</v>
      </c>
      <c r="O25" s="315" t="s">
        <v>173</v>
      </c>
      <c r="P25" s="309">
        <v>1</v>
      </c>
      <c r="Q25" s="234" t="s">
        <v>1483</v>
      </c>
      <c r="R25" s="325" t="s">
        <v>173</v>
      </c>
      <c r="S25" s="329"/>
      <c r="T25" s="329"/>
      <c r="U25" s="329"/>
      <c r="V25" s="310">
        <f>+GETPIVOTDATA("PPEF 2011 ",$A22,"No. Ramo",$L25,"IPP",$M25,"PP",$N25,"Programa Presupuestario (PP)",$O25)*$P25</f>
        <v>89272815</v>
      </c>
      <c r="W25" s="310">
        <f>+GETPIVOTDATA("Reducción ",$A22,"No. Ramo",$L25,"IPP",$M25,"PP",$N25,"Programa Presupuestario (PP)",$O25)*$P25</f>
        <v>0</v>
      </c>
      <c r="X25" s="310">
        <f>+GETPIVOTDATA("Ampliación ",$A22,"No. Ramo",$L25,"IPP",$M25,"PP",$N25,"Programa Presupuestario (PP)",$O25)*$P25</f>
        <v>0</v>
      </c>
      <c r="Y25" s="310">
        <f>+GETPIVOTDATA("PEF 2011 ",$A22,"No. Ramo",$L25,"IPP",$M25,"PP",$N25,"Programa Presupuestario (PP)",$O25)*$P25</f>
        <v>89272815</v>
      </c>
      <c r="AB25" s="238" t="s">
        <v>1326</v>
      </c>
      <c r="AC25" s="330"/>
      <c r="AD25" s="239"/>
      <c r="AE25" s="239"/>
      <c r="AF25" s="239"/>
      <c r="AG25" s="239"/>
      <c r="AH25" s="239"/>
      <c r="AI25" s="239"/>
      <c r="AJ25" s="298">
        <f>+SUM(AJ26:AJ28)</f>
        <v>539920163</v>
      </c>
    </row>
    <row r="26" spans="1:36">
      <c r="B26" s="21"/>
      <c r="C26" s="21">
        <v>6</v>
      </c>
      <c r="D26" s="21" t="s">
        <v>302</v>
      </c>
      <c r="E26" s="39">
        <v>420327464</v>
      </c>
      <c r="F26" s="40"/>
      <c r="G26" s="40"/>
      <c r="H26" s="40">
        <v>420327464</v>
      </c>
      <c r="L26" s="326"/>
      <c r="M26" s="313"/>
      <c r="N26" s="314"/>
      <c r="O26" s="315"/>
      <c r="P26" s="316"/>
      <c r="Q26" s="238" t="s">
        <v>1326</v>
      </c>
      <c r="R26" s="330"/>
      <c r="S26" s="239"/>
      <c r="T26" s="239"/>
      <c r="U26" s="239"/>
      <c r="V26" s="299">
        <f>+SUM(V27:V29)</f>
        <v>349920163</v>
      </c>
      <c r="W26" s="299">
        <f>+SUM(W27:W29)</f>
        <v>0</v>
      </c>
      <c r="X26" s="299">
        <f>+SUM(X27:X29)</f>
        <v>190000000</v>
      </c>
      <c r="Y26" s="299">
        <f>+SUM(Y27:Y29)</f>
        <v>539920163</v>
      </c>
      <c r="AB26" s="317" t="s">
        <v>1484</v>
      </c>
      <c r="AC26" s="322" t="s">
        <v>204</v>
      </c>
      <c r="AD26" s="237"/>
      <c r="AE26" s="237"/>
      <c r="AF26" s="237"/>
      <c r="AG26" s="237"/>
      <c r="AH26" s="237"/>
      <c r="AI26" s="237"/>
      <c r="AJ26" s="304">
        <f>+Y27</f>
        <v>200035430</v>
      </c>
    </row>
    <row r="27" spans="1:36">
      <c r="B27" s="21"/>
      <c r="C27" s="21">
        <v>7</v>
      </c>
      <c r="D27" s="21" t="s">
        <v>304</v>
      </c>
      <c r="E27" s="39">
        <v>293565259</v>
      </c>
      <c r="F27" s="40"/>
      <c r="G27" s="40"/>
      <c r="H27" s="40">
        <v>293565259</v>
      </c>
      <c r="L27" s="323">
        <v>11</v>
      </c>
      <c r="M27" s="313" t="s">
        <v>613</v>
      </c>
      <c r="N27" s="314">
        <v>45</v>
      </c>
      <c r="O27" s="315" t="s">
        <v>204</v>
      </c>
      <c r="P27" s="309">
        <v>1</v>
      </c>
      <c r="Q27" s="234" t="s">
        <v>1484</v>
      </c>
      <c r="R27" s="322" t="s">
        <v>204</v>
      </c>
      <c r="S27" s="237"/>
      <c r="T27" s="237"/>
      <c r="U27" s="237"/>
      <c r="V27" s="310">
        <f>+GETPIVOTDATA("PPEF 2011 ",$A24,"No. Ramo",$L27,"IPP",$M27,"PP",$N27,"Programa Presupuestario (PP)",$O27)*$P27</f>
        <v>200035430</v>
      </c>
      <c r="W27" s="310">
        <f>+GETPIVOTDATA("Reducción ",$A24,"No. Ramo",$L27,"IPP",$M27,"PP",$N27,"Programa Presupuestario (PP)",$O27)*$P27</f>
        <v>0</v>
      </c>
      <c r="X27" s="310">
        <f>+GETPIVOTDATA("Ampliación ",$A24,"No. Ramo",$L27,"IPP",$M27,"PP",$N27,"Programa Presupuestario (PP)",$O27)*$P27</f>
        <v>0</v>
      </c>
      <c r="Y27" s="310">
        <f>+GETPIVOTDATA("PEF 2011 ",$A24,"No. Ramo",$L27,"IPP",$M27,"PP",$N27,"Programa Presupuestario (PP)",$O27)*$P27</f>
        <v>200035430</v>
      </c>
      <c r="AB27" s="317" t="s">
        <v>1378</v>
      </c>
      <c r="AC27" s="322" t="s">
        <v>217</v>
      </c>
      <c r="AD27" s="237"/>
      <c r="AE27" s="237"/>
      <c r="AF27" s="237"/>
      <c r="AG27" s="237"/>
      <c r="AH27" s="237"/>
      <c r="AI27" s="237"/>
      <c r="AJ27" s="304">
        <f>+Y28</f>
        <v>299884733</v>
      </c>
    </row>
    <row r="28" spans="1:36">
      <c r="B28" s="21"/>
      <c r="C28" s="21">
        <v>13</v>
      </c>
      <c r="D28" s="21" t="s">
        <v>309</v>
      </c>
      <c r="E28" s="39">
        <v>626335821</v>
      </c>
      <c r="F28" s="40"/>
      <c r="G28" s="40"/>
      <c r="H28" s="40">
        <v>626335821</v>
      </c>
      <c r="L28" s="323">
        <v>11</v>
      </c>
      <c r="M28" s="313" t="s">
        <v>619</v>
      </c>
      <c r="N28" s="314">
        <v>152</v>
      </c>
      <c r="O28" s="315" t="s">
        <v>217</v>
      </c>
      <c r="P28" s="309">
        <v>1</v>
      </c>
      <c r="Q28" s="234" t="s">
        <v>1378</v>
      </c>
      <c r="R28" s="322" t="s">
        <v>217</v>
      </c>
      <c r="S28" s="237"/>
      <c r="T28" s="237"/>
      <c r="U28" s="237"/>
      <c r="V28" s="310">
        <f>+GETPIVOTDATA("PPEF 2011 ",$A25,"No. Ramo",$L28,"IPP",$M28,"PP",$N28,"Programa Presupuestario (PP)",$O28)*$P28</f>
        <v>149884733</v>
      </c>
      <c r="W28" s="310">
        <f>+GETPIVOTDATA("Reducción ",$A25,"No. Ramo",$L28,"IPP",$M28,"PP",$N28,"Programa Presupuestario (PP)",$O28)*$P28</f>
        <v>0</v>
      </c>
      <c r="X28" s="310">
        <f>+GETPIVOTDATA("Ampliación ",$A25,"No. Ramo",$L28,"IPP",$M28,"PP",$N28,"Programa Presupuestario (PP)",$O28)*$P28</f>
        <v>150000000</v>
      </c>
      <c r="Y28" s="310">
        <f>+GETPIVOTDATA("PEF 2011 ",$A25,"No. Ramo",$L28,"IPP",$M28,"PP",$N28,"Programa Presupuestario (PP)",$O28)*$P28</f>
        <v>299884733</v>
      </c>
      <c r="AB28" s="317" t="s">
        <v>1380</v>
      </c>
      <c r="AC28" s="325" t="s">
        <v>220</v>
      </c>
      <c r="AD28" s="235"/>
      <c r="AE28" s="235"/>
      <c r="AF28" s="235"/>
      <c r="AG28" s="235"/>
      <c r="AH28" s="235"/>
      <c r="AI28" s="235"/>
      <c r="AJ28" s="304">
        <f>+Y29</f>
        <v>40000000</v>
      </c>
    </row>
    <row r="29" spans="1:36">
      <c r="B29" s="21" t="s">
        <v>618</v>
      </c>
      <c r="C29" s="21">
        <v>1</v>
      </c>
      <c r="D29" s="21" t="s">
        <v>310</v>
      </c>
      <c r="E29" s="39">
        <v>176987649</v>
      </c>
      <c r="F29" s="40"/>
      <c r="G29" s="40"/>
      <c r="H29" s="40">
        <v>176987649</v>
      </c>
      <c r="L29" s="323">
        <v>11</v>
      </c>
      <c r="M29" s="313" t="s">
        <v>616</v>
      </c>
      <c r="N29" s="314">
        <v>38</v>
      </c>
      <c r="O29" s="315" t="s">
        <v>220</v>
      </c>
      <c r="P29" s="309">
        <v>1</v>
      </c>
      <c r="Q29" s="234" t="s">
        <v>1380</v>
      </c>
      <c r="R29" s="325" t="s">
        <v>220</v>
      </c>
      <c r="S29" s="235"/>
      <c r="T29" s="235"/>
      <c r="U29" s="235"/>
      <c r="V29" s="310">
        <f>+GETPIVOTDATA("PPEF 2011 ",$A26,"No. Ramo",$L29,"IPP",$M29,"PP",$N29,"Programa Presupuestario (PP)",$O29)*$P29</f>
        <v>0</v>
      </c>
      <c r="W29" s="310">
        <f>+GETPIVOTDATA("Reducción ",$A26,"No. Ramo",$L29,"IPP",$M29,"PP",$N29,"Programa Presupuestario (PP)",$O29)*$P29</f>
        <v>0</v>
      </c>
      <c r="X29" s="310">
        <f>+GETPIVOTDATA("Ampliación ",$A26,"No. Ramo",$L29,"IPP",$M29,"PP",$N29,"Programa Presupuestario (PP)",$O29)*$P29</f>
        <v>40000000</v>
      </c>
      <c r="Y29" s="310">
        <f>+GETPIVOTDATA("PEF 2011 ",$A26,"No. Ramo",$L29,"IPP",$M29,"PP",$N29,"Programa Presupuestario (PP)",$O29)*$P29</f>
        <v>40000000</v>
      </c>
      <c r="AB29" s="238" t="s">
        <v>1329</v>
      </c>
      <c r="AC29" s="328"/>
      <c r="AD29" s="239"/>
      <c r="AE29" s="239"/>
      <c r="AF29" s="239"/>
      <c r="AG29" s="239"/>
      <c r="AH29" s="239"/>
      <c r="AI29" s="239"/>
      <c r="AJ29" s="298">
        <f>+SUM(AJ30:AJ54)</f>
        <v>15247922527</v>
      </c>
    </row>
    <row r="30" spans="1:36">
      <c r="B30" s="21"/>
      <c r="C30" s="21">
        <v>3</v>
      </c>
      <c r="D30" s="21" t="s">
        <v>311</v>
      </c>
      <c r="E30" s="39">
        <v>61429763</v>
      </c>
      <c r="F30" s="40"/>
      <c r="G30" s="40"/>
      <c r="H30" s="40">
        <v>61429763</v>
      </c>
      <c r="L30" s="326"/>
      <c r="M30" s="327"/>
      <c r="N30" s="314"/>
      <c r="O30" s="315"/>
      <c r="P30" s="316"/>
      <c r="Q30" s="238" t="s">
        <v>1329</v>
      </c>
      <c r="R30" s="328"/>
      <c r="S30" s="239"/>
      <c r="T30" s="239"/>
      <c r="U30" s="239"/>
      <c r="V30" s="299">
        <f>+SUM(V31:V55)</f>
        <v>15936946800</v>
      </c>
      <c r="W30" s="299">
        <f>+SUM(W31:W55)</f>
        <v>689024273</v>
      </c>
      <c r="X30" s="299">
        <f>+SUM(X31:X55)</f>
        <v>0</v>
      </c>
      <c r="Y30" s="299">
        <f>+SUM(Y31:Y55)</f>
        <v>15247922527</v>
      </c>
      <c r="AB30" s="317" t="s">
        <v>816</v>
      </c>
      <c r="AC30" s="325" t="s">
        <v>296</v>
      </c>
      <c r="AD30" s="237"/>
      <c r="AE30" s="235"/>
      <c r="AF30" s="235"/>
      <c r="AG30" s="235"/>
      <c r="AH30" s="235"/>
      <c r="AI30" s="235"/>
      <c r="AJ30" s="304">
        <f t="shared" ref="AJ30:AJ54" si="5">+Y31</f>
        <v>1495937404</v>
      </c>
    </row>
    <row r="31" spans="1:36">
      <c r="B31" s="21"/>
      <c r="C31" s="21">
        <v>13</v>
      </c>
      <c r="D31" s="21" t="s">
        <v>316</v>
      </c>
      <c r="E31" s="39">
        <v>234033995</v>
      </c>
      <c r="F31" s="40"/>
      <c r="G31" s="40"/>
      <c r="H31" s="40">
        <v>234033995</v>
      </c>
      <c r="L31" s="323">
        <v>16</v>
      </c>
      <c r="M31" s="324" t="s">
        <v>613</v>
      </c>
      <c r="N31" s="314">
        <v>1</v>
      </c>
      <c r="O31" s="315" t="s">
        <v>296</v>
      </c>
      <c r="P31" s="309">
        <v>1</v>
      </c>
      <c r="Q31" s="234" t="s">
        <v>816</v>
      </c>
      <c r="R31" s="325" t="s">
        <v>296</v>
      </c>
      <c r="S31" s="237"/>
      <c r="T31" s="235"/>
      <c r="U31" s="235"/>
      <c r="V31" s="310">
        <f t="shared" ref="V31:V55" si="6">+GETPIVOTDATA("PPEF 2011 ",$A28,"No. Ramo",$L31,"IPP",$M31,"PP",$N31,"Programa Presupuestario (PP)",$O31)*$P31</f>
        <v>2184961677</v>
      </c>
      <c r="W31" s="310">
        <f t="shared" ref="W31:W55" si="7">+GETPIVOTDATA("Reducción ",$A28,"No. Ramo",$L31,"IPP",$M31,"PP",$N31,"Programa Presupuestario (PP)",$O31)*$P31</f>
        <v>689024273</v>
      </c>
      <c r="X31" s="310">
        <f t="shared" ref="X31:X55" si="8">+GETPIVOTDATA("Ampliación ",$A28,"No. Ramo",$L31,"IPP",$M31,"PP",$N31,"Programa Presupuestario (PP)",$O31)*$P31</f>
        <v>0</v>
      </c>
      <c r="Y31" s="310">
        <f t="shared" ref="Y31:Y55" si="9">+GETPIVOTDATA("PEF 2011 ",$A28,"No. Ramo",$L31,"IPP",$M31,"PP",$N31,"Programa Presupuestario (PP)",$O31)*$P31</f>
        <v>1495937404</v>
      </c>
      <c r="AB31" s="317" t="s">
        <v>836</v>
      </c>
      <c r="AC31" s="322" t="s">
        <v>297</v>
      </c>
      <c r="AD31" s="237"/>
      <c r="AE31" s="237"/>
      <c r="AF31" s="237"/>
      <c r="AG31" s="237"/>
      <c r="AH31" s="237"/>
      <c r="AI31" s="237"/>
      <c r="AJ31" s="304">
        <f t="shared" si="5"/>
        <v>910105047</v>
      </c>
    </row>
    <row r="32" spans="1:36">
      <c r="B32" s="21"/>
      <c r="C32" s="21">
        <v>17</v>
      </c>
      <c r="D32" s="21" t="s">
        <v>318</v>
      </c>
      <c r="E32" s="39">
        <v>1060528229</v>
      </c>
      <c r="F32" s="40"/>
      <c r="G32" s="40"/>
      <c r="H32" s="40">
        <v>1060528229</v>
      </c>
      <c r="L32" s="323">
        <v>16</v>
      </c>
      <c r="M32" s="324" t="s">
        <v>613</v>
      </c>
      <c r="N32" s="314">
        <v>2</v>
      </c>
      <c r="O32" s="315" t="s">
        <v>297</v>
      </c>
      <c r="P32" s="309">
        <v>1</v>
      </c>
      <c r="Q32" s="234" t="s">
        <v>836</v>
      </c>
      <c r="R32" s="322" t="s">
        <v>297</v>
      </c>
      <c r="S32" s="237"/>
      <c r="T32" s="237"/>
      <c r="U32" s="237"/>
      <c r="V32" s="310">
        <f t="shared" si="6"/>
        <v>910105047</v>
      </c>
      <c r="W32" s="310">
        <f t="shared" si="7"/>
        <v>0</v>
      </c>
      <c r="X32" s="310">
        <f t="shared" si="8"/>
        <v>0</v>
      </c>
      <c r="Y32" s="310">
        <f t="shared" si="9"/>
        <v>910105047</v>
      </c>
      <c r="AB32" s="317" t="s">
        <v>853</v>
      </c>
      <c r="AC32" s="322" t="s">
        <v>298</v>
      </c>
      <c r="AD32" s="237"/>
      <c r="AE32" s="237"/>
      <c r="AF32" s="237"/>
      <c r="AG32" s="237"/>
      <c r="AH32" s="237"/>
      <c r="AI32" s="237"/>
      <c r="AJ32" s="304">
        <f t="shared" si="5"/>
        <v>46014375</v>
      </c>
    </row>
    <row r="33" spans="1:36">
      <c r="B33" s="21" t="s">
        <v>614</v>
      </c>
      <c r="C33" s="21">
        <v>7</v>
      </c>
      <c r="D33" s="21" t="s">
        <v>319</v>
      </c>
      <c r="E33" s="39">
        <v>2445790285</v>
      </c>
      <c r="F33" s="40"/>
      <c r="G33" s="40"/>
      <c r="H33" s="40">
        <v>2445790285</v>
      </c>
      <c r="L33" s="323">
        <v>16</v>
      </c>
      <c r="M33" s="324" t="s">
        <v>613</v>
      </c>
      <c r="N33" s="314">
        <v>5</v>
      </c>
      <c r="O33" s="315" t="s">
        <v>298</v>
      </c>
      <c r="P33" s="309">
        <v>1</v>
      </c>
      <c r="Q33" s="234" t="s">
        <v>853</v>
      </c>
      <c r="R33" s="322" t="s">
        <v>298</v>
      </c>
      <c r="S33" s="237"/>
      <c r="T33" s="237"/>
      <c r="U33" s="237"/>
      <c r="V33" s="310">
        <f t="shared" si="6"/>
        <v>46014375</v>
      </c>
      <c r="W33" s="310">
        <f t="shared" si="7"/>
        <v>0</v>
      </c>
      <c r="X33" s="310">
        <f t="shared" si="8"/>
        <v>0</v>
      </c>
      <c r="Y33" s="310">
        <f t="shared" si="9"/>
        <v>46014375</v>
      </c>
      <c r="AB33" s="317" t="s">
        <v>1485</v>
      </c>
      <c r="AC33" s="325" t="s">
        <v>302</v>
      </c>
      <c r="AD33" s="237"/>
      <c r="AE33" s="235"/>
      <c r="AF33" s="235"/>
      <c r="AG33" s="235"/>
      <c r="AH33" s="235"/>
      <c r="AI33" s="235"/>
      <c r="AJ33" s="304">
        <f t="shared" si="5"/>
        <v>420327464</v>
      </c>
    </row>
    <row r="34" spans="1:36">
      <c r="B34" s="21"/>
      <c r="C34" s="21">
        <v>137</v>
      </c>
      <c r="D34" s="21" t="s">
        <v>326</v>
      </c>
      <c r="E34" s="39">
        <v>596152824</v>
      </c>
      <c r="F34" s="40"/>
      <c r="G34" s="40"/>
      <c r="H34" s="40">
        <v>596152824</v>
      </c>
      <c r="L34" s="323">
        <v>16</v>
      </c>
      <c r="M34" s="324" t="s">
        <v>613</v>
      </c>
      <c r="N34" s="314">
        <v>6</v>
      </c>
      <c r="O34" s="315" t="s">
        <v>302</v>
      </c>
      <c r="P34" s="309">
        <v>1</v>
      </c>
      <c r="Q34" s="234" t="s">
        <v>1485</v>
      </c>
      <c r="R34" s="325" t="s">
        <v>302</v>
      </c>
      <c r="S34" s="237"/>
      <c r="T34" s="235"/>
      <c r="U34" s="235"/>
      <c r="V34" s="310">
        <f t="shared" si="6"/>
        <v>420327464</v>
      </c>
      <c r="W34" s="310">
        <f t="shared" si="7"/>
        <v>0</v>
      </c>
      <c r="X34" s="310">
        <f t="shared" si="8"/>
        <v>0</v>
      </c>
      <c r="Y34" s="310">
        <f t="shared" si="9"/>
        <v>420327464</v>
      </c>
      <c r="AB34" s="317" t="s">
        <v>1379</v>
      </c>
      <c r="AC34" s="322" t="s">
        <v>304</v>
      </c>
      <c r="AD34" s="237"/>
      <c r="AE34" s="237"/>
      <c r="AF34" s="237"/>
      <c r="AG34" s="237"/>
      <c r="AH34" s="237"/>
      <c r="AI34" s="237"/>
      <c r="AJ34" s="304">
        <f t="shared" si="5"/>
        <v>293565259</v>
      </c>
    </row>
    <row r="35" spans="1:36">
      <c r="B35" s="21"/>
      <c r="C35" s="21">
        <v>138</v>
      </c>
      <c r="D35" s="21" t="s">
        <v>327</v>
      </c>
      <c r="E35" s="39">
        <v>55180005</v>
      </c>
      <c r="F35" s="40"/>
      <c r="G35" s="40"/>
      <c r="H35" s="40">
        <v>55180005</v>
      </c>
      <c r="L35" s="323">
        <v>16</v>
      </c>
      <c r="M35" s="324" t="s">
        <v>613</v>
      </c>
      <c r="N35" s="314">
        <v>7</v>
      </c>
      <c r="O35" s="315" t="s">
        <v>304</v>
      </c>
      <c r="P35" s="309">
        <v>1</v>
      </c>
      <c r="Q35" s="234" t="s">
        <v>1379</v>
      </c>
      <c r="R35" s="322" t="s">
        <v>304</v>
      </c>
      <c r="S35" s="237"/>
      <c r="T35" s="237"/>
      <c r="U35" s="237"/>
      <c r="V35" s="310">
        <f t="shared" si="6"/>
        <v>293565259</v>
      </c>
      <c r="W35" s="310">
        <f t="shared" si="7"/>
        <v>0</v>
      </c>
      <c r="X35" s="310">
        <f t="shared" si="8"/>
        <v>0</v>
      </c>
      <c r="Y35" s="310">
        <f t="shared" si="9"/>
        <v>293565259</v>
      </c>
      <c r="AB35" s="317" t="s">
        <v>1472</v>
      </c>
      <c r="AC35" s="322" t="s">
        <v>309</v>
      </c>
      <c r="AD35" s="237"/>
      <c r="AE35" s="237"/>
      <c r="AF35" s="237"/>
      <c r="AG35" s="237"/>
      <c r="AH35" s="237"/>
      <c r="AI35" s="237"/>
      <c r="AJ35" s="304">
        <f t="shared" si="5"/>
        <v>626335821</v>
      </c>
    </row>
    <row r="36" spans="1:36">
      <c r="B36" s="21" t="s">
        <v>615</v>
      </c>
      <c r="C36" s="21">
        <v>1</v>
      </c>
      <c r="D36" s="21" t="s">
        <v>328</v>
      </c>
      <c r="E36" s="39">
        <v>264985219</v>
      </c>
      <c r="F36" s="40"/>
      <c r="G36" s="40"/>
      <c r="H36" s="40">
        <v>264985219</v>
      </c>
      <c r="L36" s="323">
        <v>16</v>
      </c>
      <c r="M36" s="324" t="s">
        <v>613</v>
      </c>
      <c r="N36" s="314">
        <v>13</v>
      </c>
      <c r="O36" s="315" t="s">
        <v>309</v>
      </c>
      <c r="P36" s="309">
        <v>1</v>
      </c>
      <c r="Q36" s="234" t="s">
        <v>1472</v>
      </c>
      <c r="R36" s="322" t="s">
        <v>309</v>
      </c>
      <c r="S36" s="237"/>
      <c r="T36" s="237"/>
      <c r="U36" s="237"/>
      <c r="V36" s="310">
        <f t="shared" si="6"/>
        <v>626335821</v>
      </c>
      <c r="W36" s="310">
        <f t="shared" si="7"/>
        <v>0</v>
      </c>
      <c r="X36" s="310">
        <f t="shared" si="8"/>
        <v>0</v>
      </c>
      <c r="Y36" s="310">
        <f t="shared" si="9"/>
        <v>626335821</v>
      </c>
      <c r="AB36" s="317" t="s">
        <v>1381</v>
      </c>
      <c r="AC36" s="325" t="s">
        <v>310</v>
      </c>
      <c r="AD36" s="237"/>
      <c r="AE36" s="235"/>
      <c r="AF36" s="235"/>
      <c r="AG36" s="235"/>
      <c r="AH36" s="235"/>
      <c r="AI36" s="235"/>
      <c r="AJ36" s="304">
        <f t="shared" si="5"/>
        <v>176987649</v>
      </c>
    </row>
    <row r="37" spans="1:36">
      <c r="B37" s="21" t="s">
        <v>611</v>
      </c>
      <c r="C37" s="21">
        <v>2</v>
      </c>
      <c r="D37" s="21" t="s">
        <v>329</v>
      </c>
      <c r="E37" s="39">
        <v>1000000</v>
      </c>
      <c r="F37" s="40"/>
      <c r="G37" s="40"/>
      <c r="H37" s="40">
        <v>1000000</v>
      </c>
      <c r="L37" s="323">
        <v>16</v>
      </c>
      <c r="M37" s="324" t="s">
        <v>618</v>
      </c>
      <c r="N37" s="314">
        <v>1</v>
      </c>
      <c r="O37" s="315" t="s">
        <v>310</v>
      </c>
      <c r="P37" s="309">
        <v>1</v>
      </c>
      <c r="Q37" s="234" t="s">
        <v>1381</v>
      </c>
      <c r="R37" s="325" t="s">
        <v>310</v>
      </c>
      <c r="S37" s="237"/>
      <c r="T37" s="235"/>
      <c r="U37" s="235"/>
      <c r="V37" s="310">
        <f t="shared" si="6"/>
        <v>176987649</v>
      </c>
      <c r="W37" s="310">
        <f t="shared" si="7"/>
        <v>0</v>
      </c>
      <c r="X37" s="310">
        <f t="shared" si="8"/>
        <v>0</v>
      </c>
      <c r="Y37" s="310">
        <f t="shared" si="9"/>
        <v>176987649</v>
      </c>
      <c r="AB37" s="317" t="s">
        <v>1376</v>
      </c>
      <c r="AC37" s="322" t="s">
        <v>311</v>
      </c>
      <c r="AD37" s="237"/>
      <c r="AE37" s="237"/>
      <c r="AF37" s="237"/>
      <c r="AG37" s="237"/>
      <c r="AH37" s="237"/>
      <c r="AI37" s="237"/>
      <c r="AJ37" s="304">
        <f t="shared" si="5"/>
        <v>61429763</v>
      </c>
    </row>
    <row r="38" spans="1:36">
      <c r="B38" s="21"/>
      <c r="C38" s="21">
        <v>5</v>
      </c>
      <c r="D38" s="21" t="s">
        <v>331</v>
      </c>
      <c r="E38" s="39">
        <v>11307000</v>
      </c>
      <c r="F38" s="40"/>
      <c r="G38" s="40"/>
      <c r="H38" s="40">
        <v>11307000</v>
      </c>
      <c r="L38" s="323">
        <v>16</v>
      </c>
      <c r="M38" s="324" t="s">
        <v>618</v>
      </c>
      <c r="N38" s="314">
        <v>3</v>
      </c>
      <c r="O38" s="315" t="s">
        <v>311</v>
      </c>
      <c r="P38" s="309">
        <v>1</v>
      </c>
      <c r="Q38" s="234" t="s">
        <v>1376</v>
      </c>
      <c r="R38" s="322" t="s">
        <v>311</v>
      </c>
      <c r="S38" s="237"/>
      <c r="T38" s="237"/>
      <c r="U38" s="237"/>
      <c r="V38" s="310">
        <f t="shared" si="6"/>
        <v>61429763</v>
      </c>
      <c r="W38" s="310">
        <f t="shared" si="7"/>
        <v>0</v>
      </c>
      <c r="X38" s="310">
        <f t="shared" si="8"/>
        <v>0</v>
      </c>
      <c r="Y38" s="310">
        <f t="shared" si="9"/>
        <v>61429763</v>
      </c>
      <c r="AB38" s="317" t="s">
        <v>1486</v>
      </c>
      <c r="AC38" s="322" t="s">
        <v>316</v>
      </c>
      <c r="AD38" s="237"/>
      <c r="AE38" s="237"/>
      <c r="AF38" s="237"/>
      <c r="AG38" s="237"/>
      <c r="AH38" s="237"/>
      <c r="AI38" s="237"/>
      <c r="AJ38" s="304">
        <f t="shared" si="5"/>
        <v>234033995</v>
      </c>
    </row>
    <row r="39" spans="1:36">
      <c r="B39" s="21" t="s">
        <v>619</v>
      </c>
      <c r="C39" s="21">
        <v>44</v>
      </c>
      <c r="D39" s="21" t="s">
        <v>332</v>
      </c>
      <c r="E39" s="39">
        <v>597000000</v>
      </c>
      <c r="F39" s="40"/>
      <c r="G39" s="40"/>
      <c r="H39" s="40">
        <v>597000000</v>
      </c>
      <c r="L39" s="323">
        <v>16</v>
      </c>
      <c r="M39" s="324" t="s">
        <v>618</v>
      </c>
      <c r="N39" s="314">
        <v>13</v>
      </c>
      <c r="O39" s="315" t="s">
        <v>316</v>
      </c>
      <c r="P39" s="309">
        <v>1</v>
      </c>
      <c r="Q39" s="234" t="s">
        <v>1486</v>
      </c>
      <c r="R39" s="322" t="s">
        <v>316</v>
      </c>
      <c r="S39" s="237"/>
      <c r="T39" s="237"/>
      <c r="U39" s="237"/>
      <c r="V39" s="310">
        <f t="shared" si="6"/>
        <v>234033995</v>
      </c>
      <c r="W39" s="310">
        <f t="shared" si="7"/>
        <v>0</v>
      </c>
      <c r="X39" s="310">
        <f t="shared" si="8"/>
        <v>0</v>
      </c>
      <c r="Y39" s="310">
        <f t="shared" si="9"/>
        <v>234033995</v>
      </c>
      <c r="AB39" s="317" t="s">
        <v>1487</v>
      </c>
      <c r="AC39" s="325" t="s">
        <v>318</v>
      </c>
      <c r="AD39" s="237"/>
      <c r="AE39" s="235"/>
      <c r="AF39" s="235"/>
      <c r="AG39" s="235"/>
      <c r="AH39" s="235"/>
      <c r="AI39" s="235"/>
      <c r="AJ39" s="304">
        <f t="shared" si="5"/>
        <v>1060528229</v>
      </c>
    </row>
    <row r="40" spans="1:36">
      <c r="B40" s="21"/>
      <c r="C40" s="21">
        <v>46</v>
      </c>
      <c r="D40" s="21" t="s">
        <v>333</v>
      </c>
      <c r="E40" s="39">
        <v>210000000</v>
      </c>
      <c r="F40" s="40"/>
      <c r="G40" s="40"/>
      <c r="H40" s="40">
        <v>210000000</v>
      </c>
      <c r="L40" s="323">
        <v>16</v>
      </c>
      <c r="M40" s="324" t="s">
        <v>618</v>
      </c>
      <c r="N40" s="314">
        <v>17</v>
      </c>
      <c r="O40" s="315" t="s">
        <v>318</v>
      </c>
      <c r="P40" s="309">
        <v>1</v>
      </c>
      <c r="Q40" s="234" t="s">
        <v>1487</v>
      </c>
      <c r="R40" s="325" t="s">
        <v>318</v>
      </c>
      <c r="S40" s="237"/>
      <c r="T40" s="235"/>
      <c r="U40" s="235"/>
      <c r="V40" s="310">
        <f t="shared" si="6"/>
        <v>1060528229</v>
      </c>
      <c r="W40" s="310">
        <f t="shared" si="7"/>
        <v>0</v>
      </c>
      <c r="X40" s="310">
        <f t="shared" si="8"/>
        <v>0</v>
      </c>
      <c r="Y40" s="310">
        <f t="shared" si="9"/>
        <v>1060528229</v>
      </c>
      <c r="AB40" s="317" t="s">
        <v>1488</v>
      </c>
      <c r="AC40" s="322" t="s">
        <v>319</v>
      </c>
      <c r="AD40" s="237"/>
      <c r="AE40" s="237"/>
      <c r="AF40" s="237"/>
      <c r="AG40" s="237"/>
      <c r="AH40" s="237"/>
      <c r="AI40" s="237"/>
      <c r="AJ40" s="304">
        <f t="shared" si="5"/>
        <v>2445790285</v>
      </c>
    </row>
    <row r="41" spans="1:36">
      <c r="B41" s="21"/>
      <c r="C41" s="21">
        <v>47</v>
      </c>
      <c r="D41" s="21" t="s">
        <v>334</v>
      </c>
      <c r="E41" s="39">
        <v>52090522</v>
      </c>
      <c r="F41" s="40"/>
      <c r="G41" s="40"/>
      <c r="H41" s="40">
        <v>52090522</v>
      </c>
      <c r="L41" s="323">
        <v>16</v>
      </c>
      <c r="M41" s="324" t="s">
        <v>614</v>
      </c>
      <c r="N41" s="314">
        <v>7</v>
      </c>
      <c r="O41" s="315" t="s">
        <v>319</v>
      </c>
      <c r="P41" s="309">
        <v>1</v>
      </c>
      <c r="Q41" s="234" t="s">
        <v>1488</v>
      </c>
      <c r="R41" s="322" t="s">
        <v>319</v>
      </c>
      <c r="S41" s="237"/>
      <c r="T41" s="237"/>
      <c r="U41" s="237"/>
      <c r="V41" s="310">
        <f t="shared" si="6"/>
        <v>2445790285</v>
      </c>
      <c r="W41" s="310">
        <f t="shared" si="7"/>
        <v>0</v>
      </c>
      <c r="X41" s="310">
        <f t="shared" si="8"/>
        <v>0</v>
      </c>
      <c r="Y41" s="310">
        <f t="shared" si="9"/>
        <v>2445790285</v>
      </c>
      <c r="AB41" s="317" t="s">
        <v>1489</v>
      </c>
      <c r="AC41" s="322" t="s">
        <v>326</v>
      </c>
      <c r="AD41" s="237"/>
      <c r="AE41" s="237"/>
      <c r="AF41" s="237"/>
      <c r="AG41" s="237"/>
      <c r="AH41" s="237"/>
      <c r="AI41" s="237"/>
      <c r="AJ41" s="304">
        <f t="shared" si="5"/>
        <v>596152824</v>
      </c>
    </row>
    <row r="42" spans="1:36">
      <c r="B42" s="21"/>
      <c r="C42" s="21">
        <v>110</v>
      </c>
      <c r="D42" s="21" t="s">
        <v>338</v>
      </c>
      <c r="E42" s="39">
        <v>836000000</v>
      </c>
      <c r="F42" s="40"/>
      <c r="G42" s="40"/>
      <c r="H42" s="40">
        <v>836000000</v>
      </c>
      <c r="L42" s="323">
        <v>16</v>
      </c>
      <c r="M42" s="324" t="s">
        <v>614</v>
      </c>
      <c r="N42" s="314">
        <v>137</v>
      </c>
      <c r="O42" s="315" t="s">
        <v>326</v>
      </c>
      <c r="P42" s="309">
        <v>1</v>
      </c>
      <c r="Q42" s="234" t="s">
        <v>1489</v>
      </c>
      <c r="R42" s="322" t="s">
        <v>326</v>
      </c>
      <c r="S42" s="237"/>
      <c r="T42" s="237"/>
      <c r="U42" s="237"/>
      <c r="V42" s="310">
        <f t="shared" si="6"/>
        <v>596152824</v>
      </c>
      <c r="W42" s="310">
        <f t="shared" si="7"/>
        <v>0</v>
      </c>
      <c r="X42" s="310">
        <f t="shared" si="8"/>
        <v>0</v>
      </c>
      <c r="Y42" s="310">
        <f t="shared" si="9"/>
        <v>596152824</v>
      </c>
      <c r="AB42" s="317" t="s">
        <v>1490</v>
      </c>
      <c r="AC42" s="325" t="s">
        <v>327</v>
      </c>
      <c r="AD42" s="237"/>
      <c r="AE42" s="235"/>
      <c r="AF42" s="235"/>
      <c r="AG42" s="235"/>
      <c r="AH42" s="235"/>
      <c r="AI42" s="235"/>
      <c r="AJ42" s="304">
        <f t="shared" si="5"/>
        <v>55180005</v>
      </c>
    </row>
    <row r="43" spans="1:36">
      <c r="B43" s="21"/>
      <c r="C43" s="21">
        <v>122</v>
      </c>
      <c r="D43" s="21" t="s">
        <v>339</v>
      </c>
      <c r="E43" s="39">
        <v>1729290000</v>
      </c>
      <c r="F43" s="40"/>
      <c r="G43" s="40"/>
      <c r="H43" s="40">
        <v>1729290000</v>
      </c>
      <c r="L43" s="323">
        <v>16</v>
      </c>
      <c r="M43" s="324" t="s">
        <v>614</v>
      </c>
      <c r="N43" s="314">
        <v>138</v>
      </c>
      <c r="O43" s="315" t="s">
        <v>327</v>
      </c>
      <c r="P43" s="309">
        <v>1</v>
      </c>
      <c r="Q43" s="234" t="s">
        <v>1490</v>
      </c>
      <c r="R43" s="325" t="s">
        <v>327</v>
      </c>
      <c r="S43" s="237"/>
      <c r="T43" s="235"/>
      <c r="U43" s="235"/>
      <c r="V43" s="310">
        <f t="shared" si="6"/>
        <v>55180005</v>
      </c>
      <c r="W43" s="310">
        <f t="shared" si="7"/>
        <v>0</v>
      </c>
      <c r="X43" s="310">
        <f t="shared" si="8"/>
        <v>0</v>
      </c>
      <c r="Y43" s="310">
        <f t="shared" si="9"/>
        <v>55180005</v>
      </c>
      <c r="AB43" s="317" t="s">
        <v>1474</v>
      </c>
      <c r="AC43" s="322" t="s">
        <v>328</v>
      </c>
      <c r="AD43" s="237"/>
      <c r="AE43" s="237"/>
      <c r="AF43" s="237"/>
      <c r="AG43" s="237"/>
      <c r="AH43" s="237"/>
      <c r="AI43" s="237"/>
      <c r="AJ43" s="304">
        <f t="shared" si="5"/>
        <v>264985219</v>
      </c>
    </row>
    <row r="44" spans="1:36">
      <c r="B44" s="21"/>
      <c r="C44" s="21">
        <v>218</v>
      </c>
      <c r="D44" s="21" t="s">
        <v>341</v>
      </c>
      <c r="E44" s="39">
        <v>1500913312</v>
      </c>
      <c r="F44" s="40"/>
      <c r="G44" s="40"/>
      <c r="H44" s="40">
        <v>1500913312</v>
      </c>
      <c r="L44" s="323">
        <v>16</v>
      </c>
      <c r="M44" s="313" t="s">
        <v>615</v>
      </c>
      <c r="N44" s="314">
        <v>1</v>
      </c>
      <c r="O44" s="315" t="s">
        <v>328</v>
      </c>
      <c r="P44" s="309">
        <v>1</v>
      </c>
      <c r="Q44" s="234" t="s">
        <v>1474</v>
      </c>
      <c r="R44" s="322" t="s">
        <v>328</v>
      </c>
      <c r="S44" s="237"/>
      <c r="T44" s="237"/>
      <c r="U44" s="237"/>
      <c r="V44" s="310">
        <f t="shared" si="6"/>
        <v>264985219</v>
      </c>
      <c r="W44" s="310">
        <f t="shared" si="7"/>
        <v>0</v>
      </c>
      <c r="X44" s="310">
        <f t="shared" si="8"/>
        <v>0</v>
      </c>
      <c r="Y44" s="310">
        <f t="shared" si="9"/>
        <v>264985219</v>
      </c>
      <c r="AB44" s="317" t="s">
        <v>1491</v>
      </c>
      <c r="AC44" s="322" t="s">
        <v>329</v>
      </c>
      <c r="AD44" s="237"/>
      <c r="AE44" s="237"/>
      <c r="AF44" s="237"/>
      <c r="AG44" s="237"/>
      <c r="AH44" s="237"/>
      <c r="AI44" s="237"/>
      <c r="AJ44" s="304">
        <f t="shared" si="5"/>
        <v>1000000</v>
      </c>
    </row>
    <row r="45" spans="1:36">
      <c r="B45" s="21" t="s">
        <v>616</v>
      </c>
      <c r="C45" s="21">
        <v>3</v>
      </c>
      <c r="D45" s="21" t="s">
        <v>342</v>
      </c>
      <c r="E45" s="39">
        <v>766568050</v>
      </c>
      <c r="F45" s="40"/>
      <c r="G45" s="40"/>
      <c r="H45" s="40">
        <v>766568050</v>
      </c>
      <c r="L45" s="323">
        <v>16</v>
      </c>
      <c r="M45" s="324" t="s">
        <v>611</v>
      </c>
      <c r="N45" s="314">
        <v>2</v>
      </c>
      <c r="O45" s="315" t="s">
        <v>329</v>
      </c>
      <c r="P45" s="309">
        <v>1</v>
      </c>
      <c r="Q45" s="234" t="s">
        <v>1491</v>
      </c>
      <c r="R45" s="322" t="s">
        <v>329</v>
      </c>
      <c r="S45" s="237"/>
      <c r="T45" s="237"/>
      <c r="U45" s="237"/>
      <c r="V45" s="310">
        <f t="shared" si="6"/>
        <v>1000000</v>
      </c>
      <c r="W45" s="310">
        <f t="shared" si="7"/>
        <v>0</v>
      </c>
      <c r="X45" s="310">
        <f t="shared" si="8"/>
        <v>0</v>
      </c>
      <c r="Y45" s="310">
        <f t="shared" si="9"/>
        <v>1000000</v>
      </c>
      <c r="AB45" s="317" t="s">
        <v>1476</v>
      </c>
      <c r="AC45" s="325" t="s">
        <v>331</v>
      </c>
      <c r="AD45" s="237"/>
      <c r="AE45" s="235"/>
      <c r="AF45" s="235"/>
      <c r="AG45" s="235"/>
      <c r="AH45" s="235"/>
      <c r="AI45" s="235"/>
      <c r="AJ45" s="304">
        <f t="shared" si="5"/>
        <v>11307000</v>
      </c>
    </row>
    <row r="46" spans="1:36">
      <c r="B46" s="21"/>
      <c r="C46" s="21">
        <v>5</v>
      </c>
      <c r="D46" s="21" t="s">
        <v>343</v>
      </c>
      <c r="E46" s="39">
        <v>603200000</v>
      </c>
      <c r="F46" s="40"/>
      <c r="G46" s="40"/>
      <c r="H46" s="40">
        <v>603200000</v>
      </c>
      <c r="L46" s="323">
        <v>16</v>
      </c>
      <c r="M46" s="324" t="s">
        <v>611</v>
      </c>
      <c r="N46" s="314">
        <v>5</v>
      </c>
      <c r="O46" s="315" t="s">
        <v>331</v>
      </c>
      <c r="P46" s="309">
        <v>1</v>
      </c>
      <c r="Q46" s="234" t="s">
        <v>1476</v>
      </c>
      <c r="R46" s="325" t="s">
        <v>331</v>
      </c>
      <c r="S46" s="237"/>
      <c r="T46" s="235"/>
      <c r="U46" s="235"/>
      <c r="V46" s="310">
        <f t="shared" si="6"/>
        <v>11307000</v>
      </c>
      <c r="W46" s="310">
        <f t="shared" si="7"/>
        <v>0</v>
      </c>
      <c r="X46" s="310">
        <f t="shared" si="8"/>
        <v>0</v>
      </c>
      <c r="Y46" s="310">
        <f t="shared" si="9"/>
        <v>11307000</v>
      </c>
      <c r="AB46" s="317" t="s">
        <v>1492</v>
      </c>
      <c r="AC46" s="322" t="s">
        <v>332</v>
      </c>
      <c r="AD46" s="237"/>
      <c r="AE46" s="237"/>
      <c r="AF46" s="237"/>
      <c r="AG46" s="237"/>
      <c r="AH46" s="237"/>
      <c r="AI46" s="237"/>
      <c r="AJ46" s="304">
        <f t="shared" si="5"/>
        <v>597000000</v>
      </c>
    </row>
    <row r="47" spans="1:36">
      <c r="B47" s="21"/>
      <c r="C47" s="21">
        <v>22</v>
      </c>
      <c r="D47" s="21" t="s">
        <v>348</v>
      </c>
      <c r="E47" s="39">
        <v>253180304</v>
      </c>
      <c r="F47" s="40"/>
      <c r="G47" s="40"/>
      <c r="H47" s="40">
        <v>253180304</v>
      </c>
      <c r="L47" s="323">
        <v>16</v>
      </c>
      <c r="M47" s="324" t="s">
        <v>619</v>
      </c>
      <c r="N47" s="314">
        <v>44</v>
      </c>
      <c r="O47" s="315" t="s">
        <v>332</v>
      </c>
      <c r="P47" s="309">
        <v>1</v>
      </c>
      <c r="Q47" s="234" t="s">
        <v>1492</v>
      </c>
      <c r="R47" s="322" t="s">
        <v>332</v>
      </c>
      <c r="S47" s="237"/>
      <c r="T47" s="237"/>
      <c r="U47" s="237"/>
      <c r="V47" s="310">
        <f t="shared" si="6"/>
        <v>597000000</v>
      </c>
      <c r="W47" s="310">
        <f t="shared" si="7"/>
        <v>0</v>
      </c>
      <c r="X47" s="310">
        <f t="shared" si="8"/>
        <v>0</v>
      </c>
      <c r="Y47" s="310">
        <f t="shared" si="9"/>
        <v>597000000</v>
      </c>
      <c r="AB47" s="317" t="s">
        <v>824</v>
      </c>
      <c r="AC47" s="322" t="s">
        <v>333</v>
      </c>
      <c r="AD47" s="237"/>
      <c r="AE47" s="237"/>
      <c r="AF47" s="237"/>
      <c r="AG47" s="237"/>
      <c r="AH47" s="237"/>
      <c r="AI47" s="237"/>
      <c r="AJ47" s="304">
        <f t="shared" si="5"/>
        <v>210000000</v>
      </c>
    </row>
    <row r="48" spans="1:36">
      <c r="A48" s="249">
        <v>18</v>
      </c>
      <c r="B48" s="21" t="s">
        <v>613</v>
      </c>
      <c r="C48" s="21">
        <v>4</v>
      </c>
      <c r="D48" s="21" t="s">
        <v>362</v>
      </c>
      <c r="E48" s="39"/>
      <c r="F48" s="40"/>
      <c r="G48" s="40"/>
      <c r="H48" s="40">
        <v>0</v>
      </c>
      <c r="L48" s="323">
        <v>16</v>
      </c>
      <c r="M48" s="324" t="s">
        <v>619</v>
      </c>
      <c r="N48" s="314">
        <v>46</v>
      </c>
      <c r="O48" s="315" t="s">
        <v>333</v>
      </c>
      <c r="P48" s="309">
        <v>1</v>
      </c>
      <c r="Q48" s="234" t="s">
        <v>824</v>
      </c>
      <c r="R48" s="322" t="s">
        <v>333</v>
      </c>
      <c r="S48" s="237"/>
      <c r="T48" s="237"/>
      <c r="U48" s="237"/>
      <c r="V48" s="310">
        <f t="shared" si="6"/>
        <v>210000000</v>
      </c>
      <c r="W48" s="310">
        <f t="shared" si="7"/>
        <v>0</v>
      </c>
      <c r="X48" s="310">
        <f t="shared" si="8"/>
        <v>0</v>
      </c>
      <c r="Y48" s="310">
        <f t="shared" si="9"/>
        <v>210000000</v>
      </c>
      <c r="AB48" s="317" t="s">
        <v>1493</v>
      </c>
      <c r="AC48" s="325" t="s">
        <v>334</v>
      </c>
      <c r="AD48" s="237"/>
      <c r="AE48" s="235"/>
      <c r="AF48" s="235"/>
      <c r="AG48" s="235"/>
      <c r="AH48" s="235"/>
      <c r="AI48" s="235"/>
      <c r="AJ48" s="304">
        <f t="shared" si="5"/>
        <v>52090522</v>
      </c>
    </row>
    <row r="49" spans="1:36">
      <c r="B49" s="21"/>
      <c r="C49" s="21">
        <v>5</v>
      </c>
      <c r="D49" s="21" t="s">
        <v>364</v>
      </c>
      <c r="E49" s="39">
        <v>154235945</v>
      </c>
      <c r="F49" s="40"/>
      <c r="G49" s="40"/>
      <c r="H49" s="40">
        <v>154235945</v>
      </c>
      <c r="L49" s="323">
        <v>16</v>
      </c>
      <c r="M49" s="324" t="s">
        <v>619</v>
      </c>
      <c r="N49" s="314">
        <v>47</v>
      </c>
      <c r="O49" s="315" t="s">
        <v>334</v>
      </c>
      <c r="P49" s="309">
        <v>1</v>
      </c>
      <c r="Q49" s="234" t="s">
        <v>1493</v>
      </c>
      <c r="R49" s="325" t="s">
        <v>334</v>
      </c>
      <c r="S49" s="237"/>
      <c r="T49" s="235"/>
      <c r="U49" s="235"/>
      <c r="V49" s="310">
        <f t="shared" si="6"/>
        <v>52090522</v>
      </c>
      <c r="W49" s="310">
        <f t="shared" si="7"/>
        <v>0</v>
      </c>
      <c r="X49" s="310">
        <f t="shared" si="8"/>
        <v>0</v>
      </c>
      <c r="Y49" s="310">
        <f t="shared" si="9"/>
        <v>52090522</v>
      </c>
      <c r="AB49" s="317" t="s">
        <v>1494</v>
      </c>
      <c r="AC49" s="322" t="s">
        <v>338</v>
      </c>
      <c r="AD49" s="237"/>
      <c r="AE49" s="237"/>
      <c r="AF49" s="237"/>
      <c r="AG49" s="237"/>
      <c r="AH49" s="237"/>
      <c r="AI49" s="237"/>
      <c r="AJ49" s="304">
        <f t="shared" si="5"/>
        <v>836000000</v>
      </c>
    </row>
    <row r="50" spans="1:36">
      <c r="B50" s="21"/>
      <c r="C50" s="21">
        <v>9</v>
      </c>
      <c r="D50" s="21" t="s">
        <v>366</v>
      </c>
      <c r="E50" s="39">
        <v>27736501</v>
      </c>
      <c r="F50" s="40"/>
      <c r="G50" s="40"/>
      <c r="H50" s="40">
        <v>27736501</v>
      </c>
      <c r="L50" s="323">
        <v>16</v>
      </c>
      <c r="M50" s="324" t="s">
        <v>619</v>
      </c>
      <c r="N50" s="314">
        <v>110</v>
      </c>
      <c r="O50" s="315" t="s">
        <v>338</v>
      </c>
      <c r="P50" s="309">
        <v>1</v>
      </c>
      <c r="Q50" s="234" t="s">
        <v>1494</v>
      </c>
      <c r="R50" s="322" t="s">
        <v>338</v>
      </c>
      <c r="S50" s="237"/>
      <c r="T50" s="237"/>
      <c r="U50" s="237"/>
      <c r="V50" s="310">
        <f t="shared" si="6"/>
        <v>836000000</v>
      </c>
      <c r="W50" s="310">
        <f t="shared" si="7"/>
        <v>0</v>
      </c>
      <c r="X50" s="310">
        <f t="shared" si="8"/>
        <v>0</v>
      </c>
      <c r="Y50" s="310">
        <f t="shared" si="9"/>
        <v>836000000</v>
      </c>
      <c r="AB50" s="317" t="s">
        <v>1495</v>
      </c>
      <c r="AC50" s="322" t="s">
        <v>339</v>
      </c>
      <c r="AD50" s="237"/>
      <c r="AE50" s="237"/>
      <c r="AF50" s="237"/>
      <c r="AG50" s="237"/>
      <c r="AH50" s="237"/>
      <c r="AI50" s="237"/>
      <c r="AJ50" s="304">
        <f t="shared" si="5"/>
        <v>1729290000</v>
      </c>
    </row>
    <row r="51" spans="1:36">
      <c r="B51" s="21" t="s">
        <v>4</v>
      </c>
      <c r="C51" s="21">
        <v>12</v>
      </c>
      <c r="D51" s="21" t="s">
        <v>367</v>
      </c>
      <c r="E51" s="39">
        <v>10348654</v>
      </c>
      <c r="F51" s="40"/>
      <c r="G51" s="40"/>
      <c r="H51" s="40">
        <v>10348654</v>
      </c>
      <c r="L51" s="323">
        <v>16</v>
      </c>
      <c r="M51" s="324" t="s">
        <v>619</v>
      </c>
      <c r="N51" s="314">
        <v>122</v>
      </c>
      <c r="O51" s="315" t="s">
        <v>339</v>
      </c>
      <c r="P51" s="309">
        <v>1</v>
      </c>
      <c r="Q51" s="234" t="s">
        <v>1495</v>
      </c>
      <c r="R51" s="322" t="s">
        <v>339</v>
      </c>
      <c r="S51" s="237"/>
      <c r="T51" s="237"/>
      <c r="U51" s="237"/>
      <c r="V51" s="310">
        <f t="shared" si="6"/>
        <v>1729290000</v>
      </c>
      <c r="W51" s="310">
        <f t="shared" si="7"/>
        <v>0</v>
      </c>
      <c r="X51" s="310">
        <f t="shared" si="8"/>
        <v>0</v>
      </c>
      <c r="Y51" s="310">
        <f t="shared" si="9"/>
        <v>1729290000</v>
      </c>
      <c r="AB51" s="317" t="s">
        <v>1496</v>
      </c>
      <c r="AC51" s="325" t="s">
        <v>341</v>
      </c>
      <c r="AD51" s="237"/>
      <c r="AE51" s="235"/>
      <c r="AF51" s="235"/>
      <c r="AG51" s="235"/>
      <c r="AH51" s="235"/>
      <c r="AI51" s="235"/>
      <c r="AJ51" s="304">
        <f t="shared" si="5"/>
        <v>1500913312</v>
      </c>
    </row>
    <row r="52" spans="1:36">
      <c r="B52" s="21" t="s">
        <v>618</v>
      </c>
      <c r="C52" s="21">
        <v>7</v>
      </c>
      <c r="D52" s="21" t="s">
        <v>368</v>
      </c>
      <c r="E52" s="39">
        <v>11683082</v>
      </c>
      <c r="F52" s="40"/>
      <c r="G52" s="40"/>
      <c r="H52" s="40">
        <v>11683082</v>
      </c>
      <c r="L52" s="323">
        <v>16</v>
      </c>
      <c r="M52" s="324" t="s">
        <v>619</v>
      </c>
      <c r="N52" s="314">
        <v>218</v>
      </c>
      <c r="O52" s="315" t="s">
        <v>341</v>
      </c>
      <c r="P52" s="309">
        <v>1</v>
      </c>
      <c r="Q52" s="234" t="s">
        <v>1496</v>
      </c>
      <c r="R52" s="325" t="s">
        <v>341</v>
      </c>
      <c r="S52" s="237"/>
      <c r="T52" s="235"/>
      <c r="U52" s="235"/>
      <c r="V52" s="310">
        <f t="shared" si="6"/>
        <v>1500913312</v>
      </c>
      <c r="W52" s="310">
        <f t="shared" si="7"/>
        <v>0</v>
      </c>
      <c r="X52" s="310">
        <f t="shared" si="8"/>
        <v>0</v>
      </c>
      <c r="Y52" s="310">
        <f t="shared" si="9"/>
        <v>1500913312</v>
      </c>
      <c r="AB52" s="317" t="s">
        <v>1497</v>
      </c>
      <c r="AC52" s="322" t="s">
        <v>342</v>
      </c>
      <c r="AD52" s="237"/>
      <c r="AE52" s="237"/>
      <c r="AF52" s="237"/>
      <c r="AG52" s="237"/>
      <c r="AH52" s="237"/>
      <c r="AI52" s="237"/>
      <c r="AJ52" s="304">
        <f t="shared" si="5"/>
        <v>766568050</v>
      </c>
    </row>
    <row r="53" spans="1:36">
      <c r="B53" s="21" t="s">
        <v>611</v>
      </c>
      <c r="C53" s="21">
        <v>1</v>
      </c>
      <c r="D53" s="21" t="s">
        <v>369</v>
      </c>
      <c r="E53" s="39">
        <v>1458367786</v>
      </c>
      <c r="F53" s="40"/>
      <c r="G53" s="40"/>
      <c r="H53" s="40">
        <v>1458367786</v>
      </c>
      <c r="L53" s="323">
        <v>16</v>
      </c>
      <c r="M53" s="324" t="s">
        <v>616</v>
      </c>
      <c r="N53" s="314">
        <v>3</v>
      </c>
      <c r="O53" s="315" t="s">
        <v>342</v>
      </c>
      <c r="P53" s="309">
        <v>1</v>
      </c>
      <c r="Q53" s="234" t="s">
        <v>1497</v>
      </c>
      <c r="R53" s="322" t="s">
        <v>342</v>
      </c>
      <c r="S53" s="237"/>
      <c r="T53" s="237"/>
      <c r="U53" s="237"/>
      <c r="V53" s="310">
        <f t="shared" si="6"/>
        <v>766568050</v>
      </c>
      <c r="W53" s="310">
        <f t="shared" si="7"/>
        <v>0</v>
      </c>
      <c r="X53" s="310">
        <f t="shared" si="8"/>
        <v>0</v>
      </c>
      <c r="Y53" s="310">
        <f t="shared" si="9"/>
        <v>766568050</v>
      </c>
      <c r="AB53" s="317" t="s">
        <v>849</v>
      </c>
      <c r="AC53" s="322" t="s">
        <v>343</v>
      </c>
      <c r="AD53" s="237"/>
      <c r="AE53" s="237"/>
      <c r="AF53" s="237"/>
      <c r="AG53" s="237"/>
      <c r="AH53" s="237"/>
      <c r="AI53" s="237"/>
      <c r="AJ53" s="304">
        <f t="shared" si="5"/>
        <v>603200000</v>
      </c>
    </row>
    <row r="54" spans="1:36">
      <c r="B54" s="21"/>
      <c r="C54" s="21">
        <v>8</v>
      </c>
      <c r="D54" s="21" t="s">
        <v>370</v>
      </c>
      <c r="E54" s="39">
        <v>11024443</v>
      </c>
      <c r="F54" s="40"/>
      <c r="G54" s="40"/>
      <c r="H54" s="40">
        <v>11024443</v>
      </c>
      <c r="L54" s="323">
        <v>16</v>
      </c>
      <c r="M54" s="324" t="s">
        <v>616</v>
      </c>
      <c r="N54" s="314">
        <v>5</v>
      </c>
      <c r="O54" s="315" t="s">
        <v>343</v>
      </c>
      <c r="P54" s="309">
        <v>1</v>
      </c>
      <c r="Q54" s="234" t="s">
        <v>849</v>
      </c>
      <c r="R54" s="322" t="s">
        <v>343</v>
      </c>
      <c r="S54" s="237"/>
      <c r="T54" s="237"/>
      <c r="U54" s="237"/>
      <c r="V54" s="310">
        <f t="shared" si="6"/>
        <v>603200000</v>
      </c>
      <c r="W54" s="310">
        <f t="shared" si="7"/>
        <v>0</v>
      </c>
      <c r="X54" s="310">
        <f t="shared" si="8"/>
        <v>0</v>
      </c>
      <c r="Y54" s="310">
        <f t="shared" si="9"/>
        <v>603200000</v>
      </c>
      <c r="AB54" s="317" t="s">
        <v>1471</v>
      </c>
      <c r="AC54" s="325" t="s">
        <v>348</v>
      </c>
      <c r="AD54" s="237"/>
      <c r="AE54" s="235"/>
      <c r="AF54" s="235"/>
      <c r="AG54" s="235"/>
      <c r="AH54" s="235"/>
      <c r="AI54" s="235"/>
      <c r="AJ54" s="304">
        <f t="shared" si="5"/>
        <v>253180304</v>
      </c>
    </row>
    <row r="55" spans="1:36">
      <c r="A55" s="21">
        <v>20</v>
      </c>
      <c r="B55" s="21" t="s">
        <v>611</v>
      </c>
      <c r="C55" s="21">
        <v>3</v>
      </c>
      <c r="D55" s="21" t="s">
        <v>409</v>
      </c>
      <c r="E55" s="39">
        <v>133292492</v>
      </c>
      <c r="F55" s="40"/>
      <c r="G55" s="40"/>
      <c r="H55" s="40">
        <v>133292492</v>
      </c>
      <c r="L55" s="323">
        <v>16</v>
      </c>
      <c r="M55" s="324" t="s">
        <v>616</v>
      </c>
      <c r="N55" s="314">
        <v>22</v>
      </c>
      <c r="O55" s="315" t="s">
        <v>348</v>
      </c>
      <c r="P55" s="309">
        <v>1</v>
      </c>
      <c r="Q55" s="234" t="s">
        <v>1471</v>
      </c>
      <c r="R55" s="325" t="s">
        <v>348</v>
      </c>
      <c r="S55" s="237"/>
      <c r="T55" s="235"/>
      <c r="U55" s="235"/>
      <c r="V55" s="310">
        <f t="shared" si="6"/>
        <v>253180304</v>
      </c>
      <c r="W55" s="310">
        <f t="shared" si="7"/>
        <v>0</v>
      </c>
      <c r="X55" s="310">
        <f t="shared" si="8"/>
        <v>0</v>
      </c>
      <c r="Y55" s="310">
        <f t="shared" si="9"/>
        <v>253180304</v>
      </c>
      <c r="AB55" s="238" t="s">
        <v>1352</v>
      </c>
      <c r="AC55" s="328"/>
      <c r="AD55" s="239"/>
      <c r="AE55" s="239"/>
      <c r="AF55" s="239"/>
      <c r="AG55" s="239"/>
      <c r="AH55" s="239"/>
      <c r="AI55" s="239"/>
      <c r="AJ55" s="298">
        <f>+SUM(AJ56:AJ61)</f>
        <v>1673396411</v>
      </c>
    </row>
    <row r="56" spans="1:36">
      <c r="A56" s="21"/>
      <c r="B56" s="21" t="s">
        <v>619</v>
      </c>
      <c r="C56" s="21">
        <v>237</v>
      </c>
      <c r="D56" s="21" t="s">
        <v>425</v>
      </c>
      <c r="E56" s="39">
        <v>200000000</v>
      </c>
      <c r="F56" s="40"/>
      <c r="G56" s="40"/>
      <c r="H56" s="40">
        <v>200000000</v>
      </c>
      <c r="L56" s="326"/>
      <c r="M56" s="327"/>
      <c r="N56" s="314"/>
      <c r="O56" s="315"/>
      <c r="P56" s="316"/>
      <c r="Q56" s="238" t="s">
        <v>1352</v>
      </c>
      <c r="R56" s="328"/>
      <c r="S56" s="239"/>
      <c r="T56" s="239"/>
      <c r="U56" s="239"/>
      <c r="V56" s="299">
        <f>+SUM(V57:V63)</f>
        <v>1673396411</v>
      </c>
      <c r="W56" s="299">
        <f>+SUM(W57:W63)</f>
        <v>0</v>
      </c>
      <c r="X56" s="299">
        <f>+SUM(X57:X63)</f>
        <v>0</v>
      </c>
      <c r="Y56" s="299">
        <f>+SUM(Y57:Y63)</f>
        <v>1673396411</v>
      </c>
      <c r="AB56" s="317" t="s">
        <v>853</v>
      </c>
      <c r="AC56" s="322" t="s">
        <v>364</v>
      </c>
      <c r="AD56" s="237"/>
      <c r="AE56" s="237"/>
      <c r="AF56" s="237"/>
      <c r="AG56" s="237"/>
      <c r="AH56" s="237"/>
      <c r="AI56" s="237"/>
      <c r="AJ56" s="304">
        <f t="shared" ref="AJ56:AJ61" si="10">+Y58</f>
        <v>154235945</v>
      </c>
    </row>
    <row r="57" spans="1:36">
      <c r="A57" s="249">
        <v>21</v>
      </c>
      <c r="B57" s="21" t="s">
        <v>4</v>
      </c>
      <c r="C57" s="21">
        <v>2</v>
      </c>
      <c r="D57" s="21" t="s">
        <v>427</v>
      </c>
      <c r="E57" s="39">
        <v>164827040</v>
      </c>
      <c r="F57" s="40"/>
      <c r="G57" s="40"/>
      <c r="H57" s="40">
        <v>164827040</v>
      </c>
      <c r="L57" s="323">
        <v>18</v>
      </c>
      <c r="M57" s="324" t="s">
        <v>613</v>
      </c>
      <c r="N57" s="314">
        <v>4</v>
      </c>
      <c r="O57" s="315" t="s">
        <v>362</v>
      </c>
      <c r="P57" s="309">
        <v>1</v>
      </c>
      <c r="Q57" s="234" t="s">
        <v>1498</v>
      </c>
      <c r="R57" s="325" t="s">
        <v>362</v>
      </c>
      <c r="S57" s="237"/>
      <c r="T57" s="235"/>
      <c r="U57" s="235"/>
      <c r="V57" s="310">
        <f t="shared" ref="V57:V63" si="11">+GETPIVOTDATA("PPEF 2011 ",$A54,"No. Ramo",$L57,"IPP",$M57,"PP",$N57,"Programa Presupuestario (PP)",$O57)*$P57</f>
        <v>0</v>
      </c>
      <c r="W57" s="310">
        <f t="shared" ref="W57:W63" si="12">+GETPIVOTDATA("Reducción ",$A54,"No. Ramo",$L57,"IPP",$M57,"PP",$N57,"Programa Presupuestario (PP)",$O57)*$P57</f>
        <v>0</v>
      </c>
      <c r="X57" s="310">
        <f t="shared" ref="X57:X63" si="13">+GETPIVOTDATA("Ampliación ",$A54,"No. Ramo",$L57,"IPP",$M57,"PP",$N57,"Programa Presupuestario (PP)",$O57)*$P57</f>
        <v>0</v>
      </c>
      <c r="Y57" s="310">
        <f t="shared" ref="Y57:Y63" si="14">+GETPIVOTDATA("PEF 2011 ",$A54,"No. Ramo",$L57,"IPP",$M57,"PP",$N57,"Programa Presupuestario (PP)",$O57)*$P57</f>
        <v>0</v>
      </c>
      <c r="AB57" s="317" t="s">
        <v>819</v>
      </c>
      <c r="AC57" s="322" t="s">
        <v>366</v>
      </c>
      <c r="AD57" s="237"/>
      <c r="AE57" s="237"/>
      <c r="AF57" s="237"/>
      <c r="AG57" s="237"/>
      <c r="AH57" s="237"/>
      <c r="AI57" s="237"/>
      <c r="AJ57" s="304">
        <f t="shared" si="10"/>
        <v>27736501</v>
      </c>
    </row>
    <row r="58" spans="1:36">
      <c r="B58" s="21" t="s">
        <v>628</v>
      </c>
      <c r="C58" s="21">
        <v>3</v>
      </c>
      <c r="D58" s="21" t="s">
        <v>428</v>
      </c>
      <c r="E58" s="39">
        <v>153259865</v>
      </c>
      <c r="F58" s="40"/>
      <c r="G58" s="40"/>
      <c r="H58" s="40">
        <v>153259865</v>
      </c>
      <c r="L58" s="323">
        <v>18</v>
      </c>
      <c r="M58" s="324" t="s">
        <v>613</v>
      </c>
      <c r="N58" s="314">
        <v>5</v>
      </c>
      <c r="O58" s="315" t="s">
        <v>364</v>
      </c>
      <c r="P58" s="309">
        <v>1</v>
      </c>
      <c r="Q58" s="234" t="s">
        <v>853</v>
      </c>
      <c r="R58" s="322" t="s">
        <v>364</v>
      </c>
      <c r="S58" s="237"/>
      <c r="T58" s="237"/>
      <c r="U58" s="237"/>
      <c r="V58" s="310">
        <f t="shared" si="11"/>
        <v>154235945</v>
      </c>
      <c r="W58" s="310">
        <f t="shared" si="12"/>
        <v>0</v>
      </c>
      <c r="X58" s="310">
        <f t="shared" si="13"/>
        <v>0</v>
      </c>
      <c r="Y58" s="310">
        <f t="shared" si="14"/>
        <v>154235945</v>
      </c>
      <c r="AB58" s="317" t="s">
        <v>1499</v>
      </c>
      <c r="AC58" s="325" t="s">
        <v>367</v>
      </c>
      <c r="AD58" s="237"/>
      <c r="AE58" s="235"/>
      <c r="AF58" s="235"/>
      <c r="AG58" s="235"/>
      <c r="AH58" s="235"/>
      <c r="AI58" s="235"/>
      <c r="AJ58" s="304">
        <f t="shared" si="10"/>
        <v>10348654</v>
      </c>
    </row>
    <row r="59" spans="1:36">
      <c r="B59" s="21" t="s">
        <v>614</v>
      </c>
      <c r="C59" s="21">
        <v>21</v>
      </c>
      <c r="D59" s="21" t="s">
        <v>429</v>
      </c>
      <c r="E59" s="39">
        <v>626635257</v>
      </c>
      <c r="F59" s="40"/>
      <c r="G59" s="40"/>
      <c r="H59" s="40">
        <v>626635257</v>
      </c>
      <c r="L59" s="323">
        <v>18</v>
      </c>
      <c r="M59" s="324" t="s">
        <v>613</v>
      </c>
      <c r="N59" s="314">
        <v>9</v>
      </c>
      <c r="O59" s="315" t="s">
        <v>366</v>
      </c>
      <c r="P59" s="309">
        <v>1</v>
      </c>
      <c r="Q59" s="234" t="s">
        <v>819</v>
      </c>
      <c r="R59" s="322" t="s">
        <v>366</v>
      </c>
      <c r="S59" s="237"/>
      <c r="T59" s="237"/>
      <c r="U59" s="237"/>
      <c r="V59" s="310">
        <f t="shared" si="11"/>
        <v>27736501</v>
      </c>
      <c r="W59" s="310">
        <f t="shared" si="12"/>
        <v>0</v>
      </c>
      <c r="X59" s="310">
        <f t="shared" si="13"/>
        <v>0</v>
      </c>
      <c r="Y59" s="310">
        <f t="shared" si="14"/>
        <v>27736501</v>
      </c>
      <c r="AB59" s="317" t="s">
        <v>1500</v>
      </c>
      <c r="AC59" s="325" t="s">
        <v>368</v>
      </c>
      <c r="AD59" s="237"/>
      <c r="AE59" s="235"/>
      <c r="AF59" s="235"/>
      <c r="AG59" s="235"/>
      <c r="AH59" s="235"/>
      <c r="AI59" s="235"/>
      <c r="AJ59" s="304">
        <f t="shared" si="10"/>
        <v>11683082</v>
      </c>
    </row>
    <row r="60" spans="1:36">
      <c r="B60" s="21"/>
      <c r="C60" s="21">
        <v>26</v>
      </c>
      <c r="D60" s="21" t="s">
        <v>126</v>
      </c>
      <c r="E60" s="39">
        <v>557000000</v>
      </c>
      <c r="F60" s="40"/>
      <c r="G60" s="40"/>
      <c r="H60" s="40">
        <v>557000000</v>
      </c>
      <c r="L60" s="323">
        <v>18</v>
      </c>
      <c r="M60" s="313" t="s">
        <v>4</v>
      </c>
      <c r="N60" s="314">
        <v>12</v>
      </c>
      <c r="O60" s="315" t="s">
        <v>367</v>
      </c>
      <c r="P60" s="309">
        <v>1</v>
      </c>
      <c r="Q60" s="234" t="s">
        <v>1499</v>
      </c>
      <c r="R60" s="325" t="s">
        <v>367</v>
      </c>
      <c r="S60" s="237"/>
      <c r="T60" s="235"/>
      <c r="U60" s="235"/>
      <c r="V60" s="310">
        <f t="shared" si="11"/>
        <v>10348654</v>
      </c>
      <c r="W60" s="310">
        <f t="shared" si="12"/>
        <v>0</v>
      </c>
      <c r="X60" s="310">
        <f t="shared" si="13"/>
        <v>0</v>
      </c>
      <c r="Y60" s="310">
        <f t="shared" si="14"/>
        <v>10348654</v>
      </c>
      <c r="AB60" s="317" t="s">
        <v>1501</v>
      </c>
      <c r="AC60" s="322" t="s">
        <v>369</v>
      </c>
      <c r="AD60" s="237"/>
      <c r="AE60" s="237"/>
      <c r="AF60" s="237"/>
      <c r="AG60" s="237"/>
      <c r="AH60" s="237"/>
      <c r="AI60" s="237"/>
      <c r="AJ60" s="304">
        <f t="shared" si="10"/>
        <v>1458367786</v>
      </c>
    </row>
    <row r="61" spans="1:36">
      <c r="B61" s="21"/>
      <c r="C61" s="21">
        <v>27</v>
      </c>
      <c r="D61" s="21" t="s">
        <v>70</v>
      </c>
      <c r="E61" s="39">
        <v>160000000</v>
      </c>
      <c r="F61" s="40"/>
      <c r="G61" s="40"/>
      <c r="H61" s="40">
        <v>160000000</v>
      </c>
      <c r="L61" s="323">
        <v>18</v>
      </c>
      <c r="M61" s="313" t="s">
        <v>618</v>
      </c>
      <c r="N61" s="314">
        <v>7</v>
      </c>
      <c r="O61" s="315" t="s">
        <v>368</v>
      </c>
      <c r="P61" s="309">
        <v>1</v>
      </c>
      <c r="Q61" s="234" t="s">
        <v>1500</v>
      </c>
      <c r="R61" s="325" t="s">
        <v>368</v>
      </c>
      <c r="S61" s="237"/>
      <c r="T61" s="235"/>
      <c r="U61" s="235"/>
      <c r="V61" s="310">
        <f t="shared" si="11"/>
        <v>11683082</v>
      </c>
      <c r="W61" s="310">
        <f t="shared" si="12"/>
        <v>0</v>
      </c>
      <c r="X61" s="310">
        <f t="shared" si="13"/>
        <v>0</v>
      </c>
      <c r="Y61" s="310">
        <f t="shared" si="14"/>
        <v>11683082</v>
      </c>
      <c r="AB61" s="317" t="s">
        <v>1502</v>
      </c>
      <c r="AC61" s="322" t="s">
        <v>370</v>
      </c>
      <c r="AD61" s="237"/>
      <c r="AE61" s="237"/>
      <c r="AF61" s="237"/>
      <c r="AG61" s="237"/>
      <c r="AH61" s="237"/>
      <c r="AI61" s="237"/>
      <c r="AJ61" s="304">
        <f t="shared" si="10"/>
        <v>11024443</v>
      </c>
    </row>
    <row r="62" spans="1:36">
      <c r="A62" s="21">
        <v>23</v>
      </c>
      <c r="B62" s="21" t="s">
        <v>615</v>
      </c>
      <c r="C62" s="21">
        <v>1</v>
      </c>
      <c r="D62" s="21" t="s">
        <v>508</v>
      </c>
      <c r="E62" s="39">
        <v>10000000000</v>
      </c>
      <c r="F62" s="40"/>
      <c r="G62" s="40"/>
      <c r="H62" s="40">
        <v>10000000000</v>
      </c>
      <c r="L62" s="323">
        <v>18</v>
      </c>
      <c r="M62" s="324" t="s">
        <v>611</v>
      </c>
      <c r="N62" s="314">
        <v>1</v>
      </c>
      <c r="O62" s="315" t="s">
        <v>369</v>
      </c>
      <c r="P62" s="309">
        <v>1</v>
      </c>
      <c r="Q62" s="234" t="s">
        <v>1501</v>
      </c>
      <c r="R62" s="322" t="s">
        <v>369</v>
      </c>
      <c r="S62" s="237"/>
      <c r="T62" s="237"/>
      <c r="U62" s="237"/>
      <c r="V62" s="310">
        <f t="shared" si="11"/>
        <v>1458367786</v>
      </c>
      <c r="W62" s="310">
        <f t="shared" si="12"/>
        <v>0</v>
      </c>
      <c r="X62" s="310">
        <f t="shared" si="13"/>
        <v>0</v>
      </c>
      <c r="Y62" s="310">
        <f t="shared" si="14"/>
        <v>1458367786</v>
      </c>
      <c r="AB62" s="238" t="s">
        <v>1331</v>
      </c>
      <c r="AC62" s="328"/>
      <c r="AD62" s="239"/>
      <c r="AE62" s="239"/>
      <c r="AF62" s="239"/>
      <c r="AG62" s="239"/>
      <c r="AH62" s="239"/>
      <c r="AI62" s="239"/>
      <c r="AJ62" s="298">
        <f>+SUM(AJ63:AJ64)</f>
        <v>333292492</v>
      </c>
    </row>
    <row r="63" spans="1:36">
      <c r="A63" s="21"/>
      <c r="B63" s="21"/>
      <c r="C63" s="21">
        <v>2</v>
      </c>
      <c r="D63" s="21" t="s">
        <v>509</v>
      </c>
      <c r="E63" s="39">
        <v>300000000</v>
      </c>
      <c r="F63" s="40"/>
      <c r="G63" s="40"/>
      <c r="H63" s="40">
        <v>300000000</v>
      </c>
      <c r="L63" s="323">
        <v>18</v>
      </c>
      <c r="M63" s="324" t="s">
        <v>611</v>
      </c>
      <c r="N63" s="314">
        <v>8</v>
      </c>
      <c r="O63" s="315" t="s">
        <v>370</v>
      </c>
      <c r="P63" s="309">
        <v>1</v>
      </c>
      <c r="Q63" s="234" t="s">
        <v>1502</v>
      </c>
      <c r="R63" s="322" t="s">
        <v>370</v>
      </c>
      <c r="S63" s="237"/>
      <c r="T63" s="237"/>
      <c r="U63" s="237"/>
      <c r="V63" s="310">
        <f t="shared" si="11"/>
        <v>11024443</v>
      </c>
      <c r="W63" s="310">
        <f t="shared" si="12"/>
        <v>0</v>
      </c>
      <c r="X63" s="310">
        <f t="shared" si="13"/>
        <v>0</v>
      </c>
      <c r="Y63" s="310">
        <f t="shared" si="14"/>
        <v>11024443</v>
      </c>
      <c r="AB63" s="317" t="s">
        <v>1377</v>
      </c>
      <c r="AC63" s="325" t="s">
        <v>409</v>
      </c>
      <c r="AD63" s="237"/>
      <c r="AE63" s="235"/>
      <c r="AF63" s="235"/>
      <c r="AG63" s="235"/>
      <c r="AH63" s="235"/>
      <c r="AI63" s="235"/>
      <c r="AJ63" s="304">
        <f>+Y65</f>
        <v>133292492</v>
      </c>
    </row>
    <row r="64" spans="1:36">
      <c r="A64" s="249">
        <v>38</v>
      </c>
      <c r="B64" s="21" t="s">
        <v>619</v>
      </c>
      <c r="C64" s="21">
        <v>192</v>
      </c>
      <c r="D64" s="21" t="s">
        <v>468</v>
      </c>
      <c r="E64" s="39">
        <v>600000000</v>
      </c>
      <c r="F64" s="40"/>
      <c r="G64" s="40"/>
      <c r="H64" s="40">
        <v>600000000</v>
      </c>
      <c r="L64" s="326"/>
      <c r="M64" s="313"/>
      <c r="N64" s="314"/>
      <c r="O64" s="315"/>
      <c r="P64" s="316"/>
      <c r="Q64" s="238" t="s">
        <v>1331</v>
      </c>
      <c r="R64" s="328"/>
      <c r="S64" s="239"/>
      <c r="T64" s="239"/>
      <c r="U64" s="239"/>
      <c r="V64" s="299">
        <f>+SUM(V65:V66)</f>
        <v>333292492</v>
      </c>
      <c r="W64" s="299">
        <f>+SUM(W65:W66)</f>
        <v>0</v>
      </c>
      <c r="X64" s="299">
        <f>+SUM(X65:X66)</f>
        <v>0</v>
      </c>
      <c r="Y64" s="299">
        <f>+SUM(Y65:Y66)</f>
        <v>333292492</v>
      </c>
      <c r="AB64" s="317" t="s">
        <v>1503</v>
      </c>
      <c r="AC64" s="322" t="s">
        <v>425</v>
      </c>
      <c r="AD64" s="237"/>
      <c r="AE64" s="237"/>
      <c r="AF64" s="237"/>
      <c r="AG64" s="237"/>
      <c r="AH64" s="237"/>
      <c r="AI64" s="237"/>
      <c r="AJ64" s="304">
        <f>+Y66</f>
        <v>200000000</v>
      </c>
    </row>
    <row r="65" spans="1:36">
      <c r="A65" s="21" t="s">
        <v>477</v>
      </c>
      <c r="B65" s="21" t="s">
        <v>613</v>
      </c>
      <c r="C65" s="21">
        <v>578</v>
      </c>
      <c r="D65" s="21" t="s">
        <v>478</v>
      </c>
      <c r="E65" s="39">
        <v>127284242</v>
      </c>
      <c r="F65" s="40"/>
      <c r="G65" s="40"/>
      <c r="H65" s="40">
        <v>127284242</v>
      </c>
      <c r="L65" s="331">
        <v>20</v>
      </c>
      <c r="M65" s="313" t="s">
        <v>611</v>
      </c>
      <c r="N65" s="314">
        <v>3</v>
      </c>
      <c r="O65" s="315" t="s">
        <v>409</v>
      </c>
      <c r="P65" s="309">
        <v>1</v>
      </c>
      <c r="Q65" s="234" t="s">
        <v>1377</v>
      </c>
      <c r="R65" s="325" t="s">
        <v>409</v>
      </c>
      <c r="S65" s="237"/>
      <c r="T65" s="235"/>
      <c r="U65" s="235"/>
      <c r="V65" s="310">
        <f>+GETPIVOTDATA("PPEF 2011 ",$A62,"No. Ramo",$L65,"IPP",$M65,"PP",$N65,"Programa Presupuestario (PP)",$O65)*$P65</f>
        <v>133292492</v>
      </c>
      <c r="W65" s="310">
        <f>+GETPIVOTDATA("Reducción ",$A62,"No. Ramo",$L65,"IPP",$M65,"PP",$N65,"Programa Presupuestario (PP)",$O65)*$P65</f>
        <v>0</v>
      </c>
      <c r="X65" s="310">
        <f>+GETPIVOTDATA("Ampliación ",$A62,"No. Ramo",$L65,"IPP",$M65,"PP",$N65,"Programa Presupuestario (PP)",$O65)*$P65</f>
        <v>0</v>
      </c>
      <c r="Y65" s="310">
        <f>+GETPIVOTDATA("PEF 2011 ",$A62,"No. Ramo",$L65,"IPP",$M65,"PP",$N65,"Programa Presupuestario (PP)",$O65)*$P65</f>
        <v>133292492</v>
      </c>
      <c r="AB65" s="238" t="s">
        <v>1345</v>
      </c>
      <c r="AC65" s="332"/>
      <c r="AD65" s="301"/>
      <c r="AE65" s="301"/>
      <c r="AF65" s="301"/>
      <c r="AG65" s="301"/>
      <c r="AH65" s="301"/>
      <c r="AI65" s="301"/>
      <c r="AJ65" s="298">
        <f>+SUM(AJ66:AJ70)</f>
        <v>1661722162</v>
      </c>
    </row>
    <row r="66" spans="1:36" ht="30" customHeight="1">
      <c r="A66" s="21"/>
      <c r="B66" s="21" t="s">
        <v>4</v>
      </c>
      <c r="C66" s="21">
        <v>571</v>
      </c>
      <c r="D66" s="21" t="s">
        <v>479</v>
      </c>
      <c r="E66" s="39">
        <v>44103715</v>
      </c>
      <c r="F66" s="40"/>
      <c r="G66" s="40"/>
      <c r="H66" s="40">
        <v>44103715</v>
      </c>
      <c r="L66" s="331">
        <v>20</v>
      </c>
      <c r="M66" s="313" t="s">
        <v>619</v>
      </c>
      <c r="N66" s="314">
        <v>237</v>
      </c>
      <c r="O66" s="315" t="s">
        <v>425</v>
      </c>
      <c r="P66" s="309">
        <v>1</v>
      </c>
      <c r="Q66" s="234" t="s">
        <v>1503</v>
      </c>
      <c r="R66" s="322" t="s">
        <v>425</v>
      </c>
      <c r="S66" s="237"/>
      <c r="T66" s="237"/>
      <c r="U66" s="237"/>
      <c r="V66" s="310">
        <f>+GETPIVOTDATA("PPEF 2011 ",$A63,"No. Ramo",$L66,"IPP",$M66,"PP",$N66,"Programa Presupuestario (PP)",$O66)*$P66</f>
        <v>200000000</v>
      </c>
      <c r="W66" s="310">
        <f>+GETPIVOTDATA("Reducción ",$A63,"No. Ramo",$L66,"IPP",$M66,"PP",$N66,"Programa Presupuestario (PP)",$O66)*$P66</f>
        <v>0</v>
      </c>
      <c r="X66" s="310">
        <f>+GETPIVOTDATA("Ampliación ",$A63,"No. Ramo",$L66,"IPP",$M66,"PP",$N66,"Programa Presupuestario (PP)",$O66)*$P66</f>
        <v>0</v>
      </c>
      <c r="Y66" s="310">
        <f>+GETPIVOTDATA("PEF 2011 ",$A63,"No. Ramo",$L66,"IPP",$M66,"PP",$N66,"Programa Presupuestario (PP)",$O66)*$P66</f>
        <v>200000000</v>
      </c>
      <c r="AB66" s="317" t="s">
        <v>813</v>
      </c>
      <c r="AC66" s="410" t="s">
        <v>427</v>
      </c>
      <c r="AD66" s="410"/>
      <c r="AE66" s="410"/>
      <c r="AF66" s="410"/>
      <c r="AG66" s="410"/>
      <c r="AH66" s="410"/>
      <c r="AI66" s="411"/>
      <c r="AJ66" s="304">
        <f>+Y68</f>
        <v>164827040</v>
      </c>
    </row>
    <row r="67" spans="1:36">
      <c r="A67" s="21"/>
      <c r="B67" s="21" t="s">
        <v>614</v>
      </c>
      <c r="C67" s="21">
        <v>44</v>
      </c>
      <c r="D67" s="21" t="s">
        <v>481</v>
      </c>
      <c r="E67" s="39">
        <v>18402917487</v>
      </c>
      <c r="F67" s="40"/>
      <c r="G67" s="40"/>
      <c r="H67" s="40">
        <v>18402917487</v>
      </c>
      <c r="L67" s="321"/>
      <c r="M67" s="313"/>
      <c r="N67" s="314"/>
      <c r="O67" s="315"/>
      <c r="P67" s="316"/>
      <c r="Q67" s="238" t="s">
        <v>1345</v>
      </c>
      <c r="R67" s="332"/>
      <c r="S67" s="301"/>
      <c r="T67" s="301"/>
      <c r="U67" s="301"/>
      <c r="V67" s="299">
        <f>+SUM(V68:V72)</f>
        <v>1661722162</v>
      </c>
      <c r="W67" s="299">
        <f>+SUM(W68:W72)</f>
        <v>0</v>
      </c>
      <c r="X67" s="299">
        <f>+SUM(X68:X72)</f>
        <v>0</v>
      </c>
      <c r="Y67" s="299">
        <f>+SUM(Y68:Y72)</f>
        <v>1661722162</v>
      </c>
      <c r="AB67" s="317" t="s">
        <v>806</v>
      </c>
      <c r="AC67" s="325" t="s">
        <v>428</v>
      </c>
      <c r="AD67" s="237"/>
      <c r="AE67" s="235"/>
      <c r="AF67" s="235"/>
      <c r="AG67" s="235"/>
      <c r="AH67" s="235"/>
      <c r="AI67" s="235"/>
      <c r="AJ67" s="304">
        <f>+Y69</f>
        <v>153259865</v>
      </c>
    </row>
    <row r="68" spans="1:36">
      <c r="A68" s="21" t="s">
        <v>482</v>
      </c>
      <c r="B68" s="21" t="s">
        <v>613</v>
      </c>
      <c r="C68" s="21">
        <v>12</v>
      </c>
      <c r="D68" s="21" t="s">
        <v>483</v>
      </c>
      <c r="E68" s="39">
        <v>3059999489</v>
      </c>
      <c r="F68" s="40"/>
      <c r="G68" s="40"/>
      <c r="H68" s="40">
        <v>3059999489</v>
      </c>
      <c r="L68" s="323">
        <v>21</v>
      </c>
      <c r="M68" s="313" t="s">
        <v>4</v>
      </c>
      <c r="N68" s="314">
        <v>2</v>
      </c>
      <c r="O68" s="315" t="s">
        <v>427</v>
      </c>
      <c r="P68" s="309">
        <v>1</v>
      </c>
      <c r="Q68" s="234" t="s">
        <v>813</v>
      </c>
      <c r="R68" s="325" t="s">
        <v>427</v>
      </c>
      <c r="S68" s="237"/>
      <c r="T68" s="235"/>
      <c r="U68" s="235"/>
      <c r="V68" s="310">
        <f>+GETPIVOTDATA("PPEF 2011 ",$A65,"No. Ramo",$L68,"IPP",$M68,"PP",$N68,"Programa Presupuestario (PP)",$O68)*$P68</f>
        <v>164827040</v>
      </c>
      <c r="W68" s="310">
        <f>+GETPIVOTDATA("Reducción ",$A65,"No. Ramo",$L68,"IPP",$M68,"PP",$N68,"Programa Presupuestario (PP)",$O68)*$P68</f>
        <v>0</v>
      </c>
      <c r="X68" s="310">
        <f>+GETPIVOTDATA("Ampliación ",$A65,"No. Ramo",$L68,"IPP",$M68,"PP",$N68,"Programa Presupuestario (PP)",$O68)*$P68</f>
        <v>0</v>
      </c>
      <c r="Y68" s="310">
        <f>+GETPIVOTDATA("PEF 2011 ",$A65,"No. Ramo",$L68,"IPP",$M68,"PP",$N68,"Programa Presupuestario (PP)",$O68)*$P68</f>
        <v>164827040</v>
      </c>
      <c r="AB68" s="317" t="s">
        <v>1504</v>
      </c>
      <c r="AC68" s="322" t="s">
        <v>429</v>
      </c>
      <c r="AD68" s="237"/>
      <c r="AE68" s="237"/>
      <c r="AF68" s="237"/>
      <c r="AG68" s="237"/>
      <c r="AH68" s="237"/>
      <c r="AI68" s="237"/>
      <c r="AJ68" s="304">
        <f>+Y70</f>
        <v>626635257</v>
      </c>
    </row>
    <row r="69" spans="1:36">
      <c r="A69" s="21"/>
      <c r="B69" s="21" t="s">
        <v>614</v>
      </c>
      <c r="C69" s="21">
        <v>2</v>
      </c>
      <c r="D69" s="21" t="s">
        <v>484</v>
      </c>
      <c r="E69" s="39">
        <v>7918675589</v>
      </c>
      <c r="F69" s="40"/>
      <c r="G69" s="40"/>
      <c r="H69" s="40">
        <v>7918675589</v>
      </c>
      <c r="L69" s="323">
        <v>21</v>
      </c>
      <c r="M69" s="313" t="s">
        <v>628</v>
      </c>
      <c r="N69" s="314">
        <v>3</v>
      </c>
      <c r="O69" s="315" t="s">
        <v>428</v>
      </c>
      <c r="P69" s="309">
        <v>1</v>
      </c>
      <c r="Q69" s="234" t="s">
        <v>806</v>
      </c>
      <c r="R69" s="325" t="s">
        <v>428</v>
      </c>
      <c r="S69" s="237"/>
      <c r="T69" s="235"/>
      <c r="U69" s="235"/>
      <c r="V69" s="310">
        <f>+GETPIVOTDATA("PPEF 2011 ",$A66,"No. Ramo",$L69,"IPP",$M69,"PP",$N69,"Programa Presupuestario (PP)",$O69)*$P69</f>
        <v>153259865</v>
      </c>
      <c r="W69" s="310">
        <f>+GETPIVOTDATA("Reducción ",$A66,"No. Ramo",$L69,"IPP",$M69,"PP",$N69,"Programa Presupuestario (PP)",$O69)*$P69</f>
        <v>0</v>
      </c>
      <c r="X69" s="310">
        <f>+GETPIVOTDATA("Ampliación ",$A66,"No. Ramo",$L69,"IPP",$M69,"PP",$N69,"Programa Presupuestario (PP)",$O69)*$P69</f>
        <v>0</v>
      </c>
      <c r="Y69" s="310">
        <f>+GETPIVOTDATA("PEF 2011 ",$A66,"No. Ramo",$L69,"IPP",$M69,"PP",$N69,"Programa Presupuestario (PP)",$O69)*$P69</f>
        <v>153259865</v>
      </c>
      <c r="AB69" s="317" t="s">
        <v>800</v>
      </c>
      <c r="AC69" s="325" t="s">
        <v>126</v>
      </c>
      <c r="AD69" s="237"/>
      <c r="AE69" s="235"/>
      <c r="AF69" s="235"/>
      <c r="AG69" s="235"/>
      <c r="AH69" s="235"/>
      <c r="AI69" s="235"/>
      <c r="AJ69" s="304">
        <f>+Y71</f>
        <v>557000000</v>
      </c>
    </row>
    <row r="70" spans="1:36">
      <c r="A70" s="21"/>
      <c r="B70" s="21"/>
      <c r="C70" s="21">
        <v>14</v>
      </c>
      <c r="D70" s="21" t="s">
        <v>69</v>
      </c>
      <c r="E70" s="39">
        <v>317581</v>
      </c>
      <c r="F70" s="40"/>
      <c r="G70" s="40"/>
      <c r="H70" s="40">
        <v>317581</v>
      </c>
      <c r="L70" s="323">
        <v>21</v>
      </c>
      <c r="M70" s="324" t="s">
        <v>614</v>
      </c>
      <c r="N70" s="314">
        <v>21</v>
      </c>
      <c r="O70" s="315" t="s">
        <v>429</v>
      </c>
      <c r="P70" s="309">
        <v>1</v>
      </c>
      <c r="Q70" s="234" t="s">
        <v>1504</v>
      </c>
      <c r="R70" s="322" t="s">
        <v>429</v>
      </c>
      <c r="S70" s="237"/>
      <c r="T70" s="237"/>
      <c r="U70" s="237"/>
      <c r="V70" s="310">
        <f>+GETPIVOTDATA("PPEF 2011 ",$A67,"No. Ramo",$L70,"IPP",$M70,"PP",$N70,"Programa Presupuestario (PP)",$O70)*$P70</f>
        <v>626635257</v>
      </c>
      <c r="W70" s="310">
        <f>+GETPIVOTDATA("Reducción ",$A67,"No. Ramo",$L70,"IPP",$M70,"PP",$N70,"Programa Presupuestario (PP)",$O70)*$P70</f>
        <v>0</v>
      </c>
      <c r="X70" s="310">
        <f>+GETPIVOTDATA("Ampliación ",$A67,"No. Ramo",$L70,"IPP",$M70,"PP",$N70,"Programa Presupuestario (PP)",$O70)*$P70</f>
        <v>0</v>
      </c>
      <c r="Y70" s="310">
        <f>+GETPIVOTDATA("PEF 2011 ",$A67,"No. Ramo",$L70,"IPP",$M70,"PP",$N70,"Programa Presupuestario (PP)",$O70)*$P70</f>
        <v>626635257</v>
      </c>
      <c r="AB70" s="317" t="s">
        <v>1014</v>
      </c>
      <c r="AC70" s="322" t="s">
        <v>70</v>
      </c>
      <c r="AD70" s="237"/>
      <c r="AE70" s="237"/>
      <c r="AF70" s="237"/>
      <c r="AG70" s="237"/>
      <c r="AH70" s="237"/>
      <c r="AI70" s="237"/>
      <c r="AJ70" s="304">
        <f>+Y72</f>
        <v>160000000</v>
      </c>
    </row>
    <row r="71" spans="1:36">
      <c r="A71" s="21"/>
      <c r="B71" s="21"/>
      <c r="C71" s="21">
        <v>26</v>
      </c>
      <c r="D71" s="21" t="s">
        <v>126</v>
      </c>
      <c r="E71" s="39">
        <v>23158586</v>
      </c>
      <c r="F71" s="40"/>
      <c r="G71" s="40"/>
      <c r="H71" s="40">
        <v>23158586</v>
      </c>
      <c r="L71" s="323">
        <v>21</v>
      </c>
      <c r="M71" s="324" t="s">
        <v>614</v>
      </c>
      <c r="N71" s="314">
        <v>26</v>
      </c>
      <c r="O71" s="315" t="s">
        <v>126</v>
      </c>
      <c r="P71" s="309">
        <v>1</v>
      </c>
      <c r="Q71" s="234" t="s">
        <v>800</v>
      </c>
      <c r="R71" s="325" t="s">
        <v>126</v>
      </c>
      <c r="S71" s="237"/>
      <c r="T71" s="235"/>
      <c r="U71" s="235"/>
      <c r="V71" s="310">
        <f>+GETPIVOTDATA("PPEF 2011 ",$A68,"No. Ramo",$L71,"IPP",$M71,"PP",$N71,"Programa Presupuestario (PP)",$O71)*$P71</f>
        <v>557000000</v>
      </c>
      <c r="W71" s="310">
        <f>+GETPIVOTDATA("Reducción ",$A68,"No. Ramo",$L71,"IPP",$M71,"PP",$N71,"Programa Presupuestario (PP)",$O71)*$P71</f>
        <v>0</v>
      </c>
      <c r="X71" s="310">
        <f>+GETPIVOTDATA("Ampliación ",$A68,"No. Ramo",$L71,"IPP",$M71,"PP",$N71,"Programa Presupuestario (PP)",$O71)*$P71</f>
        <v>0</v>
      </c>
      <c r="Y71" s="310">
        <f>+GETPIVOTDATA("PEF 2011 ",$A68,"No. Ramo",$L71,"IPP",$M71,"PP",$N71,"Programa Presupuestario (PP)",$O71)*$P71</f>
        <v>557000000</v>
      </c>
      <c r="AB71" s="238" t="s">
        <v>1505</v>
      </c>
      <c r="AC71" s="332"/>
      <c r="AD71" s="301"/>
      <c r="AE71" s="301"/>
      <c r="AF71" s="301"/>
      <c r="AG71" s="301"/>
      <c r="AH71" s="301"/>
      <c r="AI71" s="301"/>
      <c r="AJ71" s="298">
        <f>+SUM(AJ72:AJ73)</f>
        <v>10300000000</v>
      </c>
    </row>
    <row r="72" spans="1:36">
      <c r="A72" s="21"/>
      <c r="B72" s="21"/>
      <c r="C72" s="21">
        <v>27</v>
      </c>
      <c r="D72" s="21" t="s">
        <v>70</v>
      </c>
      <c r="E72" s="39">
        <v>142256432</v>
      </c>
      <c r="F72" s="40"/>
      <c r="G72" s="40"/>
      <c r="H72" s="40">
        <v>142256432</v>
      </c>
      <c r="L72" s="323">
        <v>21</v>
      </c>
      <c r="M72" s="324" t="s">
        <v>614</v>
      </c>
      <c r="N72" s="314">
        <v>27</v>
      </c>
      <c r="O72" s="315" t="s">
        <v>70</v>
      </c>
      <c r="P72" s="309">
        <v>1</v>
      </c>
      <c r="Q72" s="234" t="s">
        <v>1014</v>
      </c>
      <c r="R72" s="322" t="s">
        <v>70</v>
      </c>
      <c r="S72" s="237"/>
      <c r="T72" s="237"/>
      <c r="U72" s="237"/>
      <c r="V72" s="310">
        <f>+GETPIVOTDATA("PPEF 2011 ",$A69,"No. Ramo",$L72,"IPP",$M72,"PP",$N72,"Programa Presupuestario (PP)",$O72)*$P72</f>
        <v>160000000</v>
      </c>
      <c r="W72" s="310">
        <f>+GETPIVOTDATA("Reducción ",$A69,"No. Ramo",$L72,"IPP",$M72,"PP",$N72,"Programa Presupuestario (PP)",$O72)*$P72</f>
        <v>0</v>
      </c>
      <c r="X72" s="310">
        <f>+GETPIVOTDATA("Ampliación ",$A69,"No. Ramo",$L72,"IPP",$M72,"PP",$N72,"Programa Presupuestario (PP)",$O72)*$P72</f>
        <v>0</v>
      </c>
      <c r="Y72" s="310">
        <f>+GETPIVOTDATA("PEF 2011 ",$A69,"No. Ramo",$L72,"IPP",$M72,"PP",$N72,"Programa Presupuestario (PP)",$O72)*$P72</f>
        <v>160000000</v>
      </c>
      <c r="AB72" s="317" t="s">
        <v>1474</v>
      </c>
      <c r="AC72" s="325" t="s">
        <v>508</v>
      </c>
      <c r="AD72" s="237"/>
      <c r="AE72" s="235"/>
      <c r="AF72" s="235"/>
      <c r="AG72" s="235"/>
      <c r="AH72" s="235"/>
      <c r="AI72" s="235"/>
      <c r="AJ72" s="304">
        <f>+Y74</f>
        <v>10000000000</v>
      </c>
    </row>
    <row r="73" spans="1:36">
      <c r="A73" s="21"/>
      <c r="B73" s="21"/>
      <c r="C73" s="21">
        <v>28</v>
      </c>
      <c r="D73" s="21" t="s">
        <v>71</v>
      </c>
      <c r="E73" s="39">
        <v>1285705439</v>
      </c>
      <c r="F73" s="40"/>
      <c r="G73" s="40"/>
      <c r="H73" s="40">
        <v>1285705439</v>
      </c>
      <c r="L73" s="326"/>
      <c r="M73" s="327"/>
      <c r="N73" s="314"/>
      <c r="O73" s="315"/>
      <c r="P73" s="316"/>
      <c r="Q73" s="238" t="s">
        <v>1505</v>
      </c>
      <c r="R73" s="332"/>
      <c r="S73" s="301"/>
      <c r="T73" s="301"/>
      <c r="U73" s="301"/>
      <c r="V73" s="299">
        <f>+SUM(V74:V75)</f>
        <v>10300000000</v>
      </c>
      <c r="W73" s="299">
        <f>+SUM(W74:W75)</f>
        <v>0</v>
      </c>
      <c r="X73" s="299">
        <f>+SUM(X74:X75)</f>
        <v>0</v>
      </c>
      <c r="Y73" s="299">
        <f>+SUM(Y74:Y75)</f>
        <v>10300000000</v>
      </c>
      <c r="AB73" s="317" t="s">
        <v>1506</v>
      </c>
      <c r="AC73" s="325" t="s">
        <v>509</v>
      </c>
      <c r="AD73" s="237"/>
      <c r="AE73" s="235"/>
      <c r="AF73" s="235"/>
      <c r="AG73" s="235"/>
      <c r="AH73" s="235"/>
      <c r="AI73" s="235"/>
      <c r="AJ73" s="304">
        <f>+Y75</f>
        <v>300000000</v>
      </c>
    </row>
    <row r="74" spans="1:36">
      <c r="A74" s="21"/>
      <c r="B74" s="21"/>
      <c r="C74" s="21">
        <v>29</v>
      </c>
      <c r="D74" s="21" t="s">
        <v>480</v>
      </c>
      <c r="E74" s="39"/>
      <c r="F74" s="40"/>
      <c r="G74" s="40"/>
      <c r="H74" s="40">
        <v>0</v>
      </c>
      <c r="L74" s="331">
        <v>23</v>
      </c>
      <c r="M74" s="324" t="s">
        <v>615</v>
      </c>
      <c r="N74" s="314">
        <v>1</v>
      </c>
      <c r="O74" s="315" t="s">
        <v>508</v>
      </c>
      <c r="P74" s="309">
        <v>1</v>
      </c>
      <c r="Q74" s="234" t="s">
        <v>1474</v>
      </c>
      <c r="R74" s="325" t="s">
        <v>508</v>
      </c>
      <c r="S74" s="237"/>
      <c r="T74" s="235"/>
      <c r="U74" s="235"/>
      <c r="V74" s="310">
        <f>+GETPIVOTDATA("PPEF 2011 ",$A71,"No. Ramo",$L74,"IPP",$M74,"PP",$N74,"Programa Presupuestario (PP)",$O74)*$P74</f>
        <v>10000000000</v>
      </c>
      <c r="W74" s="310">
        <f>+GETPIVOTDATA("Reducción ",$A71,"No. Ramo",$L74,"IPP",$M74,"PP",$N74,"Programa Presupuestario (PP)",$O74)*$P74</f>
        <v>0</v>
      </c>
      <c r="X74" s="310">
        <f>+GETPIVOTDATA("Ampliación ",$A71,"No. Ramo",$L74,"IPP",$M74,"PP",$N74,"Programa Presupuestario (PP)",$O74)*$P74</f>
        <v>0</v>
      </c>
      <c r="Y74" s="310">
        <f>+GETPIVOTDATA("PEF 2011 ",$A71,"No. Ramo",$L74,"IPP",$M74,"PP",$N74,"Programa Presupuestario (PP)",$O74)*$P74</f>
        <v>10000000000</v>
      </c>
      <c r="AB74" s="238" t="s">
        <v>1353</v>
      </c>
      <c r="AC74" s="332"/>
      <c r="AD74" s="301"/>
      <c r="AE74" s="301"/>
      <c r="AF74" s="301"/>
      <c r="AG74" s="301"/>
      <c r="AH74" s="301"/>
      <c r="AI74" s="301"/>
      <c r="AJ74" s="298">
        <f>+AJ75</f>
        <v>120000000</v>
      </c>
    </row>
    <row r="75" spans="1:36">
      <c r="A75" s="21"/>
      <c r="B75" s="21"/>
      <c r="C75" s="21">
        <v>43</v>
      </c>
      <c r="D75" s="21" t="s">
        <v>485</v>
      </c>
      <c r="E75" s="39">
        <v>3463064</v>
      </c>
      <c r="F75" s="40"/>
      <c r="G75" s="40"/>
      <c r="H75" s="40">
        <v>3463064</v>
      </c>
      <c r="L75" s="331">
        <v>23</v>
      </c>
      <c r="M75" s="324" t="s">
        <v>615</v>
      </c>
      <c r="N75" s="314">
        <v>2</v>
      </c>
      <c r="O75" s="315" t="s">
        <v>509</v>
      </c>
      <c r="P75" s="309">
        <v>1</v>
      </c>
      <c r="Q75" s="234" t="s">
        <v>1506</v>
      </c>
      <c r="R75" s="325" t="s">
        <v>509</v>
      </c>
      <c r="S75" s="237"/>
      <c r="T75" s="235"/>
      <c r="U75" s="235"/>
      <c r="V75" s="310">
        <f>+GETPIVOTDATA("PPEF 2011 ",$A72,"No. Ramo",$L75,"IPP",$M75,"PP",$N75,"Programa Presupuestario (PP)",$O75)*$P75</f>
        <v>300000000</v>
      </c>
      <c r="W75" s="310">
        <f>+GETPIVOTDATA("Reducción ",$A72,"No. Ramo",$L75,"IPP",$M75,"PP",$N75,"Programa Presupuestario (PP)",$O75)*$P75</f>
        <v>0</v>
      </c>
      <c r="X75" s="310">
        <f>+GETPIVOTDATA("Ampliación ",$A72,"No. Ramo",$L75,"IPP",$M75,"PP",$N75,"Programa Presupuestario (PP)",$O75)*$P75</f>
        <v>0</v>
      </c>
      <c r="Y75" s="310">
        <f>+GETPIVOTDATA("PEF 2011 ",$A72,"No. Ramo",$L75,"IPP",$M75,"PP",$N75,"Programa Presupuestario (PP)",$O75)*$P75</f>
        <v>300000000</v>
      </c>
      <c r="AB75" s="317" t="s">
        <v>1507</v>
      </c>
      <c r="AC75" s="325" t="s">
        <v>468</v>
      </c>
      <c r="AD75" s="237"/>
      <c r="AE75" s="235"/>
      <c r="AF75" s="235"/>
      <c r="AG75" s="235"/>
      <c r="AH75" s="235"/>
      <c r="AI75" s="235"/>
      <c r="AJ75" s="304">
        <f>+Y77</f>
        <v>120000000</v>
      </c>
    </row>
    <row r="76" spans="1:36">
      <c r="A76" s="249" t="s">
        <v>635</v>
      </c>
      <c r="B76" s="249"/>
      <c r="C76" s="249"/>
      <c r="D76" s="249"/>
      <c r="E76" s="39">
        <v>90731247766</v>
      </c>
      <c r="F76" s="40">
        <v>689024273</v>
      </c>
      <c r="G76" s="40">
        <v>4448200000</v>
      </c>
      <c r="H76" s="40">
        <v>94490423493</v>
      </c>
      <c r="L76" s="320"/>
      <c r="M76" s="313"/>
      <c r="N76" s="314"/>
      <c r="O76" s="315"/>
      <c r="P76" s="316"/>
      <c r="Q76" s="238" t="s">
        <v>1353</v>
      </c>
      <c r="R76" s="332"/>
      <c r="S76" s="301"/>
      <c r="T76" s="301"/>
      <c r="U76" s="301"/>
      <c r="V76" s="299">
        <f>+V77</f>
        <v>120000000</v>
      </c>
      <c r="W76" s="299">
        <f>+W77</f>
        <v>0</v>
      </c>
      <c r="X76" s="299">
        <f>+X77</f>
        <v>0</v>
      </c>
      <c r="Y76" s="299">
        <f>+Y77</f>
        <v>120000000</v>
      </c>
      <c r="AB76" s="234"/>
      <c r="AC76" s="319" t="s">
        <v>1508</v>
      </c>
      <c r="AD76" s="237"/>
      <c r="AE76" s="235"/>
      <c r="AF76" s="235"/>
      <c r="AG76" s="235"/>
      <c r="AH76" s="235"/>
      <c r="AI76" s="235"/>
      <c r="AJ76" s="304">
        <f>+Y78</f>
        <v>60000000</v>
      </c>
    </row>
    <row r="77" spans="1:36">
      <c r="A77" s="21"/>
      <c r="B77" s="21"/>
      <c r="C77" s="21"/>
      <c r="D77" s="21"/>
      <c r="E77" s="21"/>
      <c r="G77" s="21"/>
      <c r="L77" s="312">
        <v>38</v>
      </c>
      <c r="M77" s="313" t="s">
        <v>619</v>
      </c>
      <c r="N77" s="314">
        <v>192</v>
      </c>
      <c r="O77" s="315" t="s">
        <v>468</v>
      </c>
      <c r="P77" s="309">
        <v>0.2</v>
      </c>
      <c r="Q77" s="234" t="s">
        <v>1507</v>
      </c>
      <c r="R77" s="325" t="s">
        <v>468</v>
      </c>
      <c r="S77" s="237"/>
      <c r="T77" s="235"/>
      <c r="U77" s="235"/>
      <c r="V77" s="310">
        <f>+GETPIVOTDATA("PPEF 2011 ",$A74,"No. Ramo",$L77,"IPP",$M77,"PP",$N77,"Programa Presupuestario (PP)",$O77)*$P77</f>
        <v>120000000</v>
      </c>
      <c r="W77" s="310">
        <f>+GETPIVOTDATA("Reducción ",$A74,"No. Ramo",$L77,"IPP",$M77,"PP",$N77,"Programa Presupuestario (PP)",$O77)*$P77</f>
        <v>0</v>
      </c>
      <c r="X77" s="310">
        <f>+GETPIVOTDATA("Ampliación ",$A74,"No. Ramo",$L77,"IPP",$M77,"PP",$N77,"Programa Presupuestario (PP)",$O77)*$P77</f>
        <v>0</v>
      </c>
      <c r="Y77" s="310">
        <f>+GETPIVOTDATA("PEF 2011 ",$A74,"No. Ramo",$L77,"IPP",$M77,"PP",$N77,"Programa Presupuestario (PP)",$O77)*$P77</f>
        <v>120000000</v>
      </c>
      <c r="AB77" s="234"/>
      <c r="AC77" s="303" t="s">
        <v>1509</v>
      </c>
      <c r="AD77" s="237"/>
      <c r="AE77" s="237"/>
      <c r="AF77" s="237"/>
      <c r="AG77" s="237"/>
      <c r="AH77" s="237"/>
      <c r="AI77" s="237"/>
      <c r="AJ77" s="304">
        <f>+Y79</f>
        <v>30000000</v>
      </c>
    </row>
    <row r="78" spans="1:36">
      <c r="A78" s="21"/>
      <c r="B78" s="21"/>
      <c r="C78" s="21"/>
      <c r="D78" s="21"/>
      <c r="E78" s="21"/>
      <c r="G78" s="21"/>
      <c r="L78" s="326"/>
      <c r="M78" s="313"/>
      <c r="N78" s="314"/>
      <c r="O78" s="315"/>
      <c r="P78" s="316"/>
      <c r="Q78" s="234">
        <v>0.5</v>
      </c>
      <c r="R78" s="319" t="s">
        <v>1508</v>
      </c>
      <c r="S78" s="237"/>
      <c r="T78" s="235"/>
      <c r="U78" s="235"/>
      <c r="V78" s="310">
        <f>+V$77*$Q78</f>
        <v>60000000</v>
      </c>
      <c r="W78" s="310">
        <f>+W$77*$Q78</f>
        <v>0</v>
      </c>
      <c r="X78" s="310">
        <f>+X$77*$Q78</f>
        <v>0</v>
      </c>
      <c r="Y78" s="310">
        <f>+Y$77*$Q78</f>
        <v>60000000</v>
      </c>
      <c r="AB78" s="234"/>
      <c r="AC78" s="319" t="s">
        <v>1510</v>
      </c>
      <c r="AD78" s="237"/>
      <c r="AE78" s="235"/>
      <c r="AF78" s="235"/>
      <c r="AG78" s="235"/>
      <c r="AH78" s="235"/>
      <c r="AI78" s="235"/>
      <c r="AJ78" s="304">
        <f>+Y80</f>
        <v>30000000</v>
      </c>
    </row>
    <row r="79" spans="1:36">
      <c r="A79" s="21"/>
      <c r="B79" s="21"/>
      <c r="C79" s="21"/>
      <c r="D79" s="21"/>
      <c r="E79" s="21"/>
      <c r="G79" s="21"/>
      <c r="L79" s="326"/>
      <c r="M79" s="313"/>
      <c r="N79" s="314"/>
      <c r="O79" s="315"/>
      <c r="P79" s="316"/>
      <c r="Q79" s="234">
        <v>0.25</v>
      </c>
      <c r="R79" s="303" t="s">
        <v>1509</v>
      </c>
      <c r="S79" s="237"/>
      <c r="T79" s="237"/>
      <c r="U79" s="237"/>
      <c r="V79" s="310">
        <f t="shared" ref="V79:Y80" si="15">+V$77*$Q79</f>
        <v>30000000</v>
      </c>
      <c r="W79" s="310">
        <f t="shared" si="15"/>
        <v>0</v>
      </c>
      <c r="X79" s="310">
        <f t="shared" si="15"/>
        <v>0</v>
      </c>
      <c r="Y79" s="310">
        <f t="shared" si="15"/>
        <v>30000000</v>
      </c>
      <c r="AB79" s="238" t="s">
        <v>1511</v>
      </c>
      <c r="AC79" s="328"/>
      <c r="AD79" s="301"/>
      <c r="AE79" s="239"/>
      <c r="AF79" s="239"/>
      <c r="AG79" s="239"/>
      <c r="AH79" s="239"/>
      <c r="AI79" s="239"/>
      <c r="AJ79" s="298">
        <f>+SUM(AJ80:AJ82)</f>
        <v>10304639759.00001</v>
      </c>
    </row>
    <row r="80" spans="1:36" ht="30" customHeight="1">
      <c r="A80" s="21"/>
      <c r="B80" s="21"/>
      <c r="C80" s="21"/>
      <c r="D80" s="21"/>
      <c r="E80" s="21"/>
      <c r="G80" s="21"/>
      <c r="L80" s="326"/>
      <c r="M80" s="313"/>
      <c r="N80" s="314"/>
      <c r="O80" s="315"/>
      <c r="P80" s="316"/>
      <c r="Q80" s="234">
        <v>0.25</v>
      </c>
      <c r="R80" s="319" t="s">
        <v>1510</v>
      </c>
      <c r="S80" s="237"/>
      <c r="T80" s="235"/>
      <c r="U80" s="235"/>
      <c r="V80" s="310">
        <f t="shared" si="15"/>
        <v>30000000</v>
      </c>
      <c r="W80" s="310">
        <f t="shared" si="15"/>
        <v>0</v>
      </c>
      <c r="X80" s="310">
        <f t="shared" si="15"/>
        <v>0</v>
      </c>
      <c r="Y80" s="310">
        <f t="shared" si="15"/>
        <v>30000000</v>
      </c>
      <c r="AB80" s="317" t="s">
        <v>1512</v>
      </c>
      <c r="AC80" s="412" t="s">
        <v>478</v>
      </c>
      <c r="AD80" s="412"/>
      <c r="AE80" s="412"/>
      <c r="AF80" s="412"/>
      <c r="AG80" s="412"/>
      <c r="AH80" s="412"/>
      <c r="AI80" s="413"/>
      <c r="AJ80" s="304">
        <f>+Y82</f>
        <v>127284242</v>
      </c>
    </row>
    <row r="81" spans="1:36">
      <c r="A81" s="21"/>
      <c r="B81" s="21"/>
      <c r="C81" s="21"/>
      <c r="D81" s="21"/>
      <c r="E81" s="21"/>
      <c r="G81" s="21"/>
      <c r="L81" s="326"/>
      <c r="M81" s="313"/>
      <c r="N81" s="314"/>
      <c r="O81" s="315"/>
      <c r="P81" s="316"/>
      <c r="Q81" s="238" t="s">
        <v>1511</v>
      </c>
      <c r="R81" s="328"/>
      <c r="S81" s="301"/>
      <c r="T81" s="239"/>
      <c r="U81" s="239"/>
      <c r="V81" s="299">
        <f>+SUM(V82:V84)</f>
        <v>10304639759.00001</v>
      </c>
      <c r="W81" s="299">
        <f>+SUM(W82:W84)</f>
        <v>0</v>
      </c>
      <c r="X81" s="299">
        <f>+SUM(X82:X84)</f>
        <v>0</v>
      </c>
      <c r="Y81" s="299">
        <f>+SUM(Y82:Y84)</f>
        <v>10304639759.00001</v>
      </c>
      <c r="AB81" s="317" t="s">
        <v>1513</v>
      </c>
      <c r="AC81" s="325" t="s">
        <v>479</v>
      </c>
      <c r="AD81" s="237"/>
      <c r="AE81" s="235"/>
      <c r="AF81" s="235"/>
      <c r="AG81" s="235"/>
      <c r="AH81" s="235"/>
      <c r="AI81" s="235"/>
      <c r="AJ81" s="304">
        <f>+Y83</f>
        <v>3059999489</v>
      </c>
    </row>
    <row r="82" spans="1:36">
      <c r="A82" s="21"/>
      <c r="B82" s="21"/>
      <c r="C82" s="21"/>
      <c r="D82" s="21"/>
      <c r="E82" s="21"/>
      <c r="G82" s="21"/>
      <c r="L82" s="331" t="s">
        <v>477</v>
      </c>
      <c r="M82" s="313" t="s">
        <v>613</v>
      </c>
      <c r="N82" s="314">
        <v>578</v>
      </c>
      <c r="O82" s="315" t="s">
        <v>478</v>
      </c>
      <c r="P82" s="309">
        <v>1</v>
      </c>
      <c r="Q82" s="234" t="s">
        <v>1512</v>
      </c>
      <c r="R82" s="237" t="s">
        <v>478</v>
      </c>
      <c r="S82" s="235"/>
      <c r="T82" s="235"/>
      <c r="U82" s="235"/>
      <c r="V82" s="310">
        <f>+GETPIVOTDATA("PPEF 2011 ",$A$4,"No. Ramo","TOQ","IPP","E","PP",578,"Programa Presupuestario (PP)","Apoyo al desarrollo sustentable de comunidades afectadas por la instalación de la infraestructura eléctrica")*$P82</f>
        <v>127284242</v>
      </c>
      <c r="W82" s="310">
        <f>+GETPIVOTDATA("Reducción ",$A$4,"No. Ramo","TOQ","IPP","E","PP",578,"Programa Presupuestario (PP)","Apoyo al desarrollo sustentable de comunidades afectadas por la instalación de la infraestructura eléctrica")*$P82</f>
        <v>0</v>
      </c>
      <c r="X82" s="310">
        <f>+GETPIVOTDATA("Ampliación ",$A$4,"No. Ramo","TOQ","IPP","E","PP",578,"Programa Presupuestario (PP)","Apoyo al desarrollo sustentable de comunidades afectadas por la instalación de la infraestructura eléctrica")*$P82</f>
        <v>0</v>
      </c>
      <c r="Y82" s="310">
        <f>+GETPIVOTDATA("PEF 2011 ",$A$4,"No. Ramo","TOQ","IPP","E","PP",578,"Programa Presupuestario (PP)","Apoyo al desarrollo sustentable de comunidades afectadas por la instalación de la infraestructura eléctrica")*$P82</f>
        <v>127284242</v>
      </c>
      <c r="AB82" s="317" t="s">
        <v>1514</v>
      </c>
      <c r="AC82" s="325" t="s">
        <v>481</v>
      </c>
      <c r="AD82" s="237"/>
      <c r="AE82" s="235"/>
      <c r="AF82" s="235"/>
      <c r="AG82" s="235"/>
      <c r="AH82" s="235"/>
      <c r="AI82" s="235"/>
      <c r="AJ82" s="304">
        <f>+Y84</f>
        <v>7117356028.0000095</v>
      </c>
    </row>
    <row r="83" spans="1:36">
      <c r="A83" s="21"/>
      <c r="B83" s="21"/>
      <c r="C83" s="21"/>
      <c r="D83" s="21"/>
      <c r="E83" s="21"/>
      <c r="G83" s="21"/>
      <c r="L83" s="331" t="s">
        <v>477</v>
      </c>
      <c r="M83" s="313" t="s">
        <v>4</v>
      </c>
      <c r="N83" s="314">
        <v>571</v>
      </c>
      <c r="O83" s="315" t="s">
        <v>479</v>
      </c>
      <c r="P83" s="309">
        <v>1</v>
      </c>
      <c r="Q83" s="234" t="s">
        <v>1513</v>
      </c>
      <c r="R83" s="325" t="s">
        <v>479</v>
      </c>
      <c r="S83" s="237"/>
      <c r="T83" s="235"/>
      <c r="U83" s="235"/>
      <c r="V83" s="310">
        <f>+GETPIVOTDATA("PPEF 2011 ",$A$4,"No. Ramo","TZZ","IPP","E","PP",12,"Programa Presupuestario (PP)","Actividades destinadas a la operación y mantenimiento de la infraestructura básica en ecología")*$P83</f>
        <v>3059999489</v>
      </c>
      <c r="W83" s="310">
        <f>+GETPIVOTDATA("Reducción ",$A$4,"No. Ramo","TZZ","IPP","E","PP",12,"Programa Presupuestario (PP)","Actividades destinadas a la operación y mantenimiento de la infraestructura básica en ecología")*$P83</f>
        <v>0</v>
      </c>
      <c r="X83" s="310">
        <f>+GETPIVOTDATA("Ampliación ",$A$4,"No. Ramo","TZZ","IPP","E","PP",12,"Programa Presupuestario (PP)","Actividades destinadas a la operación y mantenimiento de la infraestructura básica en ecología")*$P83</f>
        <v>0</v>
      </c>
      <c r="Y83" s="310">
        <f>+GETPIVOTDATA("PEF 2011 ",$A$4,"No. Ramo","TZZ","IPP","E","PP",12,"Programa Presupuestario (PP)","Actividades destinadas a la operación y mantenimiento de la infraestructura básica en ecología")*$P83</f>
        <v>3059999489</v>
      </c>
      <c r="AB83" s="238" t="s">
        <v>1515</v>
      </c>
      <c r="AC83" s="328"/>
      <c r="AD83" s="301"/>
      <c r="AE83" s="239"/>
      <c r="AF83" s="239"/>
      <c r="AG83" s="239"/>
      <c r="AH83" s="239"/>
      <c r="AI83" s="239"/>
      <c r="AJ83" s="298">
        <f>+SUM(AJ84:AJ90)</f>
        <v>12433576180</v>
      </c>
    </row>
    <row r="84" spans="1:36">
      <c r="A84" s="21"/>
      <c r="B84" s="21"/>
      <c r="C84" s="21"/>
      <c r="D84" s="21"/>
      <c r="E84" s="21"/>
      <c r="G84" s="21"/>
      <c r="L84" s="331" t="s">
        <v>477</v>
      </c>
      <c r="M84" s="313" t="s">
        <v>614</v>
      </c>
      <c r="N84" s="314">
        <v>44</v>
      </c>
      <c r="O84" s="315" t="s">
        <v>481</v>
      </c>
      <c r="P84" s="309">
        <v>0.38675150464744401</v>
      </c>
      <c r="Q84" s="234" t="s">
        <v>1514</v>
      </c>
      <c r="R84" s="325" t="s">
        <v>481</v>
      </c>
      <c r="S84" s="237"/>
      <c r="T84" s="235"/>
      <c r="U84" s="235"/>
      <c r="V84" s="310">
        <f>+GETPIVOTDATA("PPEF 2011 ",$A$4,"No. Ramo","TOQ","IPP","K","PP",44,"Programa Presupuestario (PP)","Proyectos de infraestructura económica de electricidad (Pidiregas)")*$P84</f>
        <v>7117356028.0000095</v>
      </c>
      <c r="W84" s="310">
        <f>+GETPIVOTDATA("Reducción ",$A$4,"No. Ramo","TOQ","IPP","K","PP",44,"Programa Presupuestario (PP)","Proyectos de infraestructura económica de electricidad (Pidiregas)")*$P84</f>
        <v>0</v>
      </c>
      <c r="X84" s="310">
        <f>+GETPIVOTDATA("Ampliación ",$A$4,"No. Ramo","TOQ","IPP","K","PP",44,"Programa Presupuestario (PP)","Proyectos de infraestructura económica de electricidad (Pidiregas)")*$P84</f>
        <v>0</v>
      </c>
      <c r="Y84" s="310">
        <f>+GETPIVOTDATA("PEF 2011 ",$A$4,"No. Ramo","TOQ","IPP","K","PP",44,"Programa Presupuestario (PP)","Proyectos de infraestructura económica de electricidad (Pidiregas)")*$P84</f>
        <v>7117356028.0000095</v>
      </c>
      <c r="AB84" s="317" t="s">
        <v>1516</v>
      </c>
      <c r="AC84" s="325" t="s">
        <v>483</v>
      </c>
      <c r="AD84" s="237"/>
      <c r="AE84" s="235"/>
      <c r="AF84" s="235"/>
      <c r="AG84" s="235"/>
      <c r="AH84" s="235"/>
      <c r="AI84" s="235"/>
      <c r="AJ84" s="304">
        <f t="shared" ref="AJ84:AJ89" si="16">+Y86</f>
        <v>3059999489</v>
      </c>
    </row>
    <row r="85" spans="1:36">
      <c r="A85" s="21"/>
      <c r="B85" s="21"/>
      <c r="C85" s="21"/>
      <c r="D85" s="21"/>
      <c r="E85" s="21"/>
      <c r="G85" s="21"/>
      <c r="L85" s="321"/>
      <c r="M85" s="313"/>
      <c r="N85" s="314"/>
      <c r="O85" s="315"/>
      <c r="P85" s="316"/>
      <c r="Q85" s="238" t="s">
        <v>1515</v>
      </c>
      <c r="R85" s="328"/>
      <c r="S85" s="301"/>
      <c r="T85" s="239"/>
      <c r="U85" s="239"/>
      <c r="V85" s="299">
        <f>+SUM(V86:V93)</f>
        <v>12433576180</v>
      </c>
      <c r="W85" s="299">
        <f>+SUM(W86:W93)</f>
        <v>0</v>
      </c>
      <c r="X85" s="299">
        <f>+SUM(X86:X93)</f>
        <v>0</v>
      </c>
      <c r="Y85" s="299">
        <f>+SUM(Y86:Y93)</f>
        <v>12433576180</v>
      </c>
      <c r="AB85" s="317" t="s">
        <v>1517</v>
      </c>
      <c r="AC85" s="325" t="s">
        <v>484</v>
      </c>
      <c r="AD85" s="237"/>
      <c r="AE85" s="235"/>
      <c r="AF85" s="235"/>
      <c r="AG85" s="235"/>
      <c r="AH85" s="235"/>
      <c r="AI85" s="235"/>
      <c r="AJ85" s="304">
        <f t="shared" si="16"/>
        <v>7918675589</v>
      </c>
    </row>
    <row r="86" spans="1:36">
      <c r="A86" s="21"/>
      <c r="B86" s="21"/>
      <c r="C86" s="21"/>
      <c r="D86" s="21"/>
      <c r="E86" s="21"/>
      <c r="G86" s="21"/>
      <c r="L86" s="331" t="s">
        <v>482</v>
      </c>
      <c r="M86" s="313" t="s">
        <v>613</v>
      </c>
      <c r="N86" s="314">
        <v>12</v>
      </c>
      <c r="O86" s="315" t="s">
        <v>483</v>
      </c>
      <c r="P86" s="309">
        <v>1</v>
      </c>
      <c r="Q86" s="234" t="s">
        <v>1516</v>
      </c>
      <c r="R86" s="325" t="s">
        <v>483</v>
      </c>
      <c r="S86" s="237"/>
      <c r="T86" s="235"/>
      <c r="U86" s="235"/>
      <c r="V86" s="310">
        <f>+GETPIVOTDATA("PPEF 2011 ",$A$4,"No. Ramo","TZZ","IPP","E","PP",12,"Programa Presupuestario (PP)","Actividades destinadas a la operación y mantenimiento de la infraestructura básica en ecología")*$P86</f>
        <v>3059999489</v>
      </c>
      <c r="W86" s="310">
        <f>+GETPIVOTDATA("Reducción ",$A$4,"No. Ramo","TZZ","IPP","E","PP",12,"Programa Presupuestario (PP)","Actividades destinadas a la operación y mantenimiento de la infraestructura básica en ecología")*$P86</f>
        <v>0</v>
      </c>
      <c r="X86" s="310">
        <f>+GETPIVOTDATA("Ampliación ",$A$4,"No. Ramo","TZZ","IPP","E","PP",12,"Programa Presupuestario (PP)","Actividades destinadas a la operación y mantenimiento de la infraestructura básica en ecología")*$P86</f>
        <v>0</v>
      </c>
      <c r="Y86" s="310">
        <f>+GETPIVOTDATA("PEF 2011 ",$A$4,"No. Ramo","TZZ","IPP","E","PP",12,"Programa Presupuestario (PP)","Actividades destinadas a la operación y mantenimiento de la infraestructura básica en ecología")*$P86</f>
        <v>3059999489</v>
      </c>
      <c r="AB86" s="317" t="s">
        <v>1013</v>
      </c>
      <c r="AC86" s="325" t="s">
        <v>69</v>
      </c>
      <c r="AD86" s="237"/>
      <c r="AE86" s="235"/>
      <c r="AF86" s="235"/>
      <c r="AG86" s="235"/>
      <c r="AH86" s="235"/>
      <c r="AI86" s="235"/>
      <c r="AJ86" s="304">
        <f t="shared" si="16"/>
        <v>317581</v>
      </c>
    </row>
    <row r="87" spans="1:36">
      <c r="A87" s="21"/>
      <c r="B87" s="21"/>
      <c r="C87" s="21"/>
      <c r="D87" s="21"/>
      <c r="E87" s="21"/>
      <c r="G87" s="21"/>
      <c r="L87" s="331" t="s">
        <v>482</v>
      </c>
      <c r="M87" s="324" t="s">
        <v>614</v>
      </c>
      <c r="N87" s="314">
        <v>2</v>
      </c>
      <c r="O87" s="315" t="s">
        <v>484</v>
      </c>
      <c r="P87" s="309">
        <v>1</v>
      </c>
      <c r="Q87" s="234" t="s">
        <v>1517</v>
      </c>
      <c r="R87" s="325" t="s">
        <v>484</v>
      </c>
      <c r="S87" s="237"/>
      <c r="T87" s="235"/>
      <c r="U87" s="235"/>
      <c r="V87" s="310">
        <f>+GETPIVOTDATA("PPEF 2011 ",$A$4,"No. Ramo","TZZ","IPP","K","PP",2,"Programa Presupuestario (PP)","Proyectos de infraestructura económica de hidrocarburos")*$P87</f>
        <v>7918675589</v>
      </c>
      <c r="W87" s="310">
        <f>+GETPIVOTDATA("Reducción ",$A$4,"No. Ramo","TZZ","IPP","K","PP",2,"Programa Presupuestario (PP)","Proyectos de infraestructura económica de hidrocarburos")*$P87</f>
        <v>0</v>
      </c>
      <c r="X87" s="310">
        <f>+GETPIVOTDATA("Ampliación ",$A$4,"No. Ramo","TZZ","IPP","K","PP",2,"Programa Presupuestario (PP)","Proyectos de infraestructura económica de hidrocarburos")*$P87</f>
        <v>0</v>
      </c>
      <c r="Y87" s="310">
        <f>+GETPIVOTDATA("PEF 2011 ",$A$4,"No. Ramo","TZZ","IPP","K","PP",2,"Programa Presupuestario (PP)","Proyectos de infraestructura económica de hidrocarburos")*$P87</f>
        <v>7918675589</v>
      </c>
      <c r="AB87" s="317" t="s">
        <v>800</v>
      </c>
      <c r="AC87" s="325" t="s">
        <v>126</v>
      </c>
      <c r="AD87" s="237"/>
      <c r="AE87" s="235"/>
      <c r="AF87" s="235"/>
      <c r="AG87" s="235"/>
      <c r="AH87" s="235"/>
      <c r="AI87" s="235"/>
      <c r="AJ87" s="304">
        <f t="shared" si="16"/>
        <v>23158586</v>
      </c>
    </row>
    <row r="88" spans="1:36">
      <c r="A88" s="21"/>
      <c r="B88" s="21"/>
      <c r="C88" s="21"/>
      <c r="D88" s="21"/>
      <c r="E88" s="21"/>
      <c r="G88" s="21"/>
      <c r="L88" s="331" t="s">
        <v>482</v>
      </c>
      <c r="M88" s="324" t="s">
        <v>614</v>
      </c>
      <c r="N88" s="314">
        <v>14</v>
      </c>
      <c r="O88" s="315" t="s">
        <v>69</v>
      </c>
      <c r="P88" s="309">
        <v>1</v>
      </c>
      <c r="Q88" s="234" t="s">
        <v>1013</v>
      </c>
      <c r="R88" s="325" t="s">
        <v>69</v>
      </c>
      <c r="S88" s="237"/>
      <c r="T88" s="235"/>
      <c r="U88" s="235"/>
      <c r="V88" s="310">
        <f>+GETPIVOTDATA("PPEF 2011 ",$A$4,"No. Ramo","TZZ","IPP","K","PP",14,"Programa Presupuestario (PP)","Otros proyectos de infraestructura social")*$P88</f>
        <v>317581</v>
      </c>
      <c r="W88" s="310">
        <f>+GETPIVOTDATA("Reducción ",$A$4,"No. Ramo","TZZ","IPP","K","PP",14,"Programa Presupuestario (PP)","Otros proyectos de infraestructura social")*$P88</f>
        <v>0</v>
      </c>
      <c r="X88" s="310">
        <f>+GETPIVOTDATA("Ampliación ",$A$4,"No. Ramo","TZZ","IPP","K","PP",14,"Programa Presupuestario (PP)","Otros proyectos de infraestructura social")*$P88</f>
        <v>0</v>
      </c>
      <c r="Y88" s="310">
        <f>+GETPIVOTDATA("PEF 2011 ",$A$4,"No. Ramo","TZZ","IPP","K","PP",14,"Programa Presupuestario (PP)","Otros proyectos de infraestructura social")*$P88</f>
        <v>317581</v>
      </c>
      <c r="AB88" s="317" t="s">
        <v>1014</v>
      </c>
      <c r="AC88" s="325" t="s">
        <v>70</v>
      </c>
      <c r="AD88" s="237"/>
      <c r="AE88" s="235"/>
      <c r="AF88" s="235"/>
      <c r="AG88" s="235"/>
      <c r="AH88" s="235"/>
      <c r="AI88" s="235"/>
      <c r="AJ88" s="304">
        <f t="shared" si="16"/>
        <v>142256432</v>
      </c>
    </row>
    <row r="89" spans="1:36">
      <c r="A89" s="21"/>
      <c r="B89" s="21"/>
      <c r="C89" s="21"/>
      <c r="D89" s="21"/>
      <c r="E89" s="21"/>
      <c r="G89" s="21"/>
      <c r="L89" s="331" t="s">
        <v>482</v>
      </c>
      <c r="M89" s="324" t="s">
        <v>614</v>
      </c>
      <c r="N89" s="314">
        <v>26</v>
      </c>
      <c r="O89" s="315" t="s">
        <v>126</v>
      </c>
      <c r="P89" s="309">
        <v>1</v>
      </c>
      <c r="Q89" s="234" t="s">
        <v>800</v>
      </c>
      <c r="R89" s="325" t="s">
        <v>126</v>
      </c>
      <c r="S89" s="237"/>
      <c r="T89" s="235"/>
      <c r="U89" s="235"/>
      <c r="V89" s="310">
        <f>+GETPIVOTDATA("PPEF 2011 ",$A$4,"No. Ramo","TZZ","IPP","K","PP",26,"Programa Presupuestario (PP)","Otros proyectos")*$P89</f>
        <v>23158586</v>
      </c>
      <c r="W89" s="310">
        <f>+GETPIVOTDATA("Reducción ",$A$4,"No. Ramo","TZZ","IPP","K","PP",26,"Programa Presupuestario (PP)","Otros proyectos")*$P89</f>
        <v>0</v>
      </c>
      <c r="X89" s="310">
        <f>+GETPIVOTDATA("Ampliación ",$A$4,"No. Ramo","TZZ","IPP","K","PP",26,"Programa Presupuestario (PP)","Otros proyectos")*$P89</f>
        <v>0</v>
      </c>
      <c r="Y89" s="310">
        <f>+GETPIVOTDATA("PEF 2011 ",$A$4,"No. Ramo","TZZ","IPP","K","PP",26,"Programa Presupuestario (PP)","Otros proyectos")*$P89</f>
        <v>23158586</v>
      </c>
      <c r="AB89" s="317" t="s">
        <v>1015</v>
      </c>
      <c r="AC89" s="325" t="s">
        <v>71</v>
      </c>
      <c r="AD89" s="237"/>
      <c r="AE89" s="235"/>
      <c r="AF89" s="235"/>
      <c r="AG89" s="235"/>
      <c r="AH89" s="235"/>
      <c r="AI89" s="235"/>
      <c r="AJ89" s="304">
        <f t="shared" si="16"/>
        <v>1285705439</v>
      </c>
    </row>
    <row r="90" spans="1:36">
      <c r="A90" s="21"/>
      <c r="B90" s="21"/>
      <c r="C90" s="21"/>
      <c r="D90" s="21"/>
      <c r="E90" s="21"/>
      <c r="G90" s="21"/>
      <c r="L90" s="331" t="s">
        <v>482</v>
      </c>
      <c r="M90" s="324" t="s">
        <v>614</v>
      </c>
      <c r="N90" s="314">
        <v>27</v>
      </c>
      <c r="O90" s="315" t="s">
        <v>70</v>
      </c>
      <c r="P90" s="309">
        <v>1</v>
      </c>
      <c r="Q90" s="234" t="s">
        <v>1014</v>
      </c>
      <c r="R90" s="325" t="s">
        <v>70</v>
      </c>
      <c r="S90" s="237"/>
      <c r="T90" s="235"/>
      <c r="U90" s="235"/>
      <c r="V90" s="310">
        <f>+GETPIVOTDATA("PPEF 2011 ",$A$4,"No. Ramo","TZZ","IPP","K","PP",27,"Programa Presupuestario (PP)","Mantenimiento de Infraestructura")*$P90</f>
        <v>142256432</v>
      </c>
      <c r="W90" s="310">
        <f>+GETPIVOTDATA("Reducción ",$A$4,"No. Ramo","TZZ","IPP","K","PP",27,"Programa Presupuestario (PP)","Mantenimiento de Infraestructura")*$P90</f>
        <v>0</v>
      </c>
      <c r="X90" s="310">
        <f>+GETPIVOTDATA("Ampliación ",$A$4,"No. Ramo","TZZ","IPP","K","PP",27,"Programa Presupuestario (PP)","Mantenimiento de Infraestructura")*$P90</f>
        <v>0</v>
      </c>
      <c r="Y90" s="310">
        <f>+GETPIVOTDATA("PEF 2011 ",$A$4,"No. Ramo","TZZ","IPP","K","PP",27,"Programa Presupuestario (PP)","Mantenimiento de Infraestructura")*$P90</f>
        <v>142256432</v>
      </c>
      <c r="AB90" s="317" t="s">
        <v>1519</v>
      </c>
      <c r="AC90" s="325" t="s">
        <v>485</v>
      </c>
      <c r="AD90" s="237"/>
      <c r="AE90" s="235"/>
      <c r="AF90" s="235"/>
      <c r="AG90" s="235"/>
      <c r="AH90" s="235"/>
      <c r="AI90" s="235"/>
      <c r="AJ90" s="304">
        <f>+Y93</f>
        <v>3463064</v>
      </c>
    </row>
    <row r="91" spans="1:36">
      <c r="A91" s="21"/>
      <c r="B91" s="21"/>
      <c r="C91" s="21"/>
      <c r="D91" s="21"/>
      <c r="E91" s="21"/>
      <c r="G91" s="21"/>
      <c r="L91" s="331" t="s">
        <v>482</v>
      </c>
      <c r="M91" s="324" t="s">
        <v>614</v>
      </c>
      <c r="N91" s="314">
        <v>28</v>
      </c>
      <c r="O91" s="315" t="s">
        <v>71</v>
      </c>
      <c r="P91" s="309">
        <v>1</v>
      </c>
      <c r="Q91" s="234" t="s">
        <v>1015</v>
      </c>
      <c r="R91" s="325" t="s">
        <v>71</v>
      </c>
      <c r="S91" s="237"/>
      <c r="T91" s="235"/>
      <c r="U91" s="235"/>
      <c r="V91" s="310">
        <f>+GETPIVOTDATA("PPEF 2011 ",$A$4,"No. Ramo","TZZ","IPP","K","PP",28,"Programa Presupuestario (PP)","Estudios de preinversión")*$P91</f>
        <v>1285705439</v>
      </c>
      <c r="W91" s="310">
        <f>+GETPIVOTDATA("Reducción ",$A$4,"No. Ramo","TZZ","IPP","K","PP",28,"Programa Presupuestario (PP)","Estudios de preinversión")*$P91</f>
        <v>0</v>
      </c>
      <c r="X91" s="310">
        <f>+GETPIVOTDATA("Ampliación ",$A$4,"No. Ramo","TZZ","IPP","K","PP",28,"Programa Presupuestario (PP)","Estudios de preinversión")*$P91</f>
        <v>0</v>
      </c>
      <c r="Y91" s="310">
        <f>+GETPIVOTDATA("PEF 2011 ",$A$4,"No. Ramo","TZZ","IPP","K","PP",28,"Programa Presupuestario (PP)","Estudios de preinversión")*$P91</f>
        <v>1285705439</v>
      </c>
    </row>
    <row r="92" spans="1:36">
      <c r="A92" s="21"/>
      <c r="B92" s="21"/>
      <c r="C92" s="21"/>
      <c r="D92" s="21"/>
      <c r="E92" s="21"/>
      <c r="G92" s="21"/>
      <c r="L92" s="331" t="s">
        <v>482</v>
      </c>
      <c r="M92" s="324" t="s">
        <v>614</v>
      </c>
      <c r="N92" s="314">
        <v>29</v>
      </c>
      <c r="O92" s="315" t="s">
        <v>480</v>
      </c>
      <c r="P92" s="309">
        <v>1</v>
      </c>
      <c r="Q92" s="234" t="s">
        <v>1518</v>
      </c>
      <c r="R92" s="325" t="s">
        <v>480</v>
      </c>
      <c r="S92" s="237"/>
      <c r="T92" s="235"/>
      <c r="U92" s="235"/>
      <c r="V92" s="310">
        <f>+GETPIVOTDATA("PPEF 2011 ",$A$4,"No. Ramo","TZZ","IPP","K","PP",29,"Programa Presupuestario (PP)","Programas de adquisiciones")*$P92</f>
        <v>0</v>
      </c>
      <c r="W92" s="310">
        <f>+GETPIVOTDATA("Reducción ",$A$4,"No. Ramo","TZZ","IPP","K","PP",29,"Programa Presupuestario (PP)","Programas de adquisiciones")*$P92</f>
        <v>0</v>
      </c>
      <c r="X92" s="310">
        <f>+GETPIVOTDATA("Ampliación ",$A$4,"No. Ramo","TZZ","IPP","K","PP",29,"Programa Presupuestario (PP)","Programas de adquisiciones")*$P92</f>
        <v>0</v>
      </c>
      <c r="Y92" s="310">
        <f>+GETPIVOTDATA("PEF 2011 ",$A$4,"No. Ramo","TZZ","IPP","K","PP",29,"Programa Presupuestario (PP)","Programas de adquisiciones")*$P92</f>
        <v>0</v>
      </c>
    </row>
    <row r="93" spans="1:36">
      <c r="A93" s="21"/>
      <c r="B93" s="21"/>
      <c r="C93" s="21"/>
      <c r="D93" s="21"/>
      <c r="E93" s="21"/>
      <c r="G93" s="21"/>
      <c r="L93" s="331" t="s">
        <v>482</v>
      </c>
      <c r="M93" s="324" t="s">
        <v>614</v>
      </c>
      <c r="N93" s="314">
        <v>43</v>
      </c>
      <c r="O93" s="315" t="s">
        <v>485</v>
      </c>
      <c r="P93" s="309">
        <v>1</v>
      </c>
      <c r="Q93" s="234" t="s">
        <v>1519</v>
      </c>
      <c r="R93" s="325" t="s">
        <v>485</v>
      </c>
      <c r="S93" s="237"/>
      <c r="T93" s="235"/>
      <c r="U93" s="235"/>
      <c r="V93" s="310">
        <f>+GETPIVOTDATA("PPEF 2011 ",$A$4,"No. Ramo","TZZ","IPP","K","PP",43,"Programa Presupuestario (PP)","Otros programas de inversión")*$P93</f>
        <v>3463064</v>
      </c>
      <c r="W93" s="310">
        <f>+GETPIVOTDATA("Reducción ",$A$4,"No. Ramo","TZZ","IPP","K","PP",43,"Programa Presupuestario (PP)","Otros programas de inversión")*$P93</f>
        <v>0</v>
      </c>
      <c r="X93" s="310">
        <f>+GETPIVOTDATA("Ampliación ",$A$4,"No. Ramo","TZZ","IPP","K","PP",43,"Programa Presupuestario (PP)","Otros programas de inversión")*$P93</f>
        <v>0</v>
      </c>
      <c r="Y93" s="310">
        <f>+GETPIVOTDATA("PEF 2011 ",$A$4,"No. Ramo","TZZ","IPP","K","PP",43,"Programa Presupuestario (PP)","Otros programas de inversión")*$P93</f>
        <v>3463064</v>
      </c>
    </row>
    <row r="94" spans="1:36">
      <c r="A94" s="21"/>
      <c r="B94" s="21"/>
      <c r="C94" s="21"/>
      <c r="D94" s="21"/>
      <c r="E94" s="21"/>
      <c r="G94" s="21"/>
    </row>
    <row r="95" spans="1:36">
      <c r="A95" s="21"/>
      <c r="B95" s="21"/>
      <c r="C95" s="21"/>
      <c r="D95" s="21"/>
      <c r="E95" s="21"/>
      <c r="G95" s="21"/>
    </row>
    <row r="96" spans="1:36">
      <c r="A96" s="21"/>
      <c r="B96" s="21"/>
      <c r="C96" s="21"/>
      <c r="D96" s="21"/>
      <c r="E96" s="21"/>
      <c r="G96" s="21"/>
    </row>
    <row r="97" spans="1:7">
      <c r="A97" s="21"/>
      <c r="B97" s="21"/>
      <c r="C97" s="21"/>
      <c r="D97" s="21"/>
      <c r="E97" s="21"/>
      <c r="G97" s="21"/>
    </row>
    <row r="98" spans="1:7">
      <c r="A98" s="21"/>
      <c r="B98" s="21"/>
      <c r="C98" s="21"/>
      <c r="D98" s="21"/>
      <c r="E98" s="21"/>
      <c r="G98" s="21"/>
    </row>
    <row r="99" spans="1:7">
      <c r="A99" s="21"/>
      <c r="B99" s="21"/>
      <c r="C99" s="21"/>
      <c r="D99" s="21"/>
      <c r="E99" s="21"/>
      <c r="G99" s="21"/>
    </row>
    <row r="100" spans="1:7">
      <c r="A100" s="21"/>
      <c r="B100" s="21"/>
      <c r="C100" s="21"/>
      <c r="D100" s="21"/>
      <c r="E100" s="21"/>
      <c r="G100" s="21"/>
    </row>
    <row r="101" spans="1:7">
      <c r="A101" s="21"/>
      <c r="B101" s="21"/>
      <c r="C101" s="21"/>
      <c r="D101" s="21"/>
      <c r="E101" s="21"/>
      <c r="G101" s="21"/>
    </row>
    <row r="102" spans="1:7">
      <c r="A102" s="21"/>
      <c r="B102" s="21"/>
      <c r="C102" s="21"/>
      <c r="D102" s="21"/>
      <c r="E102" s="21"/>
      <c r="G102" s="21"/>
    </row>
    <row r="103" spans="1:7">
      <c r="A103" s="21"/>
      <c r="B103" s="21"/>
      <c r="C103" s="21"/>
      <c r="D103" s="21"/>
      <c r="E103" s="21"/>
      <c r="G103" s="21"/>
    </row>
    <row r="104" spans="1:7">
      <c r="A104" s="21"/>
      <c r="B104" s="21"/>
      <c r="C104" s="21"/>
      <c r="D104" s="21"/>
      <c r="E104" s="21"/>
      <c r="G104" s="21"/>
    </row>
    <row r="105" spans="1:7">
      <c r="A105" s="21"/>
      <c r="B105" s="21"/>
      <c r="C105" s="21"/>
      <c r="D105" s="21"/>
      <c r="E105" s="21"/>
      <c r="G105" s="21"/>
    </row>
    <row r="106" spans="1:7">
      <c r="A106" s="21"/>
      <c r="B106" s="21"/>
      <c r="C106" s="21"/>
      <c r="D106" s="21"/>
      <c r="E106" s="21"/>
      <c r="G106" s="21"/>
    </row>
    <row r="107" spans="1:7">
      <c r="A107" s="21"/>
      <c r="B107" s="21"/>
      <c r="C107" s="21"/>
      <c r="D107" s="21"/>
      <c r="E107" s="21"/>
      <c r="G107" s="21"/>
    </row>
    <row r="108" spans="1:7">
      <c r="A108" s="21"/>
      <c r="B108" s="21"/>
      <c r="C108" s="21"/>
      <c r="D108" s="21"/>
      <c r="E108" s="21"/>
      <c r="G108" s="21"/>
    </row>
    <row r="109" spans="1:7">
      <c r="A109" s="21"/>
      <c r="B109" s="21"/>
      <c r="C109" s="21"/>
      <c r="D109" s="21"/>
      <c r="E109" s="21"/>
      <c r="G109" s="21"/>
    </row>
    <row r="110" spans="1:7">
      <c r="A110" s="21"/>
      <c r="B110" s="21"/>
      <c r="C110" s="21"/>
      <c r="D110" s="21"/>
      <c r="E110" s="21"/>
      <c r="G110" s="21"/>
    </row>
    <row r="111" spans="1:7">
      <c r="A111" s="21"/>
      <c r="B111" s="21"/>
      <c r="C111" s="21"/>
      <c r="D111" s="21"/>
      <c r="E111" s="21"/>
      <c r="G111" s="21"/>
    </row>
    <row r="112" spans="1:7">
      <c r="A112" s="21"/>
      <c r="B112" s="21"/>
      <c r="C112" s="21"/>
      <c r="D112" s="21"/>
      <c r="E112" s="21"/>
      <c r="G112" s="21"/>
    </row>
    <row r="113" spans="1:7">
      <c r="A113" s="21"/>
      <c r="B113" s="21"/>
      <c r="C113" s="21"/>
      <c r="D113" s="21"/>
      <c r="E113" s="21"/>
      <c r="G113" s="21"/>
    </row>
    <row r="114" spans="1:7">
      <c r="A114" s="21"/>
      <c r="B114" s="21"/>
      <c r="C114" s="21"/>
      <c r="D114" s="21"/>
      <c r="E114" s="21"/>
      <c r="G114" s="21"/>
    </row>
    <row r="115" spans="1:7">
      <c r="A115" s="21"/>
      <c r="B115" s="21"/>
      <c r="C115" s="21"/>
      <c r="D115" s="21"/>
      <c r="E115" s="21"/>
      <c r="G115" s="21"/>
    </row>
    <row r="116" spans="1:7">
      <c r="A116" s="21"/>
      <c r="B116" s="21"/>
      <c r="C116" s="21"/>
      <c r="D116" s="21"/>
      <c r="E116" s="21"/>
      <c r="G116" s="21"/>
    </row>
    <row r="117" spans="1:7">
      <c r="A117" s="21"/>
      <c r="B117" s="21"/>
      <c r="C117" s="21"/>
      <c r="D117" s="21"/>
      <c r="E117" s="21"/>
      <c r="G117" s="21"/>
    </row>
    <row r="118" spans="1:7">
      <c r="A118" s="21"/>
      <c r="B118" s="21"/>
      <c r="C118" s="21"/>
      <c r="D118" s="21"/>
      <c r="E118" s="21"/>
      <c r="G118" s="21"/>
    </row>
    <row r="119" spans="1:7">
      <c r="A119" s="21"/>
      <c r="B119" s="21"/>
      <c r="C119" s="21"/>
      <c r="D119" s="21"/>
      <c r="E119" s="21"/>
      <c r="G119" s="21"/>
    </row>
    <row r="120" spans="1:7">
      <c r="A120" s="21"/>
      <c r="B120" s="21"/>
      <c r="C120" s="21"/>
      <c r="D120" s="21"/>
      <c r="E120" s="21"/>
      <c r="G120" s="21"/>
    </row>
    <row r="121" spans="1:7">
      <c r="A121" s="21"/>
      <c r="B121" s="21"/>
      <c r="C121" s="21"/>
      <c r="D121" s="21"/>
      <c r="E121" s="21"/>
      <c r="G121" s="21"/>
    </row>
    <row r="122" spans="1:7">
      <c r="A122" s="21"/>
      <c r="B122" s="21"/>
      <c r="C122" s="21"/>
      <c r="D122" s="21"/>
      <c r="E122" s="21"/>
      <c r="G122" s="21"/>
    </row>
    <row r="123" spans="1:7">
      <c r="A123" s="21"/>
      <c r="B123" s="21"/>
      <c r="C123" s="21"/>
      <c r="D123" s="21"/>
      <c r="E123" s="21"/>
      <c r="G123" s="21"/>
    </row>
    <row r="124" spans="1:7">
      <c r="A124" s="21"/>
      <c r="B124" s="21"/>
      <c r="C124" s="21"/>
      <c r="D124" s="21"/>
      <c r="E124" s="21"/>
      <c r="G124" s="21"/>
    </row>
    <row r="125" spans="1:7">
      <c r="A125" s="21"/>
      <c r="B125" s="21"/>
      <c r="C125" s="21"/>
      <c r="D125" s="21"/>
      <c r="E125" s="21"/>
      <c r="G125" s="21"/>
    </row>
    <row r="126" spans="1:7">
      <c r="A126" s="21"/>
      <c r="B126" s="21"/>
      <c r="C126" s="21"/>
      <c r="D126" s="21"/>
      <c r="E126" s="21"/>
      <c r="G126" s="21"/>
    </row>
    <row r="127" spans="1:7">
      <c r="A127" s="21"/>
      <c r="B127" s="21"/>
      <c r="C127" s="21"/>
      <c r="D127" s="21"/>
      <c r="E127" s="21"/>
      <c r="G127" s="21"/>
    </row>
    <row r="128" spans="1:7">
      <c r="A128" s="21"/>
      <c r="B128" s="21"/>
      <c r="C128" s="21"/>
      <c r="D128" s="21"/>
      <c r="E128" s="21"/>
      <c r="G128" s="21"/>
    </row>
    <row r="129" spans="1:7">
      <c r="A129" s="21"/>
      <c r="B129" s="21"/>
      <c r="C129" s="21"/>
      <c r="D129" s="21"/>
      <c r="E129" s="21"/>
      <c r="G129" s="21"/>
    </row>
    <row r="130" spans="1:7">
      <c r="A130" s="21"/>
      <c r="B130" s="21"/>
      <c r="C130" s="21"/>
      <c r="D130" s="21"/>
      <c r="E130" s="21"/>
      <c r="G130" s="21"/>
    </row>
    <row r="131" spans="1:7">
      <c r="A131" s="21"/>
      <c r="B131" s="21"/>
      <c r="C131" s="21"/>
      <c r="D131" s="21"/>
      <c r="E131" s="21"/>
      <c r="G131" s="21"/>
    </row>
    <row r="132" spans="1:7">
      <c r="A132" s="21"/>
      <c r="B132" s="21"/>
      <c r="C132" s="21"/>
      <c r="D132" s="21"/>
      <c r="E132" s="21"/>
      <c r="G132" s="21"/>
    </row>
    <row r="133" spans="1:7">
      <c r="A133" s="21"/>
      <c r="B133" s="21"/>
      <c r="C133" s="21"/>
      <c r="D133" s="21"/>
      <c r="E133" s="21"/>
      <c r="G133" s="21"/>
    </row>
    <row r="134" spans="1:7">
      <c r="A134" s="21"/>
      <c r="B134" s="21"/>
      <c r="C134" s="21"/>
      <c r="D134" s="21"/>
      <c r="E134" s="21"/>
      <c r="G134" s="21"/>
    </row>
    <row r="135" spans="1:7">
      <c r="A135" s="21"/>
      <c r="B135" s="21"/>
      <c r="C135" s="21"/>
      <c r="D135" s="21"/>
      <c r="E135" s="21"/>
      <c r="G135" s="21"/>
    </row>
    <row r="136" spans="1:7">
      <c r="A136" s="21"/>
      <c r="B136" s="21"/>
      <c r="C136" s="21"/>
      <c r="D136" s="21"/>
      <c r="E136" s="21"/>
      <c r="G136" s="21"/>
    </row>
    <row r="137" spans="1:7">
      <c r="A137" s="21"/>
      <c r="B137" s="21"/>
      <c r="C137" s="21"/>
      <c r="D137" s="21"/>
      <c r="E137" s="21"/>
      <c r="G137" s="21"/>
    </row>
    <row r="138" spans="1:7">
      <c r="A138" s="21"/>
      <c r="B138" s="21"/>
      <c r="C138" s="21"/>
      <c r="D138" s="21"/>
      <c r="E138" s="21"/>
      <c r="G138" s="21"/>
    </row>
    <row r="139" spans="1:7">
      <c r="A139" s="21"/>
      <c r="B139" s="21"/>
      <c r="C139" s="21"/>
      <c r="D139" s="21"/>
      <c r="E139" s="21"/>
      <c r="G139" s="21"/>
    </row>
    <row r="140" spans="1:7">
      <c r="A140" s="21"/>
      <c r="B140" s="21"/>
      <c r="C140" s="21"/>
      <c r="D140" s="21"/>
      <c r="E140" s="21"/>
      <c r="G140" s="21"/>
    </row>
    <row r="141" spans="1:7">
      <c r="A141" s="21"/>
      <c r="B141" s="21"/>
      <c r="C141" s="21"/>
      <c r="D141" s="21"/>
      <c r="E141" s="21"/>
      <c r="G141" s="21"/>
    </row>
    <row r="142" spans="1:7">
      <c r="A142" s="21"/>
      <c r="B142" s="21"/>
      <c r="C142" s="21"/>
      <c r="D142" s="21"/>
      <c r="E142" s="21"/>
      <c r="G142" s="21"/>
    </row>
    <row r="143" spans="1:7">
      <c r="A143" s="21"/>
      <c r="B143" s="21"/>
      <c r="C143" s="21"/>
      <c r="D143" s="21"/>
      <c r="E143" s="21"/>
      <c r="G143" s="21"/>
    </row>
    <row r="144" spans="1:7">
      <c r="A144" s="21"/>
      <c r="B144" s="21"/>
      <c r="C144" s="21"/>
      <c r="D144" s="21"/>
      <c r="E144" s="21"/>
      <c r="G144" s="21"/>
    </row>
    <row r="145" spans="1:7">
      <c r="A145" s="21"/>
      <c r="B145" s="21"/>
      <c r="C145" s="21"/>
      <c r="D145" s="21"/>
      <c r="E145" s="21"/>
      <c r="G145" s="21"/>
    </row>
    <row r="146" spans="1:7">
      <c r="A146" s="21"/>
      <c r="B146" s="21"/>
      <c r="C146" s="21"/>
      <c r="D146" s="21"/>
      <c r="E146" s="21"/>
      <c r="G146" s="21"/>
    </row>
    <row r="147" spans="1:7">
      <c r="A147" s="21"/>
      <c r="B147" s="21"/>
      <c r="C147" s="21"/>
      <c r="D147" s="21"/>
      <c r="E147" s="21"/>
      <c r="G147" s="21"/>
    </row>
    <row r="148" spans="1:7">
      <c r="A148" s="21"/>
      <c r="B148" s="21"/>
      <c r="C148" s="21"/>
      <c r="D148" s="21"/>
      <c r="E148" s="21"/>
      <c r="G148" s="21"/>
    </row>
    <row r="149" spans="1:7">
      <c r="A149" s="21"/>
      <c r="B149" s="21"/>
      <c r="C149" s="21"/>
      <c r="D149" s="21"/>
      <c r="E149" s="21"/>
      <c r="G149" s="21"/>
    </row>
    <row r="150" spans="1:7">
      <c r="A150" s="21"/>
      <c r="B150" s="21"/>
      <c r="C150" s="21"/>
      <c r="D150" s="21"/>
      <c r="E150" s="21"/>
      <c r="G150" s="21"/>
    </row>
    <row r="151" spans="1:7">
      <c r="A151" s="21"/>
      <c r="B151" s="21"/>
      <c r="C151" s="21"/>
      <c r="D151" s="21"/>
      <c r="E151" s="21"/>
      <c r="G151" s="21"/>
    </row>
    <row r="152" spans="1:7">
      <c r="A152" s="21"/>
      <c r="B152" s="21"/>
      <c r="C152" s="21"/>
      <c r="D152" s="21"/>
      <c r="E152" s="21"/>
      <c r="G152" s="21"/>
    </row>
    <row r="153" spans="1:7">
      <c r="A153" s="21"/>
      <c r="B153" s="21"/>
      <c r="C153" s="21"/>
      <c r="D153" s="21"/>
      <c r="E153" s="21"/>
      <c r="G153" s="21"/>
    </row>
    <row r="154" spans="1:7">
      <c r="A154" s="21"/>
      <c r="B154" s="21"/>
      <c r="C154" s="21"/>
      <c r="D154" s="21"/>
      <c r="E154" s="21"/>
      <c r="G154" s="21"/>
    </row>
    <row r="155" spans="1:7">
      <c r="A155" s="21"/>
      <c r="B155" s="21"/>
      <c r="C155" s="21"/>
      <c r="D155" s="21"/>
      <c r="E155" s="21"/>
      <c r="G155" s="21"/>
    </row>
    <row r="156" spans="1:7">
      <c r="A156" s="21"/>
      <c r="B156" s="21"/>
      <c r="C156" s="21"/>
      <c r="D156" s="21"/>
      <c r="E156" s="21"/>
      <c r="G156" s="21"/>
    </row>
    <row r="157" spans="1:7">
      <c r="A157" s="21"/>
      <c r="B157" s="21"/>
      <c r="C157" s="21"/>
      <c r="D157" s="21"/>
      <c r="E157" s="21"/>
      <c r="G157" s="21"/>
    </row>
    <row r="158" spans="1:7">
      <c r="A158" s="21"/>
      <c r="B158" s="21"/>
      <c r="C158" s="21"/>
      <c r="D158" s="21"/>
      <c r="E158" s="21"/>
      <c r="G158" s="21"/>
    </row>
    <row r="159" spans="1:7">
      <c r="A159" s="21"/>
      <c r="B159" s="21"/>
      <c r="C159" s="21"/>
      <c r="D159" s="21"/>
      <c r="E159" s="21"/>
      <c r="G159" s="21"/>
    </row>
    <row r="160" spans="1:7">
      <c r="A160" s="21"/>
      <c r="B160" s="21"/>
      <c r="C160" s="21"/>
      <c r="D160" s="21"/>
      <c r="E160" s="21"/>
      <c r="G160" s="21"/>
    </row>
    <row r="161" spans="1:7">
      <c r="A161" s="21"/>
      <c r="B161" s="21"/>
      <c r="C161" s="21"/>
      <c r="D161" s="21"/>
      <c r="E161" s="21"/>
      <c r="G161" s="21"/>
    </row>
    <row r="162" spans="1:7">
      <c r="A162" s="21"/>
      <c r="B162" s="21"/>
      <c r="C162" s="21"/>
      <c r="D162" s="21"/>
      <c r="E162" s="21"/>
      <c r="G162" s="21"/>
    </row>
    <row r="163" spans="1:7">
      <c r="A163" s="21"/>
      <c r="B163" s="21"/>
      <c r="C163" s="21"/>
      <c r="D163" s="21"/>
      <c r="E163" s="21"/>
      <c r="G163" s="21"/>
    </row>
    <row r="164" spans="1:7">
      <c r="A164" s="21"/>
      <c r="B164" s="21"/>
      <c r="C164" s="21"/>
      <c r="D164" s="21"/>
      <c r="E164" s="21"/>
      <c r="G164" s="21"/>
    </row>
    <row r="165" spans="1:7">
      <c r="A165" s="21"/>
      <c r="B165" s="21"/>
      <c r="C165" s="21"/>
      <c r="D165" s="21"/>
      <c r="E165" s="21"/>
      <c r="G165" s="21"/>
    </row>
    <row r="166" spans="1:7">
      <c r="A166" s="21"/>
      <c r="B166" s="21"/>
      <c r="C166" s="21"/>
      <c r="D166" s="21"/>
      <c r="E166" s="21"/>
      <c r="G166" s="21"/>
    </row>
    <row r="167" spans="1:7">
      <c r="A167" s="21"/>
      <c r="B167" s="21"/>
      <c r="C167" s="21"/>
      <c r="D167" s="21"/>
      <c r="E167" s="21"/>
      <c r="G167" s="21"/>
    </row>
    <row r="168" spans="1:7">
      <c r="A168" s="21"/>
      <c r="B168" s="21"/>
      <c r="C168" s="21"/>
      <c r="D168" s="21"/>
      <c r="E168" s="21"/>
      <c r="G168" s="21"/>
    </row>
    <row r="169" spans="1:7">
      <c r="A169" s="21"/>
      <c r="B169" s="21"/>
      <c r="C169" s="21"/>
      <c r="D169" s="21"/>
      <c r="E169" s="21"/>
      <c r="G169" s="21"/>
    </row>
    <row r="170" spans="1:7">
      <c r="A170" s="21"/>
      <c r="B170" s="21"/>
      <c r="C170" s="21"/>
      <c r="D170" s="21"/>
      <c r="E170" s="21"/>
      <c r="G170" s="21"/>
    </row>
    <row r="171" spans="1:7">
      <c r="A171" s="21"/>
      <c r="B171" s="21"/>
      <c r="C171" s="21"/>
      <c r="D171" s="21"/>
      <c r="E171" s="21"/>
      <c r="G171" s="21"/>
    </row>
    <row r="172" spans="1:7">
      <c r="A172" s="21"/>
      <c r="B172" s="21"/>
      <c r="C172" s="21"/>
      <c r="D172" s="21"/>
      <c r="E172" s="21"/>
      <c r="G172" s="21"/>
    </row>
    <row r="173" spans="1:7">
      <c r="A173" s="21"/>
      <c r="B173" s="21"/>
      <c r="C173" s="21"/>
      <c r="D173" s="21"/>
      <c r="E173" s="21"/>
      <c r="G173" s="21"/>
    </row>
    <row r="174" spans="1:7">
      <c r="A174" s="21"/>
      <c r="B174" s="21"/>
      <c r="C174" s="21"/>
      <c r="D174" s="21"/>
      <c r="E174" s="21"/>
      <c r="G174" s="21"/>
    </row>
    <row r="175" spans="1:7">
      <c r="A175" s="21"/>
      <c r="B175" s="21"/>
      <c r="C175" s="21"/>
      <c r="D175" s="21"/>
      <c r="E175" s="21"/>
      <c r="G175" s="21"/>
    </row>
    <row r="176" spans="1:7">
      <c r="A176" s="21"/>
      <c r="B176" s="21"/>
      <c r="C176" s="21"/>
      <c r="D176" s="21"/>
      <c r="E176" s="21"/>
      <c r="G176" s="21"/>
    </row>
    <row r="177" spans="1:7">
      <c r="A177" s="21"/>
      <c r="B177" s="21"/>
      <c r="C177" s="21"/>
      <c r="D177" s="21"/>
      <c r="E177" s="21"/>
      <c r="G177" s="21"/>
    </row>
    <row r="178" spans="1:7">
      <c r="A178" s="21"/>
      <c r="B178" s="21"/>
      <c r="C178" s="21"/>
      <c r="D178" s="21"/>
      <c r="E178" s="21"/>
      <c r="G178" s="21"/>
    </row>
    <row r="179" spans="1:7">
      <c r="A179" s="21"/>
      <c r="B179" s="21"/>
      <c r="C179" s="21"/>
      <c r="D179" s="21"/>
      <c r="E179" s="21"/>
      <c r="G179" s="21"/>
    </row>
    <row r="180" spans="1:7">
      <c r="A180" s="21"/>
      <c r="B180" s="21"/>
      <c r="C180" s="21"/>
      <c r="D180" s="21"/>
      <c r="E180" s="21"/>
      <c r="G180" s="21"/>
    </row>
    <row r="181" spans="1:7">
      <c r="A181" s="21"/>
      <c r="B181" s="21"/>
      <c r="C181" s="21"/>
      <c r="D181" s="21"/>
      <c r="E181" s="21"/>
      <c r="G181" s="21"/>
    </row>
    <row r="182" spans="1:7">
      <c r="A182" s="21"/>
      <c r="B182" s="21"/>
      <c r="C182" s="21"/>
      <c r="D182" s="21"/>
      <c r="E182" s="21"/>
      <c r="G182" s="21"/>
    </row>
    <row r="183" spans="1:7">
      <c r="A183" s="21"/>
      <c r="B183" s="21"/>
      <c r="C183" s="21"/>
      <c r="D183" s="21"/>
      <c r="E183" s="21"/>
      <c r="G183" s="21"/>
    </row>
    <row r="184" spans="1:7">
      <c r="A184" s="21"/>
      <c r="B184" s="21"/>
      <c r="C184" s="21"/>
      <c r="D184" s="21"/>
      <c r="E184" s="21"/>
      <c r="G184" s="21"/>
    </row>
    <row r="185" spans="1:7">
      <c r="A185" s="21"/>
      <c r="B185" s="21"/>
      <c r="C185" s="21"/>
      <c r="D185" s="21"/>
      <c r="E185" s="21"/>
      <c r="G185" s="21"/>
    </row>
    <row r="186" spans="1:7">
      <c r="A186" s="21"/>
      <c r="B186" s="21"/>
      <c r="C186" s="21"/>
      <c r="D186" s="21"/>
      <c r="E186" s="21"/>
      <c r="G186" s="21"/>
    </row>
    <row r="187" spans="1:7">
      <c r="A187" s="21"/>
      <c r="B187" s="21"/>
      <c r="C187" s="21"/>
      <c r="D187" s="21"/>
      <c r="E187" s="21"/>
      <c r="G187" s="21"/>
    </row>
    <row r="188" spans="1:7">
      <c r="A188" s="21"/>
      <c r="B188" s="21"/>
      <c r="C188" s="21"/>
      <c r="D188" s="21"/>
      <c r="E188" s="21"/>
      <c r="G188" s="21"/>
    </row>
    <row r="189" spans="1:7">
      <c r="A189" s="21"/>
      <c r="B189" s="21"/>
      <c r="C189" s="21"/>
      <c r="D189" s="21"/>
      <c r="E189" s="21"/>
      <c r="G189" s="21"/>
    </row>
    <row r="190" spans="1:7">
      <c r="A190" s="21"/>
      <c r="B190" s="21"/>
      <c r="C190" s="21"/>
      <c r="D190" s="21"/>
      <c r="E190" s="21"/>
      <c r="G190" s="21"/>
    </row>
    <row r="191" spans="1:7">
      <c r="A191" s="21"/>
      <c r="B191" s="21"/>
      <c r="C191" s="21"/>
      <c r="D191" s="21"/>
      <c r="E191" s="21"/>
      <c r="G191" s="21"/>
    </row>
    <row r="192" spans="1:7">
      <c r="A192" s="21"/>
      <c r="B192" s="21"/>
      <c r="C192" s="21"/>
      <c r="D192" s="21"/>
      <c r="E192" s="21"/>
      <c r="G192" s="21"/>
    </row>
    <row r="193" spans="1:7">
      <c r="A193" s="21"/>
      <c r="B193" s="21"/>
      <c r="C193" s="21"/>
      <c r="D193" s="21"/>
      <c r="E193" s="21"/>
      <c r="G193" s="21"/>
    </row>
    <row r="194" spans="1:7">
      <c r="A194" s="21"/>
      <c r="B194" s="21"/>
      <c r="C194" s="21"/>
      <c r="D194" s="21"/>
      <c r="E194" s="21"/>
      <c r="G194" s="21"/>
    </row>
    <row r="195" spans="1:7">
      <c r="A195" s="21"/>
      <c r="B195" s="21"/>
      <c r="C195" s="21"/>
      <c r="D195" s="21"/>
      <c r="E195" s="21"/>
      <c r="G195" s="21"/>
    </row>
    <row r="196" spans="1:7">
      <c r="A196" s="21"/>
      <c r="B196" s="21"/>
      <c r="C196" s="21"/>
      <c r="D196" s="21"/>
      <c r="E196" s="21"/>
      <c r="G196" s="21"/>
    </row>
    <row r="197" spans="1:7">
      <c r="A197" s="21"/>
      <c r="B197" s="21"/>
      <c r="C197" s="21"/>
      <c r="D197" s="21"/>
      <c r="E197" s="21"/>
      <c r="G197" s="21"/>
    </row>
    <row r="198" spans="1:7">
      <c r="A198" s="21"/>
      <c r="B198" s="21"/>
      <c r="C198" s="21"/>
      <c r="D198" s="21"/>
      <c r="E198" s="21"/>
      <c r="G198" s="21"/>
    </row>
    <row r="199" spans="1:7">
      <c r="A199" s="21"/>
      <c r="B199" s="21"/>
      <c r="C199" s="21"/>
      <c r="D199" s="21"/>
      <c r="E199" s="21"/>
      <c r="G199" s="21"/>
    </row>
    <row r="200" spans="1:7">
      <c r="A200" s="21"/>
      <c r="B200" s="21"/>
      <c r="C200" s="21"/>
      <c r="D200" s="21"/>
      <c r="E200" s="21"/>
      <c r="G200" s="21"/>
    </row>
    <row r="201" spans="1:7">
      <c r="A201" s="21"/>
      <c r="B201" s="21"/>
      <c r="C201" s="21"/>
      <c r="D201" s="21"/>
      <c r="E201" s="21"/>
      <c r="G201" s="21"/>
    </row>
    <row r="202" spans="1:7">
      <c r="A202" s="21"/>
      <c r="B202" s="21"/>
      <c r="C202" s="21"/>
      <c r="D202" s="21"/>
      <c r="E202" s="21"/>
      <c r="G202" s="21"/>
    </row>
    <row r="203" spans="1:7">
      <c r="A203" s="21"/>
      <c r="B203" s="21"/>
      <c r="C203" s="21"/>
      <c r="D203" s="21"/>
      <c r="E203" s="21"/>
      <c r="G203" s="21"/>
    </row>
    <row r="204" spans="1:7">
      <c r="A204" s="21"/>
      <c r="B204" s="21"/>
      <c r="C204" s="21"/>
      <c r="D204" s="21"/>
      <c r="E204" s="21"/>
      <c r="G204" s="21"/>
    </row>
    <row r="205" spans="1:7">
      <c r="A205" s="21"/>
      <c r="B205" s="21"/>
      <c r="C205" s="21"/>
      <c r="D205" s="21"/>
      <c r="E205" s="21"/>
      <c r="G205" s="21"/>
    </row>
    <row r="206" spans="1:7">
      <c r="A206" s="21"/>
      <c r="B206" s="21"/>
      <c r="C206" s="21"/>
      <c r="D206" s="21"/>
      <c r="E206" s="21"/>
      <c r="G206" s="21"/>
    </row>
    <row r="207" spans="1:7">
      <c r="A207" s="21"/>
      <c r="B207" s="21"/>
      <c r="C207" s="21"/>
      <c r="D207" s="21"/>
      <c r="E207" s="21"/>
      <c r="G207" s="21"/>
    </row>
    <row r="208" spans="1:7">
      <c r="A208" s="21"/>
      <c r="B208" s="21"/>
      <c r="C208" s="21"/>
      <c r="D208" s="21"/>
      <c r="E208" s="21"/>
      <c r="G208" s="21"/>
    </row>
    <row r="209" spans="1:7">
      <c r="A209" s="21"/>
      <c r="B209" s="21"/>
      <c r="C209" s="21"/>
      <c r="D209" s="21"/>
      <c r="E209" s="21"/>
      <c r="G209" s="21"/>
    </row>
    <row r="210" spans="1:7">
      <c r="A210" s="21"/>
      <c r="B210" s="21"/>
      <c r="C210" s="21"/>
      <c r="D210" s="21"/>
      <c r="E210" s="21"/>
      <c r="G210" s="21"/>
    </row>
    <row r="211" spans="1:7">
      <c r="A211" s="21"/>
      <c r="B211" s="21"/>
      <c r="C211" s="21"/>
      <c r="D211" s="21"/>
      <c r="E211" s="21"/>
      <c r="G211" s="21"/>
    </row>
    <row r="212" spans="1:7">
      <c r="A212" s="21"/>
      <c r="B212" s="21"/>
      <c r="C212" s="21"/>
      <c r="D212" s="21"/>
      <c r="E212" s="21"/>
      <c r="G212" s="21"/>
    </row>
    <row r="213" spans="1:7">
      <c r="A213" s="21"/>
      <c r="B213" s="21"/>
      <c r="C213" s="21"/>
      <c r="D213" s="21"/>
      <c r="E213" s="21"/>
      <c r="G213" s="21"/>
    </row>
    <row r="214" spans="1:7">
      <c r="A214" s="21"/>
      <c r="B214" s="21"/>
      <c r="C214" s="21"/>
      <c r="D214" s="21"/>
      <c r="E214" s="21"/>
      <c r="G214" s="21"/>
    </row>
    <row r="215" spans="1:7">
      <c r="A215" s="21"/>
      <c r="B215" s="21"/>
      <c r="C215" s="21"/>
      <c r="D215" s="21"/>
      <c r="E215" s="21"/>
      <c r="G215" s="21"/>
    </row>
    <row r="216" spans="1:7">
      <c r="A216" s="21"/>
      <c r="B216" s="21"/>
      <c r="C216" s="21"/>
      <c r="D216" s="21"/>
      <c r="E216" s="21"/>
      <c r="G216" s="21"/>
    </row>
    <row r="217" spans="1:7">
      <c r="A217" s="21"/>
      <c r="B217" s="21"/>
      <c r="C217" s="21"/>
      <c r="D217" s="21"/>
      <c r="E217" s="21"/>
      <c r="G217" s="21"/>
    </row>
    <row r="218" spans="1:7">
      <c r="A218" s="21"/>
      <c r="B218" s="21"/>
      <c r="C218" s="21"/>
      <c r="D218" s="21"/>
      <c r="E218" s="21"/>
      <c r="G218" s="21"/>
    </row>
    <row r="219" spans="1:7">
      <c r="A219" s="21"/>
      <c r="B219" s="21"/>
      <c r="C219" s="21"/>
      <c r="D219" s="21"/>
      <c r="E219" s="21"/>
      <c r="G219" s="21"/>
    </row>
    <row r="220" spans="1:7">
      <c r="A220" s="21"/>
      <c r="B220" s="21"/>
      <c r="C220" s="21"/>
      <c r="D220" s="21"/>
      <c r="E220" s="21"/>
      <c r="G220" s="21"/>
    </row>
    <row r="221" spans="1:7">
      <c r="A221" s="21"/>
      <c r="B221" s="21"/>
      <c r="C221" s="21"/>
      <c r="D221" s="21"/>
      <c r="E221" s="21"/>
      <c r="G221" s="21"/>
    </row>
    <row r="222" spans="1:7">
      <c r="A222" s="21"/>
      <c r="B222" s="21"/>
      <c r="C222" s="21"/>
      <c r="D222" s="21"/>
      <c r="E222" s="21"/>
      <c r="G222" s="21"/>
    </row>
    <row r="223" spans="1:7">
      <c r="A223" s="21"/>
      <c r="B223" s="21"/>
      <c r="C223" s="21"/>
      <c r="D223" s="21"/>
      <c r="E223" s="21"/>
      <c r="G223" s="21"/>
    </row>
    <row r="224" spans="1:7">
      <c r="A224" s="21"/>
      <c r="B224" s="21"/>
      <c r="C224" s="21"/>
      <c r="D224" s="21"/>
      <c r="E224" s="21"/>
      <c r="G224" s="21"/>
    </row>
    <row r="225" spans="1:7">
      <c r="A225" s="21"/>
      <c r="B225" s="21"/>
      <c r="C225" s="21"/>
      <c r="D225" s="21"/>
      <c r="E225" s="21"/>
      <c r="G225" s="21"/>
    </row>
    <row r="226" spans="1:7">
      <c r="A226" s="21"/>
      <c r="B226" s="21"/>
      <c r="C226" s="21"/>
      <c r="D226" s="21"/>
      <c r="E226" s="21"/>
      <c r="G226" s="21"/>
    </row>
    <row r="227" spans="1:7">
      <c r="A227" s="21"/>
      <c r="B227" s="21"/>
      <c r="C227" s="21"/>
      <c r="D227" s="21"/>
      <c r="E227" s="21"/>
      <c r="G227" s="21"/>
    </row>
    <row r="228" spans="1:7">
      <c r="A228" s="21"/>
      <c r="B228" s="21"/>
      <c r="C228" s="21"/>
      <c r="D228" s="21"/>
      <c r="E228" s="21"/>
      <c r="G228" s="21"/>
    </row>
    <row r="229" spans="1:7">
      <c r="A229" s="21"/>
      <c r="B229" s="21"/>
      <c r="C229" s="21"/>
      <c r="D229" s="21"/>
      <c r="E229" s="21"/>
      <c r="G229" s="21"/>
    </row>
    <row r="230" spans="1:7">
      <c r="A230" s="21"/>
      <c r="B230" s="21"/>
      <c r="C230" s="21"/>
      <c r="D230" s="21"/>
      <c r="E230" s="21"/>
      <c r="G230" s="21"/>
    </row>
    <row r="231" spans="1:7">
      <c r="A231" s="21"/>
      <c r="B231" s="21"/>
      <c r="C231" s="21"/>
      <c r="D231" s="21"/>
      <c r="E231" s="21"/>
      <c r="G231" s="21"/>
    </row>
    <row r="232" spans="1:7">
      <c r="A232" s="21"/>
      <c r="B232" s="21"/>
      <c r="C232" s="21"/>
      <c r="D232" s="21"/>
      <c r="E232" s="21"/>
      <c r="G232" s="21"/>
    </row>
    <row r="233" spans="1:7">
      <c r="A233" s="21"/>
      <c r="B233" s="21"/>
      <c r="C233" s="21"/>
      <c r="D233" s="21"/>
      <c r="E233" s="21"/>
      <c r="G233" s="21"/>
    </row>
    <row r="234" spans="1:7">
      <c r="A234" s="21"/>
      <c r="B234" s="21"/>
      <c r="C234" s="21"/>
      <c r="D234" s="21"/>
      <c r="E234" s="21"/>
      <c r="G234" s="21"/>
    </row>
    <row r="235" spans="1:7">
      <c r="A235" s="21"/>
      <c r="B235" s="21"/>
      <c r="C235" s="21"/>
      <c r="D235" s="21"/>
      <c r="E235" s="21"/>
      <c r="G235" s="21"/>
    </row>
    <row r="236" spans="1:7">
      <c r="A236" s="21"/>
      <c r="B236" s="21"/>
      <c r="C236" s="21"/>
      <c r="D236" s="21"/>
      <c r="E236" s="21"/>
      <c r="G236" s="21"/>
    </row>
    <row r="237" spans="1:7">
      <c r="A237" s="21"/>
      <c r="B237" s="21"/>
      <c r="C237" s="21"/>
      <c r="D237" s="21"/>
      <c r="E237" s="21"/>
      <c r="G237" s="21"/>
    </row>
    <row r="238" spans="1:7">
      <c r="A238" s="21"/>
      <c r="B238" s="21"/>
      <c r="C238" s="21"/>
      <c r="D238" s="21"/>
      <c r="E238" s="21"/>
      <c r="G238" s="21"/>
    </row>
    <row r="239" spans="1:7">
      <c r="A239" s="21"/>
      <c r="B239" s="21"/>
      <c r="C239" s="21"/>
      <c r="D239" s="21"/>
      <c r="E239" s="21"/>
      <c r="G239" s="21"/>
    </row>
    <row r="240" spans="1:7">
      <c r="A240" s="21"/>
      <c r="B240" s="21"/>
      <c r="C240" s="21"/>
      <c r="D240" s="21"/>
      <c r="E240" s="21"/>
      <c r="G240" s="21"/>
    </row>
    <row r="241" spans="1:7">
      <c r="A241" s="21"/>
      <c r="B241" s="21"/>
      <c r="C241" s="21"/>
      <c r="D241" s="21"/>
      <c r="E241" s="21"/>
      <c r="G241" s="21"/>
    </row>
    <row r="242" spans="1:7">
      <c r="A242" s="21"/>
      <c r="B242" s="21"/>
      <c r="C242" s="21"/>
      <c r="D242" s="21"/>
      <c r="E242" s="21"/>
      <c r="G242" s="21"/>
    </row>
    <row r="243" spans="1:7">
      <c r="A243" s="21"/>
      <c r="B243" s="21"/>
      <c r="C243" s="21"/>
      <c r="D243" s="21"/>
      <c r="E243" s="21"/>
      <c r="G243" s="21"/>
    </row>
    <row r="244" spans="1:7">
      <c r="A244" s="21"/>
      <c r="B244" s="21"/>
      <c r="C244" s="21"/>
      <c r="D244" s="21"/>
      <c r="E244" s="21"/>
      <c r="G244" s="21"/>
    </row>
    <row r="245" spans="1:7">
      <c r="A245" s="21"/>
      <c r="B245" s="21"/>
      <c r="C245" s="21"/>
      <c r="D245" s="21"/>
      <c r="E245" s="21"/>
      <c r="G245" s="21"/>
    </row>
    <row r="246" spans="1:7">
      <c r="A246" s="21"/>
      <c r="B246" s="21"/>
      <c r="C246" s="21"/>
      <c r="D246" s="21"/>
      <c r="E246" s="21"/>
      <c r="G246" s="21"/>
    </row>
    <row r="247" spans="1:7">
      <c r="A247" s="21"/>
      <c r="B247" s="21"/>
      <c r="C247" s="21"/>
      <c r="D247" s="21"/>
      <c r="E247" s="21"/>
      <c r="G247" s="21"/>
    </row>
    <row r="248" spans="1:7">
      <c r="A248" s="21"/>
      <c r="B248" s="21"/>
      <c r="C248" s="21"/>
      <c r="D248" s="21"/>
      <c r="E248" s="21"/>
      <c r="G248" s="21"/>
    </row>
    <row r="249" spans="1:7">
      <c r="A249" s="21"/>
      <c r="B249" s="21"/>
      <c r="C249" s="21"/>
      <c r="D249" s="21"/>
      <c r="E249" s="21"/>
      <c r="G249" s="21"/>
    </row>
    <row r="250" spans="1:7">
      <c r="A250" s="21"/>
      <c r="B250" s="21"/>
      <c r="C250" s="21"/>
      <c r="D250" s="21"/>
      <c r="E250" s="21"/>
      <c r="G250" s="21"/>
    </row>
    <row r="251" spans="1:7">
      <c r="A251" s="21"/>
      <c r="B251" s="21"/>
      <c r="C251" s="21"/>
      <c r="D251" s="21"/>
      <c r="E251" s="21"/>
      <c r="G251" s="21"/>
    </row>
    <row r="252" spans="1:7">
      <c r="A252" s="21"/>
      <c r="B252" s="21"/>
      <c r="C252" s="21"/>
      <c r="D252" s="21"/>
      <c r="E252" s="21"/>
      <c r="G252" s="21"/>
    </row>
    <row r="253" spans="1:7">
      <c r="A253" s="21"/>
      <c r="B253" s="21"/>
      <c r="C253" s="21"/>
      <c r="D253" s="21"/>
      <c r="E253" s="21"/>
      <c r="G253" s="21"/>
    </row>
    <row r="254" spans="1:7">
      <c r="A254" s="21"/>
      <c r="B254" s="21"/>
      <c r="C254" s="21"/>
      <c r="D254" s="21"/>
      <c r="E254" s="21"/>
      <c r="G254" s="21"/>
    </row>
    <row r="255" spans="1:7">
      <c r="A255" s="21"/>
      <c r="B255" s="21"/>
      <c r="C255" s="21"/>
      <c r="D255" s="21"/>
      <c r="E255" s="21"/>
      <c r="G255" s="21"/>
    </row>
    <row r="256" spans="1:7">
      <c r="A256" s="21"/>
      <c r="B256" s="21"/>
      <c r="C256" s="21"/>
      <c r="D256" s="21"/>
      <c r="E256" s="21"/>
      <c r="G256" s="21"/>
    </row>
    <row r="257" spans="1:7">
      <c r="A257" s="21"/>
      <c r="B257" s="21"/>
      <c r="C257" s="21"/>
      <c r="D257" s="21"/>
      <c r="E257" s="21"/>
      <c r="G257" s="21"/>
    </row>
    <row r="258" spans="1:7">
      <c r="A258" s="21"/>
      <c r="B258" s="21"/>
      <c r="C258" s="21"/>
      <c r="D258" s="21"/>
      <c r="E258" s="21"/>
      <c r="G258" s="21"/>
    </row>
    <row r="259" spans="1:7">
      <c r="A259" s="21"/>
      <c r="B259" s="21"/>
      <c r="C259" s="21"/>
      <c r="D259" s="21"/>
      <c r="E259" s="21"/>
      <c r="G259" s="21"/>
    </row>
    <row r="260" spans="1:7">
      <c r="A260" s="21"/>
      <c r="B260" s="21"/>
      <c r="C260" s="21"/>
      <c r="D260" s="21"/>
      <c r="E260" s="21"/>
      <c r="G260" s="21"/>
    </row>
    <row r="261" spans="1:7">
      <c r="A261" s="21"/>
      <c r="B261" s="21"/>
      <c r="C261" s="21"/>
      <c r="D261" s="21"/>
      <c r="E261" s="21"/>
      <c r="G261" s="21"/>
    </row>
    <row r="262" spans="1:7">
      <c r="A262" s="21"/>
      <c r="B262" s="21"/>
      <c r="C262" s="21"/>
      <c r="D262" s="21"/>
      <c r="E262" s="21"/>
      <c r="G262" s="21"/>
    </row>
    <row r="263" spans="1:7">
      <c r="A263" s="21"/>
      <c r="B263" s="21"/>
      <c r="C263" s="21"/>
      <c r="D263" s="21"/>
      <c r="E263" s="21"/>
      <c r="G263" s="21"/>
    </row>
    <row r="264" spans="1:7">
      <c r="A264" s="21"/>
      <c r="B264" s="21"/>
      <c r="C264" s="21"/>
      <c r="D264" s="21"/>
      <c r="E264" s="21"/>
      <c r="G264" s="21"/>
    </row>
    <row r="265" spans="1:7">
      <c r="A265" s="21"/>
      <c r="B265" s="21"/>
      <c r="C265" s="21"/>
      <c r="D265" s="21"/>
      <c r="E265" s="21"/>
      <c r="G265" s="21"/>
    </row>
    <row r="266" spans="1:7">
      <c r="A266" s="21"/>
      <c r="B266" s="21"/>
      <c r="C266" s="21"/>
      <c r="D266" s="21"/>
      <c r="E266" s="21"/>
      <c r="G266" s="21"/>
    </row>
    <row r="267" spans="1:7">
      <c r="A267" s="21"/>
      <c r="B267" s="21"/>
      <c r="C267" s="21"/>
      <c r="D267" s="21"/>
      <c r="E267" s="21"/>
      <c r="G267" s="21"/>
    </row>
    <row r="268" spans="1:7">
      <c r="A268" s="21"/>
      <c r="B268" s="21"/>
      <c r="C268" s="21"/>
      <c r="D268" s="21"/>
      <c r="E268" s="21"/>
      <c r="G268" s="21"/>
    </row>
    <row r="269" spans="1:7">
      <c r="A269" s="21"/>
      <c r="B269" s="21"/>
      <c r="C269" s="21"/>
      <c r="D269" s="21"/>
      <c r="E269" s="21"/>
      <c r="G269" s="21"/>
    </row>
    <row r="270" spans="1:7">
      <c r="A270" s="21"/>
      <c r="B270" s="21"/>
      <c r="C270" s="21"/>
      <c r="D270" s="21"/>
      <c r="E270" s="21"/>
      <c r="G270" s="21"/>
    </row>
    <row r="271" spans="1:7">
      <c r="A271" s="21"/>
      <c r="B271" s="21"/>
      <c r="C271" s="21"/>
      <c r="D271" s="21"/>
      <c r="E271" s="21"/>
      <c r="G271" s="21"/>
    </row>
    <row r="272" spans="1:7">
      <c r="A272" s="21"/>
      <c r="B272" s="21"/>
      <c r="C272" s="21"/>
      <c r="D272" s="21"/>
      <c r="E272" s="21"/>
      <c r="G272" s="21"/>
    </row>
    <row r="273" spans="1:7">
      <c r="A273" s="21"/>
      <c r="B273" s="21"/>
      <c r="C273" s="21"/>
      <c r="D273" s="21"/>
      <c r="E273" s="21"/>
      <c r="G273" s="21"/>
    </row>
    <row r="274" spans="1:7">
      <c r="A274" s="21"/>
      <c r="B274" s="21"/>
      <c r="C274" s="21"/>
      <c r="D274" s="21"/>
      <c r="E274" s="21"/>
      <c r="G274" s="21"/>
    </row>
    <row r="275" spans="1:7">
      <c r="A275" s="21"/>
      <c r="B275" s="21"/>
      <c r="C275" s="21"/>
      <c r="D275" s="21"/>
      <c r="E275" s="21"/>
      <c r="G275" s="21"/>
    </row>
    <row r="276" spans="1:7">
      <c r="A276" s="21"/>
      <c r="B276" s="21"/>
      <c r="C276" s="21"/>
      <c r="D276" s="21"/>
      <c r="E276" s="21"/>
      <c r="G276" s="21"/>
    </row>
    <row r="277" spans="1:7">
      <c r="A277" s="21"/>
      <c r="B277" s="21"/>
      <c r="C277" s="21"/>
      <c r="D277" s="21"/>
      <c r="E277" s="21"/>
      <c r="G277" s="21"/>
    </row>
    <row r="278" spans="1:7">
      <c r="A278" s="21"/>
      <c r="B278" s="21"/>
      <c r="C278" s="21"/>
      <c r="D278" s="21"/>
      <c r="E278" s="21"/>
      <c r="G278" s="21"/>
    </row>
    <row r="279" spans="1:7">
      <c r="A279" s="21"/>
      <c r="B279" s="21"/>
      <c r="C279" s="21"/>
      <c r="D279" s="21"/>
      <c r="E279" s="21"/>
      <c r="G279" s="21"/>
    </row>
    <row r="280" spans="1:7">
      <c r="A280" s="21"/>
      <c r="B280" s="21"/>
      <c r="C280" s="21"/>
      <c r="D280" s="21"/>
      <c r="E280" s="21"/>
      <c r="G280" s="21"/>
    </row>
    <row r="281" spans="1:7">
      <c r="A281" s="21"/>
      <c r="B281" s="21"/>
      <c r="C281" s="21"/>
      <c r="D281" s="21"/>
      <c r="E281" s="21"/>
      <c r="G281" s="21"/>
    </row>
    <row r="282" spans="1:7">
      <c r="A282" s="21"/>
      <c r="B282" s="21"/>
      <c r="C282" s="21"/>
      <c r="D282" s="21"/>
      <c r="E282" s="21"/>
      <c r="G282" s="21"/>
    </row>
    <row r="283" spans="1:7">
      <c r="A283" s="21"/>
      <c r="B283" s="21"/>
      <c r="C283" s="21"/>
      <c r="D283" s="21"/>
      <c r="E283" s="21"/>
      <c r="G283" s="21"/>
    </row>
    <row r="284" spans="1:7">
      <c r="A284" s="21"/>
      <c r="B284" s="21"/>
      <c r="C284" s="21"/>
      <c r="D284" s="21"/>
      <c r="E284" s="21"/>
      <c r="G284" s="21"/>
    </row>
    <row r="285" spans="1:7">
      <c r="A285" s="21"/>
      <c r="B285" s="21"/>
      <c r="C285" s="21"/>
      <c r="D285" s="21"/>
      <c r="E285" s="21"/>
      <c r="G285" s="21"/>
    </row>
    <row r="286" spans="1:7">
      <c r="A286" s="21"/>
      <c r="B286" s="21"/>
      <c r="C286" s="21"/>
      <c r="D286" s="21"/>
      <c r="E286" s="21"/>
      <c r="G286" s="21"/>
    </row>
    <row r="287" spans="1:7">
      <c r="A287" s="21"/>
      <c r="B287" s="21"/>
      <c r="C287" s="21"/>
      <c r="D287" s="21"/>
      <c r="E287" s="21"/>
      <c r="G287" s="21"/>
    </row>
    <row r="288" spans="1:7">
      <c r="A288" s="21"/>
      <c r="B288" s="21"/>
      <c r="C288" s="21"/>
      <c r="D288" s="21"/>
      <c r="E288" s="21"/>
      <c r="G288" s="21"/>
    </row>
    <row r="289" spans="1:7">
      <c r="A289" s="21"/>
      <c r="B289" s="21"/>
      <c r="C289" s="21"/>
      <c r="D289" s="21"/>
      <c r="E289" s="21"/>
      <c r="G289" s="21"/>
    </row>
    <row r="290" spans="1:7">
      <c r="A290" s="21"/>
      <c r="B290" s="21"/>
      <c r="C290" s="21"/>
      <c r="D290" s="21"/>
      <c r="E290" s="21"/>
      <c r="G290" s="21"/>
    </row>
    <row r="291" spans="1:7">
      <c r="A291" s="21"/>
      <c r="B291" s="21"/>
      <c r="C291" s="21"/>
      <c r="D291" s="21"/>
      <c r="E291" s="21"/>
      <c r="G291" s="21"/>
    </row>
    <row r="292" spans="1:7">
      <c r="A292" s="21"/>
      <c r="B292" s="21"/>
      <c r="C292" s="21"/>
      <c r="D292" s="21"/>
      <c r="E292" s="21"/>
      <c r="G292" s="21"/>
    </row>
    <row r="293" spans="1:7">
      <c r="A293" s="21"/>
      <c r="B293" s="21"/>
      <c r="C293" s="21"/>
      <c r="D293" s="21"/>
      <c r="E293" s="21"/>
      <c r="G293" s="21"/>
    </row>
    <row r="294" spans="1:7">
      <c r="A294" s="21"/>
      <c r="B294" s="21"/>
      <c r="C294" s="21"/>
      <c r="D294" s="21"/>
      <c r="E294" s="21"/>
      <c r="G294" s="21"/>
    </row>
    <row r="295" spans="1:7">
      <c r="A295" s="21"/>
      <c r="B295" s="21"/>
      <c r="C295" s="21"/>
      <c r="D295" s="21"/>
      <c r="E295" s="21"/>
      <c r="G295" s="21"/>
    </row>
    <row r="296" spans="1:7">
      <c r="A296" s="21"/>
      <c r="B296" s="21"/>
      <c r="C296" s="21"/>
      <c r="D296" s="21"/>
      <c r="E296" s="21"/>
      <c r="G296" s="21"/>
    </row>
    <row r="297" spans="1:7">
      <c r="A297" s="21"/>
      <c r="B297" s="21"/>
      <c r="C297" s="21"/>
      <c r="D297" s="21"/>
      <c r="E297" s="21"/>
      <c r="G297" s="21"/>
    </row>
    <row r="298" spans="1:7">
      <c r="A298" s="21"/>
      <c r="B298" s="21"/>
      <c r="C298" s="21"/>
      <c r="D298" s="21"/>
      <c r="E298" s="21"/>
      <c r="G298" s="21"/>
    </row>
    <row r="299" spans="1:7">
      <c r="A299" s="21"/>
      <c r="B299" s="21"/>
      <c r="C299" s="21"/>
      <c r="D299" s="21"/>
      <c r="E299" s="21"/>
      <c r="G299" s="21"/>
    </row>
    <row r="300" spans="1:7">
      <c r="A300" s="21"/>
      <c r="B300" s="21"/>
      <c r="C300" s="21"/>
      <c r="D300" s="21"/>
      <c r="E300" s="21"/>
      <c r="G300" s="21"/>
    </row>
    <row r="301" spans="1:7">
      <c r="A301" s="21"/>
      <c r="B301" s="21"/>
      <c r="C301" s="21"/>
      <c r="D301" s="21"/>
      <c r="E301" s="21"/>
      <c r="G301" s="21"/>
    </row>
    <row r="302" spans="1:7">
      <c r="A302" s="21"/>
      <c r="B302" s="21"/>
      <c r="C302" s="21"/>
      <c r="D302" s="21"/>
      <c r="E302" s="21"/>
      <c r="G302" s="21"/>
    </row>
    <row r="303" spans="1:7">
      <c r="A303" s="21"/>
      <c r="B303" s="21"/>
      <c r="C303" s="21"/>
      <c r="D303" s="21"/>
      <c r="E303" s="21"/>
      <c r="G303" s="21"/>
    </row>
    <row r="304" spans="1:7">
      <c r="A304" s="21"/>
      <c r="B304" s="21"/>
      <c r="C304" s="21"/>
      <c r="D304" s="21"/>
      <c r="E304" s="21"/>
      <c r="G304" s="21"/>
    </row>
    <row r="305" spans="1:7">
      <c r="A305" s="21"/>
      <c r="B305" s="21"/>
      <c r="C305" s="21"/>
      <c r="D305" s="21"/>
      <c r="E305" s="21"/>
      <c r="G305" s="21"/>
    </row>
    <row r="306" spans="1:7">
      <c r="A306" s="21"/>
      <c r="B306" s="21"/>
      <c r="C306" s="21"/>
      <c r="D306" s="21"/>
      <c r="E306" s="21"/>
      <c r="G306" s="21"/>
    </row>
    <row r="307" spans="1:7">
      <c r="A307" s="21"/>
      <c r="B307" s="21"/>
      <c r="C307" s="21"/>
      <c r="D307" s="21"/>
      <c r="E307" s="21"/>
      <c r="G307" s="21"/>
    </row>
    <row r="308" spans="1:7">
      <c r="A308" s="21"/>
      <c r="B308" s="21"/>
      <c r="C308" s="21"/>
      <c r="D308" s="21"/>
      <c r="E308" s="21"/>
      <c r="G308" s="21"/>
    </row>
    <row r="309" spans="1:7">
      <c r="A309" s="21"/>
      <c r="B309" s="21"/>
      <c r="C309" s="21"/>
      <c r="D309" s="21"/>
      <c r="E309" s="21"/>
      <c r="G309" s="21"/>
    </row>
    <row r="310" spans="1:7">
      <c r="A310" s="21"/>
      <c r="B310" s="21"/>
      <c r="C310" s="21"/>
      <c r="D310" s="21"/>
      <c r="E310" s="21"/>
      <c r="G310" s="21"/>
    </row>
    <row r="311" spans="1:7">
      <c r="A311" s="21"/>
      <c r="B311" s="21"/>
      <c r="C311" s="21"/>
      <c r="D311" s="21"/>
      <c r="E311" s="21"/>
      <c r="G311" s="21"/>
    </row>
    <row r="312" spans="1:7">
      <c r="A312" s="21"/>
      <c r="B312" s="21"/>
      <c r="C312" s="21"/>
      <c r="D312" s="21"/>
      <c r="E312" s="21"/>
      <c r="G312" s="21"/>
    </row>
    <row r="313" spans="1:7">
      <c r="A313" s="21"/>
      <c r="B313" s="21"/>
      <c r="C313" s="21"/>
      <c r="D313" s="21"/>
      <c r="E313" s="21"/>
      <c r="G313" s="21"/>
    </row>
    <row r="314" spans="1:7">
      <c r="A314" s="21"/>
      <c r="B314" s="21"/>
      <c r="C314" s="21"/>
      <c r="D314" s="21"/>
      <c r="E314" s="21"/>
      <c r="G314" s="21"/>
    </row>
    <row r="315" spans="1:7">
      <c r="A315" s="21"/>
      <c r="B315" s="21"/>
      <c r="C315" s="21"/>
      <c r="D315" s="21"/>
      <c r="E315" s="21"/>
      <c r="G315" s="21"/>
    </row>
    <row r="316" spans="1:7">
      <c r="A316" s="21"/>
      <c r="B316" s="21"/>
      <c r="C316" s="21"/>
      <c r="D316" s="21"/>
      <c r="E316" s="21"/>
      <c r="G316" s="21"/>
    </row>
    <row r="317" spans="1:7">
      <c r="A317" s="21"/>
      <c r="B317" s="21"/>
      <c r="C317" s="21"/>
      <c r="D317" s="21"/>
      <c r="E317" s="21"/>
      <c r="G317" s="21"/>
    </row>
    <row r="318" spans="1:7">
      <c r="A318" s="21"/>
      <c r="B318" s="21"/>
      <c r="C318" s="21"/>
      <c r="D318" s="21"/>
      <c r="E318" s="21"/>
      <c r="G318" s="21"/>
    </row>
    <row r="319" spans="1:7">
      <c r="A319" s="21"/>
      <c r="B319" s="21"/>
      <c r="C319" s="21"/>
      <c r="D319" s="21"/>
      <c r="E319" s="21"/>
      <c r="G319" s="21"/>
    </row>
    <row r="320" spans="1:7">
      <c r="A320" s="21"/>
      <c r="B320" s="21"/>
      <c r="C320" s="21"/>
      <c r="D320" s="21"/>
      <c r="E320" s="21"/>
      <c r="G320" s="21"/>
    </row>
    <row r="321" spans="1:7">
      <c r="A321" s="21"/>
      <c r="B321" s="21"/>
      <c r="C321" s="21"/>
      <c r="D321" s="21"/>
      <c r="E321" s="21"/>
      <c r="G321" s="21"/>
    </row>
    <row r="322" spans="1:7">
      <c r="A322" s="21"/>
      <c r="B322" s="21"/>
      <c r="C322" s="21"/>
      <c r="D322" s="21"/>
      <c r="E322" s="21"/>
      <c r="G322" s="21"/>
    </row>
    <row r="323" spans="1:7">
      <c r="A323" s="21"/>
      <c r="B323" s="21"/>
      <c r="C323" s="21"/>
      <c r="D323" s="21"/>
      <c r="E323" s="21"/>
      <c r="G323" s="21"/>
    </row>
    <row r="324" spans="1:7">
      <c r="A324" s="21"/>
      <c r="B324" s="21"/>
      <c r="C324" s="21"/>
      <c r="D324" s="21"/>
      <c r="E324" s="21"/>
      <c r="G324" s="21"/>
    </row>
    <row r="325" spans="1:7">
      <c r="A325" s="21"/>
      <c r="B325" s="21"/>
      <c r="C325" s="21"/>
      <c r="D325" s="21"/>
      <c r="E325" s="21"/>
      <c r="G325" s="21"/>
    </row>
    <row r="326" spans="1:7">
      <c r="A326" s="21"/>
      <c r="B326" s="21"/>
      <c r="C326" s="21"/>
      <c r="D326" s="21"/>
      <c r="E326" s="21"/>
      <c r="G326" s="21"/>
    </row>
    <row r="327" spans="1:7">
      <c r="A327" s="21"/>
      <c r="B327" s="21"/>
      <c r="C327" s="21"/>
      <c r="D327" s="21"/>
      <c r="E327" s="21"/>
      <c r="G327" s="21"/>
    </row>
    <row r="328" spans="1:7">
      <c r="A328" s="21"/>
      <c r="B328" s="21"/>
      <c r="C328" s="21"/>
      <c r="D328" s="21"/>
      <c r="E328" s="21"/>
      <c r="G328" s="21"/>
    </row>
    <row r="329" spans="1:7">
      <c r="A329" s="21"/>
      <c r="B329" s="21"/>
      <c r="C329" s="21"/>
      <c r="D329" s="21"/>
      <c r="E329" s="21"/>
      <c r="G329" s="21"/>
    </row>
    <row r="330" spans="1:7">
      <c r="A330" s="21"/>
      <c r="B330" s="21"/>
      <c r="C330" s="21"/>
      <c r="D330" s="21"/>
      <c r="E330" s="21"/>
      <c r="G330" s="21"/>
    </row>
    <row r="331" spans="1:7">
      <c r="A331" s="21"/>
      <c r="B331" s="21"/>
      <c r="C331" s="21"/>
      <c r="D331" s="21"/>
      <c r="E331" s="21"/>
      <c r="G331" s="21"/>
    </row>
    <row r="332" spans="1:7">
      <c r="A332" s="21"/>
      <c r="B332" s="21"/>
      <c r="C332" s="21"/>
      <c r="D332" s="21"/>
      <c r="E332" s="21"/>
      <c r="G332" s="21"/>
    </row>
    <row r="333" spans="1:7">
      <c r="A333" s="21"/>
      <c r="B333" s="21"/>
      <c r="C333" s="21"/>
      <c r="D333" s="21"/>
      <c r="E333" s="21"/>
      <c r="G333" s="21"/>
    </row>
    <row r="334" spans="1:7">
      <c r="A334" s="21"/>
      <c r="B334" s="21"/>
      <c r="C334" s="21"/>
      <c r="D334" s="21"/>
      <c r="E334" s="21"/>
      <c r="G334" s="21"/>
    </row>
    <row r="335" spans="1:7">
      <c r="A335" s="21"/>
      <c r="B335" s="21"/>
      <c r="C335" s="21"/>
      <c r="D335" s="21"/>
      <c r="E335" s="21"/>
      <c r="G335" s="21"/>
    </row>
    <row r="336" spans="1:7">
      <c r="A336" s="21"/>
      <c r="B336" s="21"/>
      <c r="C336" s="21"/>
      <c r="D336" s="21"/>
      <c r="E336" s="21"/>
      <c r="G336" s="21"/>
    </row>
    <row r="337" spans="1:7">
      <c r="A337" s="21"/>
      <c r="B337" s="21"/>
      <c r="C337" s="21"/>
      <c r="D337" s="21"/>
      <c r="E337" s="21"/>
      <c r="G337" s="21"/>
    </row>
    <row r="338" spans="1:7">
      <c r="A338" s="21"/>
      <c r="B338" s="21"/>
      <c r="C338" s="21"/>
      <c r="D338" s="21"/>
      <c r="E338" s="21"/>
      <c r="G338" s="21"/>
    </row>
    <row r="339" spans="1:7">
      <c r="A339" s="21"/>
      <c r="B339" s="21"/>
      <c r="C339" s="21"/>
      <c r="D339" s="21"/>
      <c r="E339" s="21"/>
      <c r="G339" s="21"/>
    </row>
    <row r="340" spans="1:7">
      <c r="A340" s="21"/>
      <c r="B340" s="21"/>
      <c r="C340" s="21"/>
      <c r="D340" s="21"/>
      <c r="E340" s="21"/>
      <c r="G340" s="21"/>
    </row>
    <row r="341" spans="1:7">
      <c r="A341" s="21"/>
      <c r="B341" s="21"/>
      <c r="C341" s="21"/>
      <c r="D341" s="21"/>
      <c r="E341" s="21"/>
      <c r="G341" s="21"/>
    </row>
    <row r="342" spans="1:7">
      <c r="A342" s="21"/>
      <c r="B342" s="21"/>
      <c r="C342" s="21"/>
      <c r="D342" s="21"/>
      <c r="E342" s="21"/>
      <c r="G342" s="21"/>
    </row>
    <row r="343" spans="1:7">
      <c r="A343" s="21"/>
      <c r="B343" s="21"/>
      <c r="C343" s="21"/>
      <c r="D343" s="21"/>
      <c r="E343" s="21"/>
      <c r="G343" s="21"/>
    </row>
    <row r="344" spans="1:7">
      <c r="A344" s="21"/>
      <c r="B344" s="21"/>
      <c r="C344" s="21"/>
      <c r="D344" s="21"/>
      <c r="E344" s="21"/>
      <c r="G344" s="21"/>
    </row>
    <row r="345" spans="1:7">
      <c r="A345" s="21"/>
      <c r="B345" s="21"/>
      <c r="C345" s="21"/>
      <c r="D345" s="21"/>
      <c r="E345" s="21"/>
      <c r="G345" s="21"/>
    </row>
    <row r="346" spans="1:7">
      <c r="A346" s="21"/>
      <c r="B346" s="21"/>
      <c r="C346" s="21"/>
      <c r="D346" s="21"/>
      <c r="E346" s="21"/>
      <c r="G346" s="21"/>
    </row>
    <row r="347" spans="1:7">
      <c r="A347" s="21"/>
      <c r="B347" s="21"/>
      <c r="C347" s="21"/>
      <c r="D347" s="21"/>
      <c r="E347" s="21"/>
      <c r="G347" s="21"/>
    </row>
    <row r="348" spans="1:7">
      <c r="A348" s="21"/>
      <c r="B348" s="21"/>
      <c r="C348" s="21"/>
      <c r="D348" s="21"/>
      <c r="E348" s="21"/>
      <c r="G348" s="21"/>
    </row>
    <row r="349" spans="1:7">
      <c r="A349" s="21"/>
      <c r="B349" s="21"/>
      <c r="C349" s="21"/>
      <c r="D349" s="21"/>
      <c r="E349" s="21"/>
      <c r="G349" s="21"/>
    </row>
    <row r="350" spans="1:7">
      <c r="A350" s="21"/>
      <c r="B350" s="21"/>
      <c r="C350" s="21"/>
      <c r="D350" s="21"/>
      <c r="E350" s="21"/>
      <c r="G350" s="21"/>
    </row>
    <row r="351" spans="1:7">
      <c r="A351" s="21"/>
      <c r="B351" s="21"/>
      <c r="C351" s="21"/>
      <c r="D351" s="21"/>
      <c r="E351" s="21"/>
      <c r="G351" s="21"/>
    </row>
    <row r="352" spans="1:7">
      <c r="A352" s="21"/>
      <c r="B352" s="21"/>
      <c r="C352" s="21"/>
      <c r="D352" s="21"/>
      <c r="E352" s="21"/>
      <c r="G352" s="21"/>
    </row>
    <row r="353" spans="1:7">
      <c r="A353" s="21"/>
      <c r="B353" s="21"/>
      <c r="C353" s="21"/>
      <c r="D353" s="21"/>
      <c r="E353" s="21"/>
      <c r="G353" s="21"/>
    </row>
    <row r="354" spans="1:7">
      <c r="A354" s="21"/>
      <c r="B354" s="21"/>
      <c r="C354" s="21"/>
      <c r="D354" s="21"/>
      <c r="E354" s="21"/>
      <c r="G354" s="21"/>
    </row>
    <row r="355" spans="1:7">
      <c r="A355" s="21"/>
      <c r="B355" s="21"/>
      <c r="C355" s="21"/>
      <c r="D355" s="21"/>
      <c r="E355" s="21"/>
      <c r="G355" s="21"/>
    </row>
    <row r="356" spans="1:7">
      <c r="A356" s="21"/>
      <c r="B356" s="21"/>
      <c r="C356" s="21"/>
      <c r="D356" s="21"/>
      <c r="E356" s="21"/>
      <c r="G356" s="21"/>
    </row>
    <row r="357" spans="1:7">
      <c r="A357" s="21"/>
      <c r="B357" s="21"/>
      <c r="C357" s="21"/>
      <c r="D357" s="21"/>
      <c r="E357" s="21"/>
      <c r="G357" s="21"/>
    </row>
    <row r="358" spans="1:7">
      <c r="A358" s="21"/>
      <c r="B358" s="21"/>
      <c r="C358" s="21"/>
      <c r="D358" s="21"/>
      <c r="E358" s="21"/>
      <c r="G358" s="21"/>
    </row>
    <row r="359" spans="1:7">
      <c r="A359" s="21"/>
      <c r="B359" s="21"/>
      <c r="C359" s="21"/>
      <c r="D359" s="21"/>
      <c r="E359" s="21"/>
      <c r="G359" s="21"/>
    </row>
    <row r="360" spans="1:7">
      <c r="A360" s="21"/>
      <c r="B360" s="21"/>
      <c r="C360" s="21"/>
      <c r="D360" s="21"/>
      <c r="E360" s="21"/>
      <c r="G360" s="21"/>
    </row>
    <row r="361" spans="1:7">
      <c r="A361" s="21"/>
      <c r="B361" s="21"/>
      <c r="C361" s="21"/>
      <c r="D361" s="21"/>
      <c r="E361" s="21"/>
      <c r="G361" s="21"/>
    </row>
    <row r="362" spans="1:7">
      <c r="A362" s="21"/>
      <c r="B362" s="21"/>
      <c r="C362" s="21"/>
      <c r="D362" s="21"/>
      <c r="E362" s="21"/>
      <c r="G362" s="21"/>
    </row>
    <row r="363" spans="1:7">
      <c r="A363" s="21"/>
      <c r="B363" s="21"/>
      <c r="C363" s="21"/>
      <c r="D363" s="21"/>
      <c r="E363" s="21"/>
      <c r="G363" s="21"/>
    </row>
    <row r="364" spans="1:7">
      <c r="A364" s="21"/>
      <c r="B364" s="21"/>
      <c r="C364" s="21"/>
      <c r="D364" s="21"/>
      <c r="E364" s="21"/>
      <c r="G364" s="21"/>
    </row>
    <row r="365" spans="1:7">
      <c r="A365" s="21"/>
      <c r="B365" s="21"/>
      <c r="C365" s="21"/>
      <c r="D365" s="21"/>
      <c r="E365" s="21"/>
      <c r="G365" s="21"/>
    </row>
    <row r="366" spans="1:7">
      <c r="A366" s="21"/>
      <c r="B366" s="21"/>
      <c r="C366" s="21"/>
      <c r="D366" s="21"/>
      <c r="E366" s="21"/>
      <c r="G366" s="21"/>
    </row>
    <row r="367" spans="1:7">
      <c r="A367" s="21"/>
      <c r="B367" s="21"/>
      <c r="C367" s="21"/>
      <c r="D367" s="21"/>
      <c r="E367" s="21"/>
      <c r="G367" s="21"/>
    </row>
    <row r="368" spans="1:7">
      <c r="A368" s="21"/>
      <c r="B368" s="21"/>
      <c r="C368" s="21"/>
      <c r="D368" s="21"/>
      <c r="E368" s="21"/>
      <c r="G368" s="21"/>
    </row>
    <row r="369" spans="1:7">
      <c r="A369" s="21"/>
      <c r="B369" s="21"/>
      <c r="C369" s="21"/>
      <c r="D369" s="21"/>
      <c r="E369" s="21"/>
      <c r="G369" s="21"/>
    </row>
    <row r="370" spans="1:7">
      <c r="A370" s="21"/>
      <c r="B370" s="21"/>
      <c r="C370" s="21"/>
      <c r="D370" s="21"/>
      <c r="E370" s="21"/>
      <c r="G370" s="21"/>
    </row>
    <row r="371" spans="1:7">
      <c r="A371" s="21"/>
      <c r="B371" s="21"/>
      <c r="C371" s="21"/>
      <c r="D371" s="21"/>
      <c r="E371" s="21"/>
      <c r="G371" s="21"/>
    </row>
    <row r="372" spans="1:7">
      <c r="A372" s="21"/>
      <c r="B372" s="21"/>
      <c r="C372" s="21"/>
      <c r="D372" s="21"/>
      <c r="E372" s="21"/>
      <c r="G372" s="21"/>
    </row>
    <row r="373" spans="1:7">
      <c r="A373" s="21"/>
      <c r="B373" s="21"/>
      <c r="C373" s="21"/>
      <c r="D373" s="21"/>
      <c r="E373" s="21"/>
      <c r="G373" s="21"/>
    </row>
    <row r="374" spans="1:7">
      <c r="A374" s="21"/>
      <c r="B374" s="21"/>
      <c r="C374" s="21"/>
      <c r="D374" s="21"/>
      <c r="E374" s="21"/>
      <c r="G374" s="21"/>
    </row>
    <row r="375" spans="1:7">
      <c r="A375" s="21"/>
      <c r="B375" s="21"/>
      <c r="C375" s="21"/>
      <c r="D375" s="21"/>
      <c r="E375" s="21"/>
      <c r="G375" s="21"/>
    </row>
    <row r="376" spans="1:7">
      <c r="A376" s="21"/>
      <c r="B376" s="21"/>
      <c r="C376" s="21"/>
      <c r="D376" s="21"/>
      <c r="E376" s="21"/>
      <c r="G376" s="21"/>
    </row>
    <row r="377" spans="1:7">
      <c r="A377" s="21"/>
      <c r="B377" s="21"/>
      <c r="C377" s="21"/>
      <c r="D377" s="21"/>
      <c r="E377" s="21"/>
      <c r="G377" s="21"/>
    </row>
    <row r="378" spans="1:7">
      <c r="A378" s="21"/>
      <c r="B378" s="21"/>
      <c r="C378" s="21"/>
      <c r="D378" s="21"/>
      <c r="E378" s="21"/>
      <c r="G378" s="21"/>
    </row>
    <row r="379" spans="1:7">
      <c r="A379" s="21"/>
      <c r="B379" s="21"/>
      <c r="C379" s="21"/>
      <c r="D379" s="21"/>
      <c r="E379" s="21"/>
      <c r="G379" s="21"/>
    </row>
    <row r="380" spans="1:7">
      <c r="A380" s="21"/>
      <c r="B380" s="21"/>
      <c r="C380" s="21"/>
      <c r="D380" s="21"/>
      <c r="E380" s="21"/>
      <c r="G380" s="21"/>
    </row>
    <row r="381" spans="1:7">
      <c r="A381" s="21"/>
      <c r="B381" s="21"/>
      <c r="C381" s="21"/>
      <c r="D381" s="21"/>
      <c r="E381" s="21"/>
      <c r="G381" s="21"/>
    </row>
    <row r="382" spans="1:7">
      <c r="A382" s="21"/>
      <c r="B382" s="21"/>
      <c r="C382" s="21"/>
      <c r="D382" s="21"/>
      <c r="E382" s="21"/>
      <c r="G382" s="21"/>
    </row>
    <row r="383" spans="1:7">
      <c r="A383" s="21"/>
      <c r="B383" s="21"/>
      <c r="C383" s="21"/>
      <c r="D383" s="21"/>
      <c r="E383" s="21"/>
      <c r="G383" s="21"/>
    </row>
    <row r="384" spans="1:7">
      <c r="A384" s="21"/>
      <c r="B384" s="21"/>
      <c r="C384" s="21"/>
      <c r="D384" s="21"/>
      <c r="E384" s="21"/>
      <c r="G384" s="21"/>
    </row>
    <row r="385" spans="1:7">
      <c r="A385" s="21"/>
      <c r="B385" s="21"/>
      <c r="C385" s="21"/>
      <c r="D385" s="21"/>
      <c r="E385" s="21"/>
      <c r="G385" s="21"/>
    </row>
    <row r="386" spans="1:7">
      <c r="A386" s="21"/>
      <c r="B386" s="21"/>
      <c r="C386" s="21"/>
      <c r="D386" s="21"/>
      <c r="E386" s="21"/>
      <c r="G386" s="21"/>
    </row>
    <row r="387" spans="1:7">
      <c r="A387" s="21"/>
      <c r="B387" s="21"/>
      <c r="C387" s="21"/>
      <c r="D387" s="21"/>
      <c r="E387" s="21"/>
      <c r="G387" s="21"/>
    </row>
    <row r="388" spans="1:7">
      <c r="A388" s="21"/>
      <c r="B388" s="21"/>
      <c r="C388" s="21"/>
      <c r="D388" s="21"/>
      <c r="E388" s="21"/>
      <c r="G388" s="21"/>
    </row>
    <row r="389" spans="1:7">
      <c r="A389" s="21"/>
      <c r="B389" s="21"/>
      <c r="C389" s="21"/>
      <c r="D389" s="21"/>
      <c r="E389" s="21"/>
      <c r="G389" s="21"/>
    </row>
    <row r="390" spans="1:7">
      <c r="A390" s="21"/>
      <c r="B390" s="21"/>
      <c r="C390" s="21"/>
      <c r="D390" s="21"/>
      <c r="E390" s="21"/>
      <c r="G390" s="21"/>
    </row>
    <row r="391" spans="1:7">
      <c r="A391" s="21"/>
      <c r="B391" s="21"/>
      <c r="C391" s="21"/>
      <c r="D391" s="21"/>
      <c r="E391" s="21"/>
      <c r="G391" s="21"/>
    </row>
    <row r="392" spans="1:7">
      <c r="A392" s="21"/>
      <c r="B392" s="21"/>
      <c r="C392" s="21"/>
      <c r="D392" s="21"/>
      <c r="E392" s="21"/>
      <c r="G392" s="21"/>
    </row>
    <row r="393" spans="1:7">
      <c r="A393" s="21"/>
      <c r="B393" s="21"/>
      <c r="C393" s="21"/>
      <c r="D393" s="21"/>
      <c r="E393" s="21"/>
      <c r="G393" s="21"/>
    </row>
    <row r="394" spans="1:7">
      <c r="A394" s="21"/>
      <c r="B394" s="21"/>
      <c r="C394" s="21"/>
      <c r="D394" s="21"/>
      <c r="E394" s="21"/>
      <c r="G394" s="21"/>
    </row>
    <row r="395" spans="1:7">
      <c r="A395" s="21"/>
      <c r="B395" s="21"/>
      <c r="C395" s="21"/>
      <c r="D395" s="21"/>
      <c r="E395" s="21"/>
      <c r="G395" s="21"/>
    </row>
    <row r="396" spans="1:7">
      <c r="A396" s="21"/>
      <c r="B396" s="21"/>
      <c r="C396" s="21"/>
      <c r="D396" s="21"/>
      <c r="E396" s="21"/>
      <c r="G396" s="21"/>
    </row>
    <row r="397" spans="1:7">
      <c r="A397" s="21"/>
      <c r="B397" s="21"/>
      <c r="C397" s="21"/>
      <c r="D397" s="21"/>
      <c r="E397" s="21"/>
      <c r="G397" s="21"/>
    </row>
    <row r="398" spans="1:7">
      <c r="A398" s="21"/>
      <c r="B398" s="21"/>
      <c r="C398" s="21"/>
      <c r="D398" s="21"/>
      <c r="E398" s="21"/>
      <c r="G398" s="21"/>
    </row>
    <row r="399" spans="1:7">
      <c r="A399" s="21"/>
      <c r="B399" s="21"/>
      <c r="C399" s="21"/>
      <c r="D399" s="21"/>
      <c r="E399" s="21"/>
      <c r="G399" s="21"/>
    </row>
    <row r="400" spans="1:7">
      <c r="A400" s="21"/>
      <c r="B400" s="21"/>
      <c r="C400" s="21"/>
      <c r="D400" s="21"/>
      <c r="E400" s="21"/>
      <c r="G400" s="21"/>
    </row>
    <row r="401" spans="1:7">
      <c r="A401" s="21"/>
      <c r="B401" s="21"/>
      <c r="C401" s="21"/>
      <c r="D401" s="21"/>
      <c r="E401" s="21"/>
      <c r="G401" s="21"/>
    </row>
    <row r="402" spans="1:7">
      <c r="A402" s="21"/>
      <c r="B402" s="21"/>
      <c r="C402" s="21"/>
      <c r="D402" s="21"/>
      <c r="E402" s="21"/>
      <c r="G402" s="21"/>
    </row>
    <row r="403" spans="1:7">
      <c r="A403" s="21"/>
      <c r="B403" s="21"/>
      <c r="C403" s="21"/>
      <c r="D403" s="21"/>
      <c r="E403" s="21"/>
      <c r="G403" s="21"/>
    </row>
    <row r="404" spans="1:7">
      <c r="A404" s="21"/>
      <c r="B404" s="21"/>
      <c r="C404" s="21"/>
      <c r="D404" s="21"/>
      <c r="E404" s="21"/>
      <c r="G404" s="21"/>
    </row>
    <row r="405" spans="1:7">
      <c r="A405" s="21"/>
      <c r="B405" s="21"/>
      <c r="C405" s="21"/>
      <c r="D405" s="21"/>
      <c r="E405" s="21"/>
      <c r="G405" s="21"/>
    </row>
    <row r="406" spans="1:7">
      <c r="A406" s="21"/>
      <c r="B406" s="21"/>
      <c r="C406" s="21"/>
      <c r="D406" s="21"/>
      <c r="E406" s="21"/>
      <c r="G406" s="21"/>
    </row>
    <row r="407" spans="1:7">
      <c r="A407" s="21"/>
      <c r="B407" s="21"/>
      <c r="C407" s="21"/>
      <c r="D407" s="21"/>
      <c r="E407" s="21"/>
      <c r="G407" s="21"/>
    </row>
    <row r="408" spans="1:7">
      <c r="A408" s="21"/>
      <c r="B408" s="21"/>
      <c r="C408" s="21"/>
      <c r="D408" s="21"/>
      <c r="E408" s="21"/>
      <c r="G408" s="21"/>
    </row>
    <row r="409" spans="1:7">
      <c r="A409" s="21"/>
      <c r="B409" s="21"/>
      <c r="C409" s="21"/>
      <c r="D409" s="21"/>
      <c r="E409" s="21"/>
      <c r="G409" s="21"/>
    </row>
    <row r="410" spans="1:7">
      <c r="A410" s="21"/>
      <c r="B410" s="21"/>
      <c r="C410" s="21"/>
      <c r="D410" s="21"/>
      <c r="E410" s="21"/>
      <c r="G410" s="21"/>
    </row>
    <row r="411" spans="1:7">
      <c r="A411" s="21"/>
      <c r="B411" s="21"/>
      <c r="C411" s="21"/>
      <c r="D411" s="21"/>
      <c r="E411" s="21"/>
      <c r="G411" s="21"/>
    </row>
    <row r="412" spans="1:7">
      <c r="A412" s="21"/>
      <c r="B412" s="21"/>
      <c r="C412" s="21"/>
      <c r="D412" s="21"/>
      <c r="E412" s="21"/>
      <c r="G412" s="21"/>
    </row>
    <row r="413" spans="1:7">
      <c r="A413" s="21"/>
      <c r="B413" s="21"/>
      <c r="C413" s="21"/>
      <c r="D413" s="21"/>
      <c r="E413" s="21"/>
      <c r="G413" s="21"/>
    </row>
    <row r="414" spans="1:7">
      <c r="A414" s="21"/>
      <c r="B414" s="21"/>
      <c r="C414" s="21"/>
      <c r="D414" s="21"/>
      <c r="E414" s="21"/>
      <c r="G414" s="21"/>
    </row>
    <row r="415" spans="1:7">
      <c r="A415" s="21"/>
      <c r="B415" s="21"/>
      <c r="C415" s="21"/>
      <c r="D415" s="21"/>
      <c r="E415" s="21"/>
      <c r="G415" s="21"/>
    </row>
    <row r="416" spans="1:7">
      <c r="A416" s="21"/>
      <c r="B416" s="21"/>
      <c r="C416" s="21"/>
      <c r="D416" s="21"/>
      <c r="E416" s="21"/>
      <c r="G416" s="21"/>
    </row>
    <row r="417" spans="1:7">
      <c r="A417" s="21"/>
      <c r="B417" s="21"/>
      <c r="C417" s="21"/>
      <c r="D417" s="21"/>
      <c r="E417" s="21"/>
      <c r="G417" s="21"/>
    </row>
    <row r="418" spans="1:7">
      <c r="A418" s="21"/>
      <c r="B418" s="21"/>
      <c r="C418" s="21"/>
      <c r="D418" s="21"/>
      <c r="E418" s="21"/>
      <c r="G418" s="21"/>
    </row>
    <row r="419" spans="1:7">
      <c r="A419" s="21"/>
      <c r="B419" s="21"/>
      <c r="C419" s="21"/>
      <c r="D419" s="21"/>
      <c r="E419" s="21"/>
      <c r="G419" s="21"/>
    </row>
    <row r="420" spans="1:7">
      <c r="A420" s="21"/>
      <c r="B420" s="21"/>
      <c r="C420" s="21"/>
      <c r="D420" s="21"/>
      <c r="E420" s="21"/>
      <c r="G420" s="21"/>
    </row>
    <row r="421" spans="1:7">
      <c r="A421" s="21"/>
      <c r="B421" s="21"/>
      <c r="C421" s="21"/>
      <c r="D421" s="21"/>
      <c r="E421" s="21"/>
      <c r="G421" s="21"/>
    </row>
    <row r="422" spans="1:7">
      <c r="A422" s="21"/>
      <c r="B422" s="21"/>
      <c r="C422" s="21"/>
      <c r="D422" s="21"/>
      <c r="E422" s="21"/>
      <c r="G422" s="21"/>
    </row>
    <row r="423" spans="1:7">
      <c r="A423" s="21"/>
      <c r="B423" s="21"/>
      <c r="C423" s="21"/>
      <c r="D423" s="21"/>
      <c r="E423" s="21"/>
      <c r="G423" s="21"/>
    </row>
    <row r="424" spans="1:7">
      <c r="A424" s="21"/>
      <c r="B424" s="21"/>
      <c r="C424" s="21"/>
      <c r="D424" s="21"/>
      <c r="E424" s="21"/>
      <c r="G424" s="21"/>
    </row>
    <row r="425" spans="1:7">
      <c r="A425" s="21"/>
      <c r="B425" s="21"/>
      <c r="C425" s="21"/>
      <c r="D425" s="21"/>
      <c r="E425" s="21"/>
      <c r="G425" s="21"/>
    </row>
    <row r="426" spans="1:7">
      <c r="A426" s="21"/>
      <c r="B426" s="21"/>
      <c r="C426" s="21"/>
      <c r="D426" s="21"/>
      <c r="E426" s="21"/>
      <c r="G426" s="21"/>
    </row>
    <row r="427" spans="1:7">
      <c r="A427" s="21"/>
      <c r="B427" s="21"/>
      <c r="C427" s="21"/>
      <c r="D427" s="21"/>
      <c r="E427" s="21"/>
      <c r="G427" s="21"/>
    </row>
    <row r="428" spans="1:7">
      <c r="A428" s="21"/>
      <c r="B428" s="21"/>
      <c r="C428" s="21"/>
      <c r="D428" s="21"/>
      <c r="E428" s="21"/>
      <c r="G428" s="21"/>
    </row>
    <row r="429" spans="1:7">
      <c r="A429" s="21"/>
      <c r="B429" s="21"/>
      <c r="C429" s="21"/>
      <c r="D429" s="21"/>
      <c r="E429" s="21"/>
      <c r="G429" s="21"/>
    </row>
    <row r="430" spans="1:7">
      <c r="A430" s="21"/>
      <c r="B430" s="21"/>
      <c r="C430" s="21"/>
      <c r="D430" s="21"/>
      <c r="E430" s="21"/>
      <c r="G430" s="21"/>
    </row>
    <row r="431" spans="1:7">
      <c r="A431" s="21"/>
      <c r="B431" s="21"/>
      <c r="C431" s="21"/>
      <c r="D431" s="21"/>
      <c r="E431" s="21"/>
      <c r="G431" s="21"/>
    </row>
    <row r="432" spans="1:7">
      <c r="A432" s="21"/>
      <c r="B432" s="21"/>
      <c r="C432" s="21"/>
      <c r="D432" s="21"/>
      <c r="E432" s="21"/>
      <c r="G432" s="21"/>
    </row>
    <row r="433" spans="1:7">
      <c r="A433" s="21"/>
      <c r="B433" s="21"/>
      <c r="C433" s="21"/>
      <c r="D433" s="21"/>
      <c r="E433" s="21"/>
      <c r="G433" s="21"/>
    </row>
    <row r="434" spans="1:7">
      <c r="A434" s="21"/>
      <c r="B434" s="21"/>
      <c r="C434" s="21"/>
      <c r="D434" s="21"/>
      <c r="E434" s="21"/>
      <c r="G434" s="21"/>
    </row>
    <row r="435" spans="1:7">
      <c r="A435" s="21"/>
      <c r="B435" s="21"/>
      <c r="C435" s="21"/>
      <c r="D435" s="21"/>
      <c r="E435" s="21"/>
      <c r="G435" s="21"/>
    </row>
    <row r="436" spans="1:7">
      <c r="A436" s="21"/>
      <c r="B436" s="21"/>
      <c r="C436" s="21"/>
      <c r="D436" s="21"/>
      <c r="E436" s="21"/>
      <c r="G436" s="21"/>
    </row>
    <row r="437" spans="1:7">
      <c r="A437" s="21"/>
      <c r="B437" s="21"/>
      <c r="C437" s="21"/>
      <c r="D437" s="21"/>
      <c r="E437" s="21"/>
      <c r="G437" s="21"/>
    </row>
    <row r="438" spans="1:7">
      <c r="A438" s="21"/>
      <c r="B438" s="21"/>
      <c r="C438" s="21"/>
      <c r="D438" s="21"/>
      <c r="E438" s="21"/>
      <c r="G438" s="21"/>
    </row>
    <row r="439" spans="1:7">
      <c r="A439" s="21"/>
      <c r="B439" s="21"/>
      <c r="C439" s="21"/>
      <c r="D439" s="21"/>
      <c r="E439" s="21"/>
      <c r="G439" s="21"/>
    </row>
    <row r="440" spans="1:7">
      <c r="A440" s="21"/>
      <c r="B440" s="21"/>
      <c r="C440" s="21"/>
      <c r="D440" s="21"/>
      <c r="E440" s="21"/>
      <c r="G440" s="21"/>
    </row>
    <row r="441" spans="1:7">
      <c r="A441" s="21"/>
      <c r="B441" s="21"/>
      <c r="C441" s="21"/>
      <c r="D441" s="21"/>
      <c r="E441" s="21"/>
      <c r="G441" s="21"/>
    </row>
    <row r="442" spans="1:7">
      <c r="A442" s="21"/>
      <c r="B442" s="21"/>
      <c r="C442" s="21"/>
      <c r="D442" s="21"/>
      <c r="E442" s="21"/>
      <c r="G442" s="21"/>
    </row>
    <row r="443" spans="1:7">
      <c r="A443" s="21"/>
      <c r="B443" s="21"/>
      <c r="C443" s="21"/>
      <c r="D443" s="21"/>
      <c r="E443" s="21"/>
      <c r="G443" s="21"/>
    </row>
    <row r="444" spans="1:7">
      <c r="A444" s="21"/>
      <c r="B444" s="21"/>
      <c r="C444" s="21"/>
      <c r="D444" s="21"/>
      <c r="E444" s="21"/>
      <c r="G444" s="21"/>
    </row>
    <row r="445" spans="1:7">
      <c r="A445" s="21"/>
      <c r="B445" s="21"/>
      <c r="C445" s="21"/>
      <c r="D445" s="21"/>
      <c r="E445" s="21"/>
      <c r="G445" s="21"/>
    </row>
    <row r="446" spans="1:7">
      <c r="A446" s="21"/>
      <c r="B446" s="21"/>
      <c r="C446" s="21"/>
      <c r="D446" s="21"/>
      <c r="E446" s="21"/>
      <c r="G446" s="21"/>
    </row>
    <row r="447" spans="1:7">
      <c r="A447" s="21"/>
      <c r="B447" s="21"/>
      <c r="C447" s="21"/>
      <c r="D447" s="21"/>
      <c r="E447" s="21"/>
      <c r="G447" s="21"/>
    </row>
    <row r="448" spans="1:7">
      <c r="A448" s="21"/>
      <c r="B448" s="21"/>
      <c r="C448" s="21"/>
      <c r="D448" s="21"/>
      <c r="E448" s="21"/>
      <c r="G448" s="21"/>
    </row>
    <row r="449" spans="1:7">
      <c r="A449" s="21"/>
      <c r="B449" s="21"/>
      <c r="C449" s="21"/>
      <c r="D449" s="21"/>
      <c r="E449" s="21"/>
      <c r="G449" s="21"/>
    </row>
    <row r="450" spans="1:7">
      <c r="A450" s="21"/>
      <c r="B450" s="21"/>
      <c r="C450" s="21"/>
      <c r="D450" s="21"/>
      <c r="E450" s="21"/>
      <c r="G450" s="21"/>
    </row>
    <row r="451" spans="1:7">
      <c r="A451" s="21"/>
      <c r="B451" s="21"/>
      <c r="C451" s="21"/>
      <c r="D451" s="21"/>
      <c r="E451" s="21"/>
      <c r="G451" s="21"/>
    </row>
    <row r="452" spans="1:7">
      <c r="A452" s="21"/>
      <c r="B452" s="21"/>
      <c r="C452" s="21"/>
      <c r="D452" s="21"/>
      <c r="E452" s="21"/>
      <c r="G452" s="21"/>
    </row>
    <row r="453" spans="1:7">
      <c r="A453" s="21"/>
      <c r="B453" s="21"/>
      <c r="C453" s="21"/>
      <c r="D453" s="21"/>
      <c r="E453" s="21"/>
      <c r="G453" s="21"/>
    </row>
    <row r="454" spans="1:7">
      <c r="A454" s="21"/>
      <c r="B454" s="21"/>
      <c r="C454" s="21"/>
      <c r="D454" s="21"/>
      <c r="E454" s="21"/>
      <c r="G454" s="21"/>
    </row>
    <row r="455" spans="1:7">
      <c r="A455" s="21"/>
      <c r="B455" s="21"/>
      <c r="C455" s="21"/>
      <c r="D455" s="21"/>
      <c r="E455" s="21"/>
      <c r="G455" s="21"/>
    </row>
    <row r="456" spans="1:7">
      <c r="A456" s="21"/>
      <c r="B456" s="21"/>
      <c r="C456" s="21"/>
      <c r="D456" s="21"/>
      <c r="E456" s="21"/>
      <c r="G456" s="21"/>
    </row>
    <row r="457" spans="1:7">
      <c r="A457" s="21"/>
      <c r="B457" s="21"/>
      <c r="C457" s="21"/>
      <c r="D457" s="21"/>
      <c r="E457" s="21"/>
      <c r="G457" s="21"/>
    </row>
    <row r="458" spans="1:7">
      <c r="A458" s="21"/>
      <c r="B458" s="21"/>
      <c r="C458" s="21"/>
      <c r="D458" s="21"/>
      <c r="E458" s="21"/>
      <c r="G458" s="21"/>
    </row>
    <row r="459" spans="1:7">
      <c r="A459" s="21"/>
      <c r="B459" s="21"/>
      <c r="C459" s="21"/>
      <c r="D459" s="21"/>
      <c r="E459" s="21"/>
      <c r="G459" s="21"/>
    </row>
    <row r="460" spans="1:7">
      <c r="A460" s="21"/>
      <c r="B460" s="21"/>
      <c r="C460" s="21"/>
      <c r="D460" s="21"/>
      <c r="E460" s="21"/>
      <c r="G460" s="21"/>
    </row>
    <row r="461" spans="1:7">
      <c r="A461" s="21"/>
      <c r="B461" s="21"/>
      <c r="C461" s="21"/>
      <c r="D461" s="21"/>
      <c r="E461" s="21"/>
      <c r="G461" s="21"/>
    </row>
    <row r="462" spans="1:7">
      <c r="A462" s="21"/>
      <c r="B462" s="21"/>
      <c r="C462" s="21"/>
      <c r="D462" s="21"/>
      <c r="E462" s="21"/>
      <c r="G462" s="21"/>
    </row>
    <row r="463" spans="1:7">
      <c r="A463" s="21"/>
      <c r="B463" s="21"/>
      <c r="C463" s="21"/>
      <c r="D463" s="21"/>
      <c r="E463" s="21"/>
      <c r="G463" s="21"/>
    </row>
    <row r="464" spans="1:7">
      <c r="A464" s="21"/>
      <c r="B464" s="21"/>
      <c r="C464" s="21"/>
      <c r="D464" s="21"/>
      <c r="E464" s="21"/>
      <c r="G464" s="21"/>
    </row>
    <row r="465" spans="1:7">
      <c r="A465" s="21"/>
      <c r="B465" s="21"/>
      <c r="C465" s="21"/>
      <c r="D465" s="21"/>
      <c r="E465" s="21"/>
      <c r="G465" s="21"/>
    </row>
    <row r="466" spans="1:7">
      <c r="A466" s="21"/>
      <c r="B466" s="21"/>
      <c r="C466" s="21"/>
      <c r="D466" s="21"/>
      <c r="E466" s="21"/>
      <c r="G466" s="21"/>
    </row>
    <row r="467" spans="1:7">
      <c r="A467" s="21"/>
      <c r="B467" s="21"/>
      <c r="C467" s="21"/>
      <c r="D467" s="21"/>
      <c r="E467" s="21"/>
      <c r="G467" s="21"/>
    </row>
    <row r="468" spans="1:7">
      <c r="A468" s="21"/>
      <c r="B468" s="21"/>
      <c r="C468" s="21"/>
      <c r="D468" s="21"/>
      <c r="E468" s="21"/>
      <c r="G468" s="21"/>
    </row>
    <row r="469" spans="1:7">
      <c r="A469" s="21"/>
      <c r="B469" s="21"/>
      <c r="C469" s="21"/>
      <c r="D469" s="21"/>
      <c r="E469" s="21"/>
      <c r="G469" s="21"/>
    </row>
    <row r="470" spans="1:7">
      <c r="A470" s="21"/>
      <c r="B470" s="21"/>
      <c r="C470" s="21"/>
      <c r="D470" s="21"/>
      <c r="E470" s="21"/>
      <c r="G470" s="21"/>
    </row>
    <row r="471" spans="1:7">
      <c r="A471" s="21"/>
      <c r="B471" s="21"/>
      <c r="C471" s="21"/>
      <c r="D471" s="21"/>
      <c r="E471" s="21"/>
      <c r="G471" s="21"/>
    </row>
    <row r="472" spans="1:7">
      <c r="A472" s="21"/>
      <c r="B472" s="21"/>
      <c r="C472" s="21"/>
      <c r="D472" s="21"/>
      <c r="E472" s="21"/>
      <c r="G472" s="21"/>
    </row>
    <row r="473" spans="1:7">
      <c r="A473" s="21"/>
      <c r="B473" s="21"/>
      <c r="C473" s="21"/>
      <c r="D473" s="21"/>
      <c r="E473" s="21"/>
      <c r="G473" s="21"/>
    </row>
    <row r="474" spans="1:7">
      <c r="A474" s="21"/>
      <c r="B474" s="21"/>
      <c r="C474" s="21"/>
      <c r="D474" s="21"/>
      <c r="E474" s="21"/>
      <c r="G474" s="21"/>
    </row>
    <row r="475" spans="1:7">
      <c r="A475" s="21"/>
      <c r="B475" s="21"/>
      <c r="C475" s="21"/>
      <c r="D475" s="21"/>
      <c r="E475" s="21"/>
      <c r="G475" s="21"/>
    </row>
    <row r="476" spans="1:7">
      <c r="A476" s="21"/>
      <c r="B476" s="21"/>
      <c r="C476" s="21"/>
      <c r="D476" s="21"/>
      <c r="E476" s="21"/>
      <c r="G476" s="21"/>
    </row>
    <row r="477" spans="1:7">
      <c r="A477" s="21"/>
      <c r="B477" s="21"/>
      <c r="C477" s="21"/>
      <c r="D477" s="21"/>
      <c r="E477" s="21"/>
      <c r="G477" s="21"/>
    </row>
    <row r="478" spans="1:7">
      <c r="A478" s="21"/>
      <c r="B478" s="21"/>
      <c r="C478" s="21"/>
      <c r="D478" s="21"/>
      <c r="E478" s="21"/>
      <c r="G478" s="21"/>
    </row>
    <row r="479" spans="1:7">
      <c r="A479" s="21"/>
      <c r="B479" s="21"/>
      <c r="C479" s="21"/>
      <c r="D479" s="21"/>
      <c r="E479" s="21"/>
      <c r="G479" s="21"/>
    </row>
    <row r="480" spans="1:7">
      <c r="A480" s="21"/>
      <c r="B480" s="21"/>
      <c r="C480" s="21"/>
      <c r="D480" s="21"/>
      <c r="E480" s="21"/>
      <c r="G480" s="21"/>
    </row>
    <row r="481" spans="1:7">
      <c r="A481" s="21"/>
      <c r="B481" s="21"/>
      <c r="C481" s="21"/>
      <c r="D481" s="21"/>
      <c r="E481" s="21"/>
      <c r="G481" s="21"/>
    </row>
    <row r="482" spans="1:7">
      <c r="A482" s="21"/>
      <c r="B482" s="21"/>
      <c r="C482" s="21"/>
      <c r="D482" s="21"/>
      <c r="E482" s="21"/>
      <c r="G482" s="21"/>
    </row>
    <row r="483" spans="1:7">
      <c r="A483" s="21"/>
      <c r="B483" s="21"/>
      <c r="C483" s="21"/>
      <c r="D483" s="21"/>
      <c r="E483" s="21"/>
      <c r="G483" s="21"/>
    </row>
    <row r="484" spans="1:7">
      <c r="A484" s="21"/>
      <c r="B484" s="21"/>
      <c r="C484" s="21"/>
      <c r="D484" s="21"/>
      <c r="E484" s="21"/>
      <c r="G484" s="21"/>
    </row>
    <row r="485" spans="1:7">
      <c r="A485" s="21"/>
      <c r="B485" s="21"/>
      <c r="C485" s="21"/>
      <c r="D485" s="21"/>
      <c r="E485" s="21"/>
      <c r="G485" s="21"/>
    </row>
    <row r="486" spans="1:7">
      <c r="A486" s="21"/>
      <c r="B486" s="21"/>
      <c r="C486" s="21"/>
      <c r="D486" s="21"/>
      <c r="E486" s="21"/>
      <c r="G486" s="21"/>
    </row>
    <row r="487" spans="1:7">
      <c r="A487" s="21"/>
      <c r="B487" s="21"/>
      <c r="C487" s="21"/>
      <c r="D487" s="21"/>
      <c r="E487" s="21"/>
      <c r="G487" s="21"/>
    </row>
    <row r="488" spans="1:7">
      <c r="A488" s="21"/>
      <c r="B488" s="21"/>
      <c r="C488" s="21"/>
      <c r="D488" s="21"/>
      <c r="E488" s="21"/>
      <c r="G488" s="21"/>
    </row>
    <row r="489" spans="1:7">
      <c r="A489" s="21"/>
      <c r="B489" s="21"/>
      <c r="C489" s="21"/>
      <c r="D489" s="21"/>
      <c r="E489" s="21"/>
      <c r="G489" s="21"/>
    </row>
    <row r="490" spans="1:7">
      <c r="A490" s="21"/>
      <c r="B490" s="21"/>
      <c r="C490" s="21"/>
      <c r="D490" s="21"/>
      <c r="E490" s="21"/>
      <c r="G490" s="21"/>
    </row>
    <row r="491" spans="1:7">
      <c r="A491" s="21"/>
      <c r="B491" s="21"/>
      <c r="C491" s="21"/>
      <c r="D491" s="21"/>
      <c r="E491" s="21"/>
      <c r="G491" s="21"/>
    </row>
    <row r="492" spans="1:7">
      <c r="A492" s="21"/>
      <c r="B492" s="21"/>
      <c r="C492" s="21"/>
      <c r="D492" s="21"/>
      <c r="E492" s="21"/>
      <c r="G492" s="21"/>
    </row>
    <row r="493" spans="1:7">
      <c r="A493" s="21"/>
      <c r="B493" s="21"/>
      <c r="C493" s="21"/>
      <c r="D493" s="21"/>
      <c r="E493" s="21"/>
      <c r="G493" s="21"/>
    </row>
    <row r="494" spans="1:7">
      <c r="A494" s="21"/>
      <c r="B494" s="21"/>
      <c r="C494" s="21"/>
      <c r="D494" s="21"/>
      <c r="E494" s="21"/>
      <c r="G494" s="21"/>
    </row>
    <row r="495" spans="1:7">
      <c r="A495" s="21"/>
      <c r="B495" s="21"/>
      <c r="C495" s="21"/>
      <c r="D495" s="21"/>
      <c r="E495" s="21"/>
      <c r="G495" s="21"/>
    </row>
    <row r="496" spans="1:7">
      <c r="A496" s="21"/>
      <c r="B496" s="21"/>
      <c r="C496" s="21"/>
      <c r="D496" s="21"/>
      <c r="E496" s="21"/>
      <c r="G496" s="21"/>
    </row>
    <row r="497" spans="1:7">
      <c r="A497" s="21"/>
      <c r="B497" s="21"/>
      <c r="C497" s="21"/>
      <c r="D497" s="21"/>
      <c r="E497" s="21"/>
      <c r="G497" s="21"/>
    </row>
    <row r="498" spans="1:7">
      <c r="A498" s="21"/>
      <c r="B498" s="21"/>
      <c r="C498" s="21"/>
      <c r="D498" s="21"/>
      <c r="E498" s="21"/>
      <c r="G498" s="21"/>
    </row>
    <row r="499" spans="1:7">
      <c r="A499" s="21"/>
      <c r="B499" s="21"/>
      <c r="C499" s="21"/>
      <c r="D499" s="21"/>
      <c r="E499" s="21"/>
      <c r="G499" s="21"/>
    </row>
    <row r="500" spans="1:7">
      <c r="A500" s="21"/>
      <c r="B500" s="21"/>
      <c r="C500" s="21"/>
      <c r="D500" s="21"/>
      <c r="E500" s="21"/>
      <c r="G500" s="21"/>
    </row>
    <row r="501" spans="1:7">
      <c r="A501" s="21"/>
      <c r="B501" s="21"/>
      <c r="C501" s="21"/>
      <c r="D501" s="21"/>
      <c r="E501" s="21"/>
      <c r="G501" s="21"/>
    </row>
    <row r="502" spans="1:7">
      <c r="A502" s="21"/>
      <c r="B502" s="21"/>
      <c r="C502" s="21"/>
      <c r="D502" s="21"/>
      <c r="E502" s="21"/>
      <c r="G502" s="21"/>
    </row>
    <row r="503" spans="1:7">
      <c r="A503" s="21"/>
      <c r="B503" s="21"/>
      <c r="C503" s="21"/>
      <c r="D503" s="21"/>
      <c r="E503" s="21"/>
      <c r="G503" s="21"/>
    </row>
    <row r="504" spans="1:7">
      <c r="A504" s="21"/>
      <c r="B504" s="21"/>
      <c r="C504" s="21"/>
      <c r="D504" s="21"/>
      <c r="E504" s="21"/>
      <c r="G504" s="21"/>
    </row>
    <row r="505" spans="1:7">
      <c r="A505" s="21"/>
      <c r="B505" s="21"/>
      <c r="C505" s="21"/>
      <c r="D505" s="21"/>
      <c r="E505" s="21"/>
      <c r="G505" s="21"/>
    </row>
    <row r="506" spans="1:7">
      <c r="A506" s="21"/>
      <c r="B506" s="21"/>
      <c r="C506" s="21"/>
      <c r="D506" s="21"/>
      <c r="E506" s="21"/>
      <c r="G506" s="21"/>
    </row>
    <row r="507" spans="1:7">
      <c r="A507" s="21"/>
      <c r="B507" s="21"/>
      <c r="C507" s="21"/>
      <c r="D507" s="21"/>
      <c r="E507" s="21"/>
      <c r="G507" s="21"/>
    </row>
    <row r="508" spans="1:7">
      <c r="A508" s="21"/>
      <c r="B508" s="21"/>
      <c r="C508" s="21"/>
      <c r="D508" s="21"/>
      <c r="E508" s="21"/>
      <c r="G508" s="21"/>
    </row>
    <row r="509" spans="1:7">
      <c r="A509" s="21"/>
      <c r="B509" s="21"/>
      <c r="C509" s="21"/>
      <c r="D509" s="21"/>
      <c r="E509" s="21"/>
      <c r="G509" s="21"/>
    </row>
    <row r="510" spans="1:7">
      <c r="A510" s="21"/>
      <c r="B510" s="21"/>
      <c r="C510" s="21"/>
      <c r="D510" s="21"/>
      <c r="E510" s="21"/>
      <c r="G510" s="21"/>
    </row>
    <row r="511" spans="1:7">
      <c r="A511" s="21"/>
      <c r="B511" s="21"/>
      <c r="C511" s="21"/>
      <c r="D511" s="21"/>
      <c r="E511" s="21"/>
      <c r="G511" s="21"/>
    </row>
    <row r="512" spans="1:7">
      <c r="A512" s="21"/>
      <c r="B512" s="21"/>
      <c r="C512" s="21"/>
      <c r="D512" s="21"/>
      <c r="E512" s="21"/>
      <c r="G512" s="21"/>
    </row>
    <row r="513" spans="1:7">
      <c r="A513" s="21"/>
      <c r="B513" s="21"/>
      <c r="C513" s="21"/>
      <c r="D513" s="21"/>
      <c r="E513" s="21"/>
      <c r="G513" s="21"/>
    </row>
    <row r="514" spans="1:7">
      <c r="A514" s="21"/>
      <c r="B514" s="21"/>
      <c r="C514" s="21"/>
      <c r="D514" s="21"/>
      <c r="E514" s="21"/>
      <c r="G514" s="21"/>
    </row>
    <row r="515" spans="1:7">
      <c r="A515" s="21"/>
      <c r="B515" s="21"/>
      <c r="C515" s="21"/>
      <c r="D515" s="21"/>
      <c r="E515" s="21"/>
      <c r="G515" s="21"/>
    </row>
    <row r="516" spans="1:7">
      <c r="A516" s="21"/>
      <c r="B516" s="21"/>
      <c r="C516" s="21"/>
      <c r="D516" s="21"/>
      <c r="E516" s="21"/>
      <c r="G516" s="21"/>
    </row>
    <row r="517" spans="1:7">
      <c r="A517" s="21"/>
      <c r="B517" s="21"/>
      <c r="C517" s="21"/>
      <c r="D517" s="21"/>
      <c r="E517" s="21"/>
      <c r="G517" s="21"/>
    </row>
    <row r="518" spans="1:7">
      <c r="A518" s="21"/>
      <c r="B518" s="21"/>
      <c r="C518" s="21"/>
      <c r="D518" s="21"/>
      <c r="E518" s="21"/>
      <c r="G518" s="21"/>
    </row>
    <row r="519" spans="1:7">
      <c r="A519" s="21"/>
      <c r="B519" s="21"/>
      <c r="C519" s="21"/>
      <c r="D519" s="21"/>
      <c r="E519" s="21"/>
      <c r="G519" s="21"/>
    </row>
    <row r="520" spans="1:7">
      <c r="A520" s="21"/>
      <c r="B520" s="21"/>
      <c r="C520" s="21"/>
      <c r="D520" s="21"/>
      <c r="E520" s="21"/>
      <c r="G520" s="21"/>
    </row>
    <row r="521" spans="1:7">
      <c r="A521" s="21"/>
      <c r="B521" s="21"/>
      <c r="C521" s="21"/>
      <c r="D521" s="21"/>
      <c r="E521" s="21"/>
      <c r="G521" s="21"/>
    </row>
    <row r="522" spans="1:7">
      <c r="A522" s="21"/>
      <c r="B522" s="21"/>
      <c r="C522" s="21"/>
      <c r="D522" s="21"/>
      <c r="E522" s="21"/>
      <c r="G522" s="21"/>
    </row>
    <row r="523" spans="1:7">
      <c r="A523" s="21"/>
      <c r="B523" s="21"/>
      <c r="C523" s="21"/>
      <c r="D523" s="21"/>
      <c r="E523" s="21"/>
      <c r="G523" s="21"/>
    </row>
    <row r="524" spans="1:7">
      <c r="A524" s="21"/>
      <c r="B524" s="21"/>
      <c r="C524" s="21"/>
      <c r="D524" s="21"/>
      <c r="E524" s="21"/>
      <c r="G524" s="21"/>
    </row>
    <row r="525" spans="1:7">
      <c r="A525" s="21"/>
      <c r="B525" s="21"/>
      <c r="C525" s="21"/>
      <c r="D525" s="21"/>
      <c r="E525" s="21"/>
      <c r="G525" s="21"/>
    </row>
    <row r="526" spans="1:7">
      <c r="A526" s="21"/>
      <c r="B526" s="21"/>
      <c r="C526" s="21"/>
      <c r="D526" s="21"/>
      <c r="E526" s="21"/>
      <c r="G526" s="21"/>
    </row>
    <row r="527" spans="1:7">
      <c r="A527" s="21"/>
      <c r="B527" s="21"/>
      <c r="C527" s="21"/>
      <c r="D527" s="21"/>
      <c r="E527" s="21"/>
      <c r="G527" s="21"/>
    </row>
    <row r="528" spans="1:7">
      <c r="A528" s="21"/>
      <c r="B528" s="21"/>
      <c r="C528" s="21"/>
      <c r="D528" s="21"/>
      <c r="E528" s="21"/>
      <c r="G528" s="21"/>
    </row>
    <row r="529" spans="1:7">
      <c r="A529" s="21"/>
      <c r="B529" s="21"/>
      <c r="C529" s="21"/>
      <c r="D529" s="21"/>
      <c r="E529" s="21"/>
      <c r="G529" s="21"/>
    </row>
    <row r="530" spans="1:7">
      <c r="A530" s="21"/>
      <c r="B530" s="21"/>
      <c r="C530" s="21"/>
      <c r="D530" s="21"/>
      <c r="E530" s="21"/>
      <c r="G530" s="21"/>
    </row>
    <row r="531" spans="1:7">
      <c r="A531" s="21"/>
      <c r="B531" s="21"/>
      <c r="C531" s="21"/>
      <c r="D531" s="21"/>
      <c r="E531" s="21"/>
      <c r="G531" s="21"/>
    </row>
    <row r="532" spans="1:7">
      <c r="A532" s="21"/>
      <c r="B532" s="21"/>
      <c r="C532" s="21"/>
      <c r="D532" s="21"/>
      <c r="E532" s="21"/>
      <c r="G532" s="21"/>
    </row>
    <row r="533" spans="1:7">
      <c r="A533" s="21"/>
      <c r="B533" s="21"/>
      <c r="C533" s="21"/>
      <c r="D533" s="21"/>
      <c r="E533" s="21"/>
      <c r="G533" s="21"/>
    </row>
    <row r="534" spans="1:7">
      <c r="A534" s="21"/>
      <c r="B534" s="21"/>
      <c r="C534" s="21"/>
      <c r="D534" s="21"/>
      <c r="E534" s="21"/>
      <c r="G534" s="21"/>
    </row>
    <row r="535" spans="1:7">
      <c r="A535" s="21"/>
      <c r="B535" s="21"/>
      <c r="C535" s="21"/>
      <c r="D535" s="21"/>
      <c r="E535" s="21"/>
      <c r="G535" s="21"/>
    </row>
    <row r="536" spans="1:7">
      <c r="A536" s="21"/>
      <c r="B536" s="21"/>
      <c r="C536" s="21"/>
      <c r="D536" s="21"/>
      <c r="E536" s="21"/>
      <c r="G536" s="21"/>
    </row>
    <row r="537" spans="1:7">
      <c r="A537" s="21"/>
      <c r="B537" s="21"/>
      <c r="C537" s="21"/>
      <c r="D537" s="21"/>
      <c r="E537" s="21"/>
      <c r="G537" s="21"/>
    </row>
    <row r="538" spans="1:7">
      <c r="A538" s="21"/>
      <c r="B538" s="21"/>
      <c r="C538" s="21"/>
      <c r="D538" s="21"/>
      <c r="E538" s="21"/>
      <c r="G538" s="21"/>
    </row>
    <row r="539" spans="1:7">
      <c r="A539" s="21"/>
      <c r="B539" s="21"/>
      <c r="C539" s="21"/>
      <c r="D539" s="21"/>
      <c r="E539" s="21"/>
      <c r="G539" s="21"/>
    </row>
    <row r="540" spans="1:7">
      <c r="A540" s="21"/>
      <c r="B540" s="21"/>
      <c r="C540" s="21"/>
      <c r="D540" s="21"/>
      <c r="E540" s="21"/>
      <c r="G540" s="21"/>
    </row>
    <row r="541" spans="1:7">
      <c r="A541" s="21"/>
      <c r="B541" s="21"/>
      <c r="C541" s="21"/>
      <c r="D541" s="21"/>
      <c r="E541" s="21"/>
      <c r="G541" s="21"/>
    </row>
    <row r="542" spans="1:7">
      <c r="A542" s="21"/>
      <c r="B542" s="21"/>
      <c r="C542" s="21"/>
      <c r="D542" s="21"/>
      <c r="E542" s="21"/>
      <c r="G542" s="21"/>
    </row>
    <row r="543" spans="1:7">
      <c r="A543" s="21"/>
      <c r="B543" s="21"/>
      <c r="C543" s="21"/>
      <c r="D543" s="21"/>
      <c r="E543" s="21"/>
      <c r="G543" s="21"/>
    </row>
    <row r="544" spans="1:7">
      <c r="A544" s="21"/>
      <c r="B544" s="21"/>
      <c r="C544" s="21"/>
      <c r="D544" s="21"/>
      <c r="E544" s="21"/>
      <c r="G544" s="21"/>
    </row>
    <row r="545" spans="1:7">
      <c r="A545" s="21"/>
      <c r="B545" s="21"/>
      <c r="C545" s="21"/>
      <c r="D545" s="21"/>
      <c r="E545" s="21"/>
      <c r="G545" s="21"/>
    </row>
    <row r="546" spans="1:7">
      <c r="A546" s="21"/>
      <c r="B546" s="21"/>
      <c r="C546" s="21"/>
      <c r="D546" s="21"/>
      <c r="E546" s="21"/>
      <c r="G546" s="21"/>
    </row>
    <row r="547" spans="1:7">
      <c r="A547" s="21"/>
      <c r="B547" s="21"/>
      <c r="C547" s="21"/>
      <c r="D547" s="21"/>
      <c r="E547" s="21"/>
      <c r="G547" s="21"/>
    </row>
    <row r="548" spans="1:7">
      <c r="A548" s="21"/>
      <c r="B548" s="21"/>
      <c r="C548" s="21"/>
      <c r="D548" s="21"/>
      <c r="E548" s="21"/>
      <c r="G548" s="21"/>
    </row>
    <row r="549" spans="1:7">
      <c r="A549" s="21"/>
      <c r="B549" s="21"/>
      <c r="C549" s="21"/>
      <c r="D549" s="21"/>
      <c r="E549" s="21"/>
      <c r="G549" s="21"/>
    </row>
    <row r="550" spans="1:7">
      <c r="A550" s="21"/>
      <c r="B550" s="21"/>
      <c r="C550" s="21"/>
      <c r="D550" s="21"/>
      <c r="E550" s="21"/>
      <c r="G550" s="21"/>
    </row>
    <row r="551" spans="1:7">
      <c r="A551" s="21"/>
      <c r="B551" s="21"/>
      <c r="C551" s="21"/>
      <c r="D551" s="21"/>
      <c r="E551" s="21"/>
      <c r="G551" s="21"/>
    </row>
    <row r="552" spans="1:7">
      <c r="A552" s="21"/>
      <c r="B552" s="21"/>
      <c r="C552" s="21"/>
      <c r="D552" s="21"/>
      <c r="E552" s="21"/>
      <c r="G552" s="21"/>
    </row>
    <row r="553" spans="1:7">
      <c r="A553" s="21"/>
      <c r="B553" s="21"/>
      <c r="C553" s="21"/>
      <c r="D553" s="21"/>
      <c r="E553" s="21"/>
      <c r="G553" s="21"/>
    </row>
    <row r="554" spans="1:7">
      <c r="A554" s="21"/>
      <c r="B554" s="21"/>
      <c r="C554" s="21"/>
      <c r="D554" s="21"/>
      <c r="E554" s="21"/>
      <c r="G554" s="21"/>
    </row>
    <row r="555" spans="1:7">
      <c r="A555" s="21"/>
      <c r="B555" s="21"/>
      <c r="C555" s="21"/>
      <c r="D555" s="21"/>
      <c r="E555" s="21"/>
      <c r="G555" s="21"/>
    </row>
    <row r="556" spans="1:7">
      <c r="A556" s="21"/>
      <c r="B556" s="21"/>
      <c r="C556" s="21"/>
      <c r="D556" s="21"/>
      <c r="E556" s="21"/>
      <c r="G556" s="21"/>
    </row>
    <row r="557" spans="1:7">
      <c r="A557" s="21"/>
      <c r="B557" s="21"/>
      <c r="C557" s="21"/>
      <c r="D557" s="21"/>
      <c r="E557" s="21"/>
      <c r="G557" s="21"/>
    </row>
    <row r="558" spans="1:7">
      <c r="A558" s="21"/>
      <c r="B558" s="21"/>
      <c r="C558" s="21"/>
      <c r="D558" s="21"/>
      <c r="E558" s="21"/>
      <c r="G558" s="21"/>
    </row>
    <row r="559" spans="1:7">
      <c r="A559" s="21"/>
      <c r="B559" s="21"/>
      <c r="C559" s="21"/>
      <c r="D559" s="21"/>
      <c r="E559" s="21"/>
      <c r="G559" s="21"/>
    </row>
    <row r="560" spans="1:7">
      <c r="A560" s="21"/>
      <c r="B560" s="21"/>
      <c r="C560" s="21"/>
      <c r="D560" s="21"/>
      <c r="E560" s="21"/>
      <c r="G560" s="21"/>
    </row>
    <row r="561" spans="1:7">
      <c r="A561" s="21"/>
      <c r="B561" s="21"/>
      <c r="C561" s="21"/>
      <c r="D561" s="21"/>
      <c r="E561" s="21"/>
      <c r="G561" s="21"/>
    </row>
    <row r="562" spans="1:7">
      <c r="A562" s="21"/>
      <c r="B562" s="21"/>
      <c r="C562" s="21"/>
      <c r="D562" s="21"/>
      <c r="E562" s="21"/>
      <c r="G562" s="21"/>
    </row>
    <row r="563" spans="1:7">
      <c r="A563" s="21"/>
      <c r="B563" s="21"/>
      <c r="C563" s="21"/>
      <c r="D563" s="21"/>
      <c r="E563" s="21"/>
      <c r="G563" s="21"/>
    </row>
    <row r="564" spans="1:7">
      <c r="A564" s="21"/>
      <c r="B564" s="21"/>
      <c r="C564" s="21"/>
      <c r="D564" s="21"/>
      <c r="E564" s="21"/>
      <c r="G564" s="21"/>
    </row>
    <row r="565" spans="1:7">
      <c r="A565" s="21"/>
      <c r="B565" s="21"/>
      <c r="C565" s="21"/>
      <c r="D565" s="21"/>
      <c r="E565" s="21"/>
      <c r="G565" s="21"/>
    </row>
    <row r="566" spans="1:7">
      <c r="A566" s="21"/>
      <c r="B566" s="21"/>
      <c r="C566" s="21"/>
      <c r="D566" s="21"/>
      <c r="E566" s="21"/>
      <c r="G566" s="21"/>
    </row>
    <row r="567" spans="1:7">
      <c r="A567" s="21"/>
      <c r="B567" s="21"/>
      <c r="C567" s="21"/>
      <c r="D567" s="21"/>
      <c r="E567" s="21"/>
      <c r="G567" s="21"/>
    </row>
    <row r="568" spans="1:7">
      <c r="A568" s="21"/>
      <c r="B568" s="21"/>
      <c r="C568" s="21"/>
      <c r="D568" s="21"/>
      <c r="E568" s="21"/>
      <c r="G568" s="21"/>
    </row>
    <row r="569" spans="1:7">
      <c r="A569" s="21"/>
      <c r="B569" s="21"/>
      <c r="C569" s="21"/>
      <c r="D569" s="21"/>
      <c r="E569" s="21"/>
      <c r="G569" s="21"/>
    </row>
    <row r="570" spans="1:7">
      <c r="A570" s="21"/>
      <c r="B570" s="21"/>
      <c r="C570" s="21"/>
      <c r="D570" s="21"/>
      <c r="E570" s="21"/>
      <c r="G570" s="21"/>
    </row>
    <row r="571" spans="1:7">
      <c r="A571" s="21"/>
      <c r="B571" s="21"/>
      <c r="C571" s="21"/>
      <c r="D571" s="21"/>
      <c r="E571" s="21"/>
      <c r="G571" s="21"/>
    </row>
    <row r="572" spans="1:7">
      <c r="A572" s="21"/>
      <c r="B572" s="21"/>
      <c r="C572" s="21"/>
      <c r="D572" s="21"/>
      <c r="E572" s="21"/>
      <c r="G572" s="21"/>
    </row>
    <row r="573" spans="1:7">
      <c r="A573" s="21"/>
      <c r="B573" s="21"/>
      <c r="C573" s="21"/>
      <c r="D573" s="21"/>
      <c r="E573" s="21"/>
      <c r="G573" s="21"/>
    </row>
    <row r="574" spans="1:7">
      <c r="A574" s="21"/>
      <c r="B574" s="21"/>
      <c r="C574" s="21"/>
      <c r="D574" s="21"/>
      <c r="E574" s="21"/>
      <c r="G574" s="21"/>
    </row>
    <row r="575" spans="1:7">
      <c r="A575" s="21"/>
      <c r="B575" s="21"/>
      <c r="C575" s="21"/>
      <c r="D575" s="21"/>
      <c r="E575" s="21"/>
      <c r="G575" s="21"/>
    </row>
    <row r="576" spans="1:7">
      <c r="A576" s="21"/>
      <c r="B576" s="21"/>
      <c r="C576" s="21"/>
      <c r="D576" s="21"/>
      <c r="E576" s="21"/>
      <c r="G576" s="21"/>
    </row>
    <row r="577" spans="1:7">
      <c r="A577" s="21"/>
      <c r="B577" s="21"/>
      <c r="C577" s="21"/>
      <c r="D577" s="21"/>
      <c r="E577" s="21"/>
      <c r="G577" s="21"/>
    </row>
    <row r="578" spans="1:7">
      <c r="A578" s="21"/>
      <c r="B578" s="21"/>
      <c r="C578" s="21"/>
      <c r="D578" s="21"/>
      <c r="E578" s="21"/>
      <c r="G578" s="21"/>
    </row>
    <row r="579" spans="1:7">
      <c r="A579" s="21"/>
      <c r="B579" s="21"/>
      <c r="C579" s="21"/>
      <c r="D579" s="21"/>
      <c r="E579" s="21"/>
      <c r="G579" s="21"/>
    </row>
    <row r="580" spans="1:7">
      <c r="A580" s="21"/>
      <c r="B580" s="21"/>
      <c r="C580" s="21"/>
      <c r="D580" s="21"/>
      <c r="E580" s="21"/>
      <c r="G580" s="21"/>
    </row>
    <row r="581" spans="1:7">
      <c r="A581" s="21"/>
      <c r="B581" s="21"/>
      <c r="C581" s="21"/>
      <c r="D581" s="21"/>
      <c r="E581" s="21"/>
      <c r="G581" s="21"/>
    </row>
    <row r="582" spans="1:7">
      <c r="A582" s="21"/>
      <c r="B582" s="21"/>
      <c r="C582" s="21"/>
      <c r="D582" s="21"/>
      <c r="E582" s="21"/>
      <c r="G582" s="21"/>
    </row>
    <row r="583" spans="1:7">
      <c r="A583" s="21"/>
      <c r="B583" s="21"/>
      <c r="C583" s="21"/>
      <c r="D583" s="21"/>
      <c r="E583" s="21"/>
      <c r="G583" s="21"/>
    </row>
    <row r="584" spans="1:7">
      <c r="A584" s="21"/>
      <c r="B584" s="21"/>
      <c r="C584" s="21"/>
      <c r="D584" s="21"/>
      <c r="E584" s="21"/>
      <c r="G584" s="21"/>
    </row>
    <row r="585" spans="1:7">
      <c r="A585" s="21"/>
      <c r="B585" s="21"/>
      <c r="C585" s="21"/>
      <c r="D585" s="21"/>
      <c r="E585" s="21"/>
      <c r="G585" s="21"/>
    </row>
    <row r="586" spans="1:7">
      <c r="A586" s="21"/>
      <c r="B586" s="21"/>
      <c r="C586" s="21"/>
      <c r="D586" s="21"/>
      <c r="E586" s="21"/>
      <c r="G586" s="21"/>
    </row>
    <row r="587" spans="1:7">
      <c r="A587" s="21"/>
      <c r="B587" s="21"/>
      <c r="C587" s="21"/>
      <c r="D587" s="21"/>
      <c r="E587" s="21"/>
      <c r="G587" s="21"/>
    </row>
    <row r="588" spans="1:7">
      <c r="A588" s="21"/>
      <c r="B588" s="21"/>
      <c r="C588" s="21"/>
      <c r="D588" s="21"/>
      <c r="E588" s="21"/>
      <c r="G588" s="21"/>
    </row>
    <row r="589" spans="1:7">
      <c r="A589" s="21"/>
      <c r="B589" s="21"/>
      <c r="C589" s="21"/>
      <c r="D589" s="21"/>
      <c r="E589" s="21"/>
      <c r="G589" s="21"/>
    </row>
    <row r="590" spans="1:7">
      <c r="A590" s="21"/>
      <c r="B590" s="21"/>
      <c r="C590" s="21"/>
      <c r="D590" s="21"/>
      <c r="E590" s="21"/>
      <c r="G590" s="21"/>
    </row>
    <row r="591" spans="1:7">
      <c r="A591" s="21"/>
      <c r="B591" s="21"/>
      <c r="C591" s="21"/>
      <c r="D591" s="21"/>
      <c r="E591" s="21"/>
      <c r="G591" s="21"/>
    </row>
    <row r="592" spans="1:7">
      <c r="A592" s="21"/>
      <c r="B592" s="21"/>
      <c r="C592" s="21"/>
      <c r="D592" s="21"/>
      <c r="E592" s="21"/>
      <c r="G592" s="21"/>
    </row>
    <row r="593" spans="1:7">
      <c r="A593" s="21"/>
      <c r="B593" s="21"/>
      <c r="C593" s="21"/>
      <c r="D593" s="21"/>
      <c r="E593" s="21"/>
      <c r="G593" s="21"/>
    </row>
    <row r="594" spans="1:7">
      <c r="A594" s="21"/>
      <c r="B594" s="21"/>
      <c r="C594" s="21"/>
      <c r="D594" s="21"/>
      <c r="E594" s="21"/>
      <c r="G594" s="21"/>
    </row>
    <row r="595" spans="1:7">
      <c r="A595" s="21"/>
      <c r="B595" s="21"/>
      <c r="C595" s="21"/>
      <c r="D595" s="21"/>
      <c r="E595" s="21"/>
      <c r="G595" s="21"/>
    </row>
    <row r="596" spans="1:7">
      <c r="A596" s="21"/>
      <c r="B596" s="21"/>
      <c r="C596" s="21"/>
      <c r="D596" s="21"/>
      <c r="E596" s="21"/>
      <c r="G596" s="21"/>
    </row>
    <row r="597" spans="1:7">
      <c r="A597" s="21"/>
      <c r="B597" s="21"/>
      <c r="C597" s="21"/>
      <c r="D597" s="21"/>
      <c r="E597" s="21"/>
      <c r="G597" s="21"/>
    </row>
    <row r="598" spans="1:7">
      <c r="A598" s="21"/>
      <c r="B598" s="21"/>
      <c r="C598" s="21"/>
      <c r="D598" s="21"/>
      <c r="E598" s="21"/>
      <c r="G598" s="21"/>
    </row>
    <row r="599" spans="1:7">
      <c r="A599" s="21"/>
      <c r="B599" s="21"/>
      <c r="C599" s="21"/>
      <c r="D599" s="21"/>
      <c r="E599" s="21"/>
      <c r="G599" s="21"/>
    </row>
    <row r="600" spans="1:7">
      <c r="A600" s="21"/>
      <c r="B600" s="21"/>
      <c r="C600" s="21"/>
      <c r="D600" s="21"/>
      <c r="E600" s="21"/>
      <c r="G600" s="21"/>
    </row>
    <row r="601" spans="1:7">
      <c r="A601" s="21"/>
      <c r="B601" s="21"/>
      <c r="C601" s="21"/>
      <c r="D601" s="21"/>
      <c r="E601" s="21"/>
      <c r="G601" s="21"/>
    </row>
    <row r="602" spans="1:7">
      <c r="A602" s="21"/>
      <c r="B602" s="21"/>
      <c r="C602" s="21"/>
      <c r="D602" s="21"/>
      <c r="E602" s="21"/>
      <c r="G602" s="21"/>
    </row>
    <row r="603" spans="1:7">
      <c r="A603" s="21"/>
      <c r="B603" s="21"/>
      <c r="C603" s="21"/>
      <c r="D603" s="21"/>
      <c r="E603" s="21"/>
      <c r="G603" s="21"/>
    </row>
    <row r="604" spans="1:7">
      <c r="A604" s="21"/>
      <c r="B604" s="21"/>
      <c r="C604" s="21"/>
      <c r="D604" s="21"/>
      <c r="E604" s="21"/>
      <c r="G604" s="21"/>
    </row>
    <row r="605" spans="1:7">
      <c r="A605" s="21"/>
      <c r="B605" s="21"/>
      <c r="C605" s="21"/>
      <c r="D605" s="21"/>
      <c r="E605" s="21"/>
      <c r="G605" s="21"/>
    </row>
    <row r="606" spans="1:7">
      <c r="A606" s="21"/>
      <c r="B606" s="21"/>
      <c r="C606" s="21"/>
      <c r="D606" s="21"/>
      <c r="E606" s="21"/>
      <c r="G606" s="21"/>
    </row>
    <row r="607" spans="1:7">
      <c r="A607" s="21"/>
      <c r="B607" s="21"/>
      <c r="C607" s="21"/>
      <c r="D607" s="21"/>
      <c r="E607" s="21"/>
      <c r="G607" s="21"/>
    </row>
    <row r="608" spans="1:7">
      <c r="A608" s="21"/>
      <c r="B608" s="21"/>
      <c r="C608" s="21"/>
      <c r="D608" s="21"/>
      <c r="E608" s="21"/>
      <c r="G608" s="21"/>
    </row>
    <row r="609" spans="1:7">
      <c r="A609" s="21"/>
      <c r="B609" s="21"/>
      <c r="C609" s="21"/>
      <c r="D609" s="21"/>
      <c r="E609" s="21"/>
      <c r="G609" s="21"/>
    </row>
    <row r="610" spans="1:7">
      <c r="A610" s="21"/>
      <c r="B610" s="21"/>
      <c r="C610" s="21"/>
      <c r="D610" s="21"/>
      <c r="E610" s="21"/>
      <c r="G610" s="21"/>
    </row>
    <row r="611" spans="1:7">
      <c r="A611" s="21"/>
      <c r="B611" s="21"/>
      <c r="C611" s="21"/>
      <c r="D611" s="21"/>
      <c r="E611" s="21"/>
      <c r="G611" s="21"/>
    </row>
    <row r="612" spans="1:7">
      <c r="A612" s="21"/>
      <c r="B612" s="21"/>
      <c r="C612" s="21"/>
      <c r="D612" s="21"/>
      <c r="E612" s="21"/>
      <c r="G612" s="21"/>
    </row>
    <row r="613" spans="1:7">
      <c r="A613" s="21"/>
      <c r="B613" s="21"/>
      <c r="C613" s="21"/>
      <c r="D613" s="21"/>
      <c r="E613" s="21"/>
      <c r="G613" s="21"/>
    </row>
    <row r="614" spans="1:7">
      <c r="A614" s="21"/>
      <c r="B614" s="21"/>
      <c r="C614" s="21"/>
      <c r="D614" s="21"/>
      <c r="E614" s="21"/>
      <c r="G614" s="21"/>
    </row>
    <row r="615" spans="1:7">
      <c r="A615" s="21"/>
      <c r="B615" s="21"/>
      <c r="C615" s="21"/>
      <c r="D615" s="21"/>
      <c r="E615" s="21"/>
      <c r="G615" s="21"/>
    </row>
    <row r="616" spans="1:7">
      <c r="A616" s="21"/>
      <c r="B616" s="21"/>
      <c r="C616" s="21"/>
      <c r="D616" s="21"/>
      <c r="E616" s="21"/>
      <c r="G616" s="21"/>
    </row>
    <row r="617" spans="1:7">
      <c r="A617" s="21"/>
      <c r="B617" s="21"/>
      <c r="C617" s="21"/>
      <c r="D617" s="21"/>
      <c r="E617" s="21"/>
      <c r="G617" s="21"/>
    </row>
    <row r="618" spans="1:7">
      <c r="A618" s="21"/>
      <c r="B618" s="21"/>
      <c r="C618" s="21"/>
      <c r="D618" s="21"/>
      <c r="E618" s="21"/>
      <c r="G618" s="21"/>
    </row>
    <row r="619" spans="1:7">
      <c r="A619" s="21"/>
      <c r="B619" s="21"/>
      <c r="C619" s="21"/>
      <c r="D619" s="21"/>
      <c r="E619" s="21"/>
      <c r="G619" s="21"/>
    </row>
    <row r="620" spans="1:7">
      <c r="A620" s="21"/>
      <c r="B620" s="21"/>
      <c r="C620" s="21"/>
      <c r="D620" s="21"/>
      <c r="E620" s="21"/>
      <c r="G620" s="21"/>
    </row>
    <row r="621" spans="1:7">
      <c r="A621" s="21"/>
      <c r="B621" s="21"/>
      <c r="C621" s="21"/>
      <c r="D621" s="21"/>
      <c r="E621" s="21"/>
      <c r="G621" s="21"/>
    </row>
    <row r="622" spans="1:7">
      <c r="A622" s="21"/>
      <c r="B622" s="21"/>
      <c r="C622" s="21"/>
      <c r="D622" s="21"/>
      <c r="E622" s="21"/>
      <c r="G622" s="21"/>
    </row>
    <row r="623" spans="1:7">
      <c r="A623" s="21"/>
      <c r="B623" s="21"/>
      <c r="C623" s="21"/>
      <c r="D623" s="21"/>
      <c r="E623" s="21"/>
      <c r="G623" s="21"/>
    </row>
    <row r="624" spans="1:7">
      <c r="A624" s="21"/>
      <c r="B624" s="21"/>
      <c r="C624" s="21"/>
      <c r="D624" s="21"/>
      <c r="E624" s="21"/>
      <c r="G624" s="21"/>
    </row>
    <row r="625" spans="1:7">
      <c r="A625" s="21"/>
      <c r="B625" s="21"/>
      <c r="C625" s="21"/>
      <c r="D625" s="21"/>
      <c r="E625" s="21"/>
      <c r="G625" s="21"/>
    </row>
    <row r="626" spans="1:7">
      <c r="A626" s="21"/>
      <c r="B626" s="21"/>
      <c r="C626" s="21"/>
      <c r="D626" s="21"/>
      <c r="E626" s="21"/>
      <c r="G626" s="21"/>
    </row>
    <row r="627" spans="1:7">
      <c r="A627" s="21"/>
      <c r="B627" s="21"/>
      <c r="C627" s="21"/>
      <c r="D627" s="21"/>
      <c r="E627" s="21"/>
      <c r="G627" s="21"/>
    </row>
    <row r="628" spans="1:7">
      <c r="A628" s="21"/>
      <c r="B628" s="21"/>
      <c r="C628" s="21"/>
      <c r="D628" s="21"/>
      <c r="E628" s="21"/>
      <c r="G628" s="21"/>
    </row>
    <row r="629" spans="1:7">
      <c r="A629" s="21"/>
      <c r="B629" s="21"/>
      <c r="C629" s="21"/>
      <c r="D629" s="21"/>
      <c r="E629" s="21"/>
      <c r="G629" s="21"/>
    </row>
    <row r="630" spans="1:7">
      <c r="A630" s="21"/>
      <c r="B630" s="21"/>
      <c r="C630" s="21"/>
      <c r="D630" s="21"/>
      <c r="E630" s="21"/>
      <c r="G630" s="21"/>
    </row>
    <row r="631" spans="1:7">
      <c r="A631" s="21"/>
      <c r="B631" s="21"/>
      <c r="C631" s="21"/>
      <c r="D631" s="21"/>
      <c r="E631" s="21"/>
      <c r="G631" s="21"/>
    </row>
    <row r="632" spans="1:7">
      <c r="A632" s="21"/>
      <c r="B632" s="21"/>
      <c r="C632" s="21"/>
      <c r="D632" s="21"/>
      <c r="E632" s="21"/>
      <c r="G632" s="21"/>
    </row>
    <row r="633" spans="1:7">
      <c r="A633" s="21"/>
      <c r="B633" s="21"/>
      <c r="C633" s="21"/>
      <c r="D633" s="21"/>
      <c r="E633" s="21"/>
      <c r="G633" s="21"/>
    </row>
    <row r="634" spans="1:7">
      <c r="A634" s="21"/>
      <c r="B634" s="21"/>
      <c r="C634" s="21"/>
      <c r="D634" s="21"/>
      <c r="E634" s="21"/>
      <c r="G634" s="21"/>
    </row>
    <row r="635" spans="1:7">
      <c r="A635" s="21"/>
      <c r="B635" s="21"/>
      <c r="C635" s="21"/>
      <c r="D635" s="21"/>
      <c r="E635" s="21"/>
      <c r="G635" s="21"/>
    </row>
    <row r="636" spans="1:7">
      <c r="A636" s="21"/>
      <c r="B636" s="21"/>
      <c r="C636" s="21"/>
      <c r="D636" s="21"/>
      <c r="E636" s="21"/>
      <c r="G636" s="21"/>
    </row>
    <row r="637" spans="1:7">
      <c r="A637" s="21"/>
      <c r="B637" s="21"/>
      <c r="C637" s="21"/>
      <c r="D637" s="21"/>
      <c r="E637" s="21"/>
      <c r="G637" s="21"/>
    </row>
    <row r="638" spans="1:7">
      <c r="A638" s="21"/>
      <c r="B638" s="21"/>
      <c r="C638" s="21"/>
      <c r="D638" s="21"/>
      <c r="E638" s="21"/>
      <c r="G638" s="21"/>
    </row>
    <row r="639" spans="1:7">
      <c r="A639" s="21"/>
      <c r="B639" s="21"/>
      <c r="C639" s="21"/>
      <c r="D639" s="21"/>
      <c r="E639" s="21"/>
      <c r="G639" s="21"/>
    </row>
    <row r="640" spans="1:7">
      <c r="A640" s="21"/>
      <c r="B640" s="21"/>
      <c r="C640" s="21"/>
      <c r="D640" s="21"/>
      <c r="E640" s="21"/>
      <c r="G640" s="21"/>
    </row>
    <row r="641" spans="1:7">
      <c r="A641" s="21"/>
      <c r="B641" s="21"/>
      <c r="C641" s="21"/>
      <c r="D641" s="21"/>
      <c r="E641" s="21"/>
      <c r="G641" s="21"/>
    </row>
    <row r="642" spans="1:7">
      <c r="A642" s="21"/>
      <c r="B642" s="21"/>
      <c r="C642" s="21"/>
      <c r="D642" s="21"/>
      <c r="E642" s="21"/>
      <c r="G642" s="21"/>
    </row>
    <row r="643" spans="1:7">
      <c r="A643" s="21"/>
      <c r="B643" s="21"/>
      <c r="C643" s="21"/>
      <c r="D643" s="21"/>
      <c r="E643" s="21"/>
      <c r="G643" s="21"/>
    </row>
    <row r="644" spans="1:7">
      <c r="A644" s="21"/>
      <c r="B644" s="21"/>
      <c r="C644" s="21"/>
      <c r="D644" s="21"/>
      <c r="E644" s="21"/>
      <c r="G644" s="21"/>
    </row>
    <row r="645" spans="1:7">
      <c r="A645" s="21"/>
      <c r="B645" s="21"/>
      <c r="C645" s="21"/>
      <c r="D645" s="21"/>
      <c r="E645" s="21"/>
      <c r="G645" s="21"/>
    </row>
    <row r="646" spans="1:7">
      <c r="A646" s="21"/>
      <c r="B646" s="21"/>
      <c r="C646" s="21"/>
      <c r="D646" s="21"/>
      <c r="E646" s="21"/>
      <c r="G646" s="21"/>
    </row>
    <row r="647" spans="1:7">
      <c r="A647" s="21"/>
      <c r="B647" s="21"/>
      <c r="C647" s="21"/>
      <c r="D647" s="21"/>
      <c r="E647" s="21"/>
      <c r="G647" s="21"/>
    </row>
    <row r="648" spans="1:7">
      <c r="A648" s="21"/>
      <c r="B648" s="21"/>
      <c r="C648" s="21"/>
      <c r="D648" s="21"/>
      <c r="E648" s="21"/>
      <c r="G648" s="21"/>
    </row>
    <row r="649" spans="1:7">
      <c r="A649" s="21"/>
      <c r="B649" s="21"/>
      <c r="C649" s="21"/>
      <c r="D649" s="21"/>
      <c r="E649" s="21"/>
      <c r="G649" s="21"/>
    </row>
    <row r="650" spans="1:7">
      <c r="A650" s="21"/>
      <c r="B650" s="21"/>
      <c r="C650" s="21"/>
      <c r="D650" s="21"/>
      <c r="E650" s="21"/>
      <c r="G650" s="21"/>
    </row>
    <row r="651" spans="1:7">
      <c r="A651" s="21"/>
      <c r="B651" s="21"/>
      <c r="C651" s="21"/>
      <c r="D651" s="21"/>
      <c r="E651" s="21"/>
      <c r="G651" s="21"/>
    </row>
    <row r="652" spans="1:7">
      <c r="A652" s="21"/>
      <c r="B652" s="21"/>
      <c r="C652" s="21"/>
      <c r="D652" s="21"/>
      <c r="E652" s="21"/>
      <c r="G652" s="21"/>
    </row>
    <row r="653" spans="1:7">
      <c r="A653" s="21"/>
      <c r="B653" s="21"/>
      <c r="C653" s="21"/>
      <c r="D653" s="21"/>
      <c r="E653" s="21"/>
      <c r="G653" s="21"/>
    </row>
    <row r="654" spans="1:7">
      <c r="A654" s="21"/>
      <c r="B654" s="21"/>
      <c r="C654" s="21"/>
      <c r="D654" s="21"/>
      <c r="E654" s="21"/>
      <c r="G654" s="21"/>
    </row>
    <row r="655" spans="1:7">
      <c r="A655" s="21"/>
      <c r="B655" s="21"/>
      <c r="C655" s="21"/>
      <c r="D655" s="21"/>
      <c r="E655" s="21"/>
      <c r="G655" s="21"/>
    </row>
    <row r="656" spans="1:7">
      <c r="A656" s="21"/>
      <c r="B656" s="21"/>
      <c r="C656" s="21"/>
      <c r="D656" s="21"/>
      <c r="E656" s="21"/>
      <c r="G656" s="21"/>
    </row>
    <row r="657" spans="1:7">
      <c r="A657" s="21"/>
      <c r="B657" s="21"/>
      <c r="C657" s="21"/>
      <c r="D657" s="21"/>
      <c r="E657" s="21"/>
      <c r="G657" s="21"/>
    </row>
    <row r="658" spans="1:7">
      <c r="A658" s="21"/>
      <c r="B658" s="21"/>
      <c r="C658" s="21"/>
      <c r="D658" s="21"/>
      <c r="E658" s="21"/>
      <c r="G658" s="21"/>
    </row>
    <row r="659" spans="1:7">
      <c r="A659" s="21"/>
      <c r="B659" s="21"/>
      <c r="C659" s="21"/>
      <c r="D659" s="21"/>
      <c r="E659" s="21"/>
      <c r="G659" s="21"/>
    </row>
    <row r="660" spans="1:7">
      <c r="A660" s="21"/>
      <c r="B660" s="21"/>
      <c r="C660" s="21"/>
      <c r="D660" s="21"/>
      <c r="E660" s="21"/>
      <c r="G660" s="21"/>
    </row>
    <row r="661" spans="1:7">
      <c r="A661" s="21"/>
      <c r="B661" s="21"/>
      <c r="C661" s="21"/>
      <c r="D661" s="21"/>
      <c r="E661" s="21"/>
      <c r="G661" s="21"/>
    </row>
    <row r="662" spans="1:7">
      <c r="A662" s="21"/>
      <c r="B662" s="21"/>
      <c r="C662" s="21"/>
      <c r="D662" s="21"/>
      <c r="E662" s="21"/>
      <c r="G662" s="21"/>
    </row>
    <row r="663" spans="1:7">
      <c r="A663" s="21"/>
      <c r="B663" s="21"/>
      <c r="C663" s="21"/>
      <c r="D663" s="21"/>
      <c r="E663" s="21"/>
      <c r="G663" s="21"/>
    </row>
    <row r="664" spans="1:7">
      <c r="A664" s="21"/>
      <c r="B664" s="21"/>
      <c r="C664" s="21"/>
      <c r="D664" s="21"/>
      <c r="E664" s="21"/>
      <c r="G664" s="21"/>
    </row>
    <row r="665" spans="1:7">
      <c r="A665" s="21"/>
      <c r="B665" s="21"/>
      <c r="C665" s="21"/>
      <c r="D665" s="21"/>
      <c r="E665" s="21"/>
      <c r="G665" s="21"/>
    </row>
    <row r="666" spans="1:7">
      <c r="A666" s="21"/>
      <c r="B666" s="21"/>
      <c r="C666" s="21"/>
      <c r="D666" s="21"/>
      <c r="E666" s="21"/>
      <c r="G666" s="21"/>
    </row>
    <row r="667" spans="1:7">
      <c r="A667" s="21"/>
      <c r="B667" s="21"/>
      <c r="C667" s="21"/>
      <c r="D667" s="21"/>
      <c r="E667" s="21"/>
      <c r="G667" s="21"/>
    </row>
    <row r="668" spans="1:7">
      <c r="A668" s="21"/>
      <c r="B668" s="21"/>
      <c r="C668" s="21"/>
      <c r="D668" s="21"/>
      <c r="E668" s="21"/>
      <c r="G668" s="21"/>
    </row>
    <row r="669" spans="1:7">
      <c r="A669" s="21"/>
      <c r="B669" s="21"/>
      <c r="C669" s="21"/>
      <c r="D669" s="21"/>
      <c r="E669" s="21"/>
      <c r="G669" s="21"/>
    </row>
    <row r="670" spans="1:7">
      <c r="A670" s="21"/>
      <c r="B670" s="21"/>
      <c r="C670" s="21"/>
      <c r="D670" s="21"/>
      <c r="E670" s="21"/>
      <c r="G670" s="21"/>
    </row>
    <row r="671" spans="1:7">
      <c r="A671" s="21"/>
      <c r="B671" s="21"/>
      <c r="C671" s="21"/>
      <c r="D671" s="21"/>
      <c r="E671" s="21"/>
      <c r="G671" s="21"/>
    </row>
    <row r="672" spans="1:7">
      <c r="A672" s="21"/>
      <c r="B672" s="21"/>
      <c r="C672" s="21"/>
      <c r="D672" s="21"/>
      <c r="E672" s="21"/>
      <c r="G672" s="21"/>
    </row>
    <row r="673" spans="1:7">
      <c r="A673" s="21"/>
      <c r="B673" s="21"/>
      <c r="C673" s="21"/>
      <c r="D673" s="21"/>
      <c r="E673" s="21"/>
      <c r="G673" s="21"/>
    </row>
    <row r="674" spans="1:7">
      <c r="A674" s="21"/>
      <c r="B674" s="21"/>
      <c r="C674" s="21"/>
      <c r="D674" s="21"/>
      <c r="E674" s="21"/>
      <c r="G674" s="21"/>
    </row>
    <row r="675" spans="1:7">
      <c r="A675" s="21"/>
      <c r="B675" s="21"/>
      <c r="C675" s="21"/>
      <c r="D675" s="21"/>
      <c r="E675" s="21"/>
      <c r="G675" s="21"/>
    </row>
    <row r="676" spans="1:7">
      <c r="A676" s="21"/>
      <c r="B676" s="21"/>
      <c r="C676" s="21"/>
      <c r="D676" s="21"/>
      <c r="E676" s="21"/>
      <c r="G676" s="21"/>
    </row>
    <row r="677" spans="1:7">
      <c r="A677" s="21"/>
      <c r="B677" s="21"/>
      <c r="C677" s="21"/>
      <c r="D677" s="21"/>
      <c r="E677" s="21"/>
      <c r="G677" s="21"/>
    </row>
    <row r="678" spans="1:7">
      <c r="A678" s="21"/>
      <c r="B678" s="21"/>
      <c r="C678" s="21"/>
      <c r="D678" s="21"/>
      <c r="E678" s="21"/>
      <c r="G678" s="21"/>
    </row>
    <row r="679" spans="1:7">
      <c r="A679" s="21"/>
      <c r="B679" s="21"/>
      <c r="C679" s="21"/>
      <c r="D679" s="21"/>
      <c r="E679" s="21"/>
      <c r="G679" s="21"/>
    </row>
    <row r="680" spans="1:7">
      <c r="A680" s="21"/>
      <c r="B680" s="21"/>
      <c r="C680" s="21"/>
      <c r="D680" s="21"/>
      <c r="E680" s="21"/>
      <c r="G680" s="21"/>
    </row>
    <row r="681" spans="1:7">
      <c r="A681" s="21"/>
      <c r="B681" s="21"/>
      <c r="C681" s="21"/>
      <c r="D681" s="21"/>
      <c r="E681" s="21"/>
      <c r="G681" s="21"/>
    </row>
    <row r="682" spans="1:7">
      <c r="A682" s="21"/>
      <c r="B682" s="21"/>
      <c r="C682" s="21"/>
      <c r="D682" s="21"/>
      <c r="E682" s="21"/>
      <c r="G682" s="21"/>
    </row>
    <row r="683" spans="1:7">
      <c r="A683" s="21"/>
      <c r="B683" s="21"/>
      <c r="C683" s="21"/>
      <c r="D683" s="21"/>
      <c r="E683" s="21"/>
      <c r="G683" s="21"/>
    </row>
    <row r="684" spans="1:7">
      <c r="A684" s="21"/>
      <c r="B684" s="21"/>
      <c r="C684" s="21"/>
      <c r="D684" s="21"/>
      <c r="E684" s="21"/>
      <c r="G684" s="21"/>
    </row>
    <row r="685" spans="1:7">
      <c r="A685" s="21"/>
      <c r="B685" s="21"/>
      <c r="C685" s="21"/>
      <c r="D685" s="21"/>
      <c r="E685" s="21"/>
      <c r="G685" s="21"/>
    </row>
    <row r="686" spans="1:7">
      <c r="A686" s="21"/>
      <c r="B686" s="21"/>
      <c r="C686" s="21"/>
      <c r="D686" s="21"/>
      <c r="E686" s="21"/>
      <c r="G686" s="21"/>
    </row>
    <row r="687" spans="1:7">
      <c r="A687" s="21"/>
      <c r="B687" s="21"/>
      <c r="C687" s="21"/>
      <c r="D687" s="21"/>
      <c r="E687" s="21"/>
      <c r="G687" s="21"/>
    </row>
    <row r="688" spans="1:7">
      <c r="A688" s="21"/>
      <c r="B688" s="21"/>
      <c r="C688" s="21"/>
      <c r="D688" s="21"/>
      <c r="E688" s="21"/>
      <c r="G688" s="21"/>
    </row>
    <row r="689" spans="1:7">
      <c r="A689" s="21"/>
      <c r="B689" s="21"/>
      <c r="C689" s="21"/>
      <c r="D689" s="21"/>
      <c r="E689" s="21"/>
      <c r="G689" s="21"/>
    </row>
    <row r="690" spans="1:7">
      <c r="A690" s="21"/>
      <c r="B690" s="21"/>
      <c r="C690" s="21"/>
      <c r="D690" s="21"/>
      <c r="E690" s="21"/>
      <c r="G690" s="21"/>
    </row>
    <row r="691" spans="1:7">
      <c r="A691" s="21"/>
      <c r="B691" s="21"/>
      <c r="C691" s="21"/>
      <c r="D691" s="21"/>
      <c r="E691" s="21"/>
      <c r="G691" s="21"/>
    </row>
    <row r="692" spans="1:7">
      <c r="A692" s="21"/>
      <c r="B692" s="21"/>
      <c r="C692" s="21"/>
      <c r="D692" s="21"/>
      <c r="E692" s="21"/>
      <c r="G692" s="21"/>
    </row>
    <row r="693" spans="1:7">
      <c r="A693" s="21"/>
      <c r="B693" s="21"/>
      <c r="C693" s="21"/>
      <c r="D693" s="21"/>
      <c r="E693" s="21"/>
      <c r="G693" s="21"/>
    </row>
    <row r="694" spans="1:7">
      <c r="A694" s="21"/>
      <c r="B694" s="21"/>
      <c r="C694" s="21"/>
      <c r="D694" s="21"/>
      <c r="E694" s="21"/>
      <c r="G694" s="21"/>
    </row>
    <row r="695" spans="1:7">
      <c r="A695" s="21"/>
      <c r="B695" s="21"/>
      <c r="C695" s="21"/>
      <c r="D695" s="21"/>
      <c r="E695" s="21"/>
      <c r="G695" s="21"/>
    </row>
    <row r="696" spans="1:7">
      <c r="A696" s="21"/>
      <c r="B696" s="21"/>
      <c r="C696" s="21"/>
      <c r="D696" s="21"/>
      <c r="E696" s="21"/>
      <c r="G696" s="21"/>
    </row>
    <row r="697" spans="1:7">
      <c r="A697" s="21"/>
      <c r="B697" s="21"/>
      <c r="C697" s="21"/>
      <c r="D697" s="21"/>
      <c r="E697" s="21"/>
      <c r="G697" s="21"/>
    </row>
    <row r="698" spans="1:7">
      <c r="A698" s="21"/>
      <c r="B698" s="21"/>
      <c r="C698" s="21"/>
      <c r="D698" s="21"/>
      <c r="E698" s="21"/>
      <c r="G698" s="21"/>
    </row>
    <row r="699" spans="1:7">
      <c r="A699" s="21"/>
      <c r="B699" s="21"/>
      <c r="C699" s="21"/>
      <c r="D699" s="21"/>
      <c r="E699" s="21"/>
      <c r="G699" s="21"/>
    </row>
    <row r="700" spans="1:7">
      <c r="A700" s="21"/>
      <c r="B700" s="21"/>
      <c r="C700" s="21"/>
      <c r="D700" s="21"/>
      <c r="E700" s="21"/>
      <c r="G700" s="21"/>
    </row>
    <row r="701" spans="1:7">
      <c r="A701" s="21"/>
      <c r="B701" s="21"/>
      <c r="C701" s="21"/>
      <c r="D701" s="21"/>
      <c r="E701" s="21"/>
      <c r="G701" s="21"/>
    </row>
    <row r="702" spans="1:7">
      <c r="A702" s="21"/>
      <c r="B702" s="21"/>
      <c r="C702" s="21"/>
      <c r="D702" s="21"/>
      <c r="E702" s="21"/>
      <c r="G702" s="21"/>
    </row>
    <row r="703" spans="1:7">
      <c r="A703" s="21"/>
      <c r="B703" s="21"/>
      <c r="C703" s="21"/>
      <c r="D703" s="21"/>
      <c r="E703" s="21"/>
      <c r="G703" s="21"/>
    </row>
    <row r="704" spans="1:7">
      <c r="A704" s="21"/>
      <c r="B704" s="21"/>
      <c r="C704" s="21"/>
      <c r="D704" s="21"/>
      <c r="E704" s="21"/>
      <c r="G704" s="21"/>
    </row>
    <row r="705" spans="1:7">
      <c r="A705" s="21"/>
      <c r="B705" s="21"/>
      <c r="C705" s="21"/>
      <c r="D705" s="21"/>
      <c r="E705" s="21"/>
      <c r="G705" s="21"/>
    </row>
    <row r="706" spans="1:7">
      <c r="A706" s="21"/>
      <c r="B706" s="21"/>
      <c r="C706" s="21"/>
      <c r="D706" s="21"/>
      <c r="E706" s="21"/>
      <c r="G706" s="21"/>
    </row>
    <row r="707" spans="1:7">
      <c r="A707" s="21"/>
      <c r="B707" s="21"/>
      <c r="C707" s="21"/>
      <c r="D707" s="21"/>
      <c r="E707" s="21"/>
      <c r="G707" s="21"/>
    </row>
    <row r="708" spans="1:7">
      <c r="A708" s="21"/>
      <c r="B708" s="21"/>
      <c r="C708" s="21"/>
      <c r="D708" s="21"/>
      <c r="E708" s="21"/>
      <c r="G708" s="21"/>
    </row>
    <row r="709" spans="1:7">
      <c r="A709" s="21"/>
      <c r="B709" s="21"/>
      <c r="C709" s="21"/>
      <c r="D709" s="21"/>
      <c r="E709" s="21"/>
      <c r="G709" s="21"/>
    </row>
    <row r="710" spans="1:7">
      <c r="A710" s="21"/>
      <c r="B710" s="21"/>
      <c r="C710" s="21"/>
      <c r="D710" s="21"/>
      <c r="E710" s="21"/>
      <c r="G710" s="21"/>
    </row>
    <row r="711" spans="1:7">
      <c r="A711" s="21"/>
      <c r="B711" s="21"/>
      <c r="C711" s="21"/>
      <c r="D711" s="21"/>
      <c r="E711" s="21"/>
      <c r="G711" s="21"/>
    </row>
    <row r="712" spans="1:7">
      <c r="A712" s="21"/>
      <c r="B712" s="21"/>
      <c r="C712" s="21"/>
      <c r="D712" s="21"/>
      <c r="E712" s="21"/>
      <c r="G712" s="21"/>
    </row>
    <row r="713" spans="1:7">
      <c r="A713" s="21"/>
      <c r="B713" s="21"/>
      <c r="C713" s="21"/>
      <c r="D713" s="21"/>
      <c r="E713" s="21"/>
      <c r="G713" s="21"/>
    </row>
    <row r="714" spans="1:7">
      <c r="A714" s="21"/>
      <c r="B714" s="21"/>
      <c r="C714" s="21"/>
      <c r="D714" s="21"/>
      <c r="E714" s="21"/>
      <c r="G714" s="21"/>
    </row>
    <row r="715" spans="1:7">
      <c r="A715" s="21"/>
      <c r="B715" s="21"/>
      <c r="C715" s="21"/>
      <c r="D715" s="21"/>
      <c r="E715" s="21"/>
      <c r="G715" s="21"/>
    </row>
    <row r="716" spans="1:7">
      <c r="A716" s="21"/>
      <c r="B716" s="21"/>
      <c r="C716" s="21"/>
      <c r="D716" s="21"/>
      <c r="E716" s="21"/>
      <c r="G716" s="21"/>
    </row>
    <row r="717" spans="1:7">
      <c r="A717" s="21"/>
      <c r="B717" s="21"/>
      <c r="C717" s="21"/>
      <c r="D717" s="21"/>
      <c r="E717" s="21"/>
      <c r="G717" s="21"/>
    </row>
    <row r="718" spans="1:7">
      <c r="A718" s="21"/>
      <c r="B718" s="21"/>
      <c r="C718" s="21"/>
      <c r="D718" s="21"/>
      <c r="E718" s="21"/>
      <c r="G718" s="21"/>
    </row>
    <row r="719" spans="1:7">
      <c r="A719" s="21"/>
      <c r="B719" s="21"/>
      <c r="C719" s="21"/>
      <c r="D719" s="21"/>
      <c r="E719" s="21"/>
      <c r="G719" s="21"/>
    </row>
    <row r="720" spans="1:7">
      <c r="A720" s="21"/>
      <c r="B720" s="21"/>
      <c r="C720" s="21"/>
      <c r="D720" s="21"/>
      <c r="E720" s="21"/>
      <c r="G720" s="21"/>
    </row>
    <row r="721" spans="1:7">
      <c r="A721" s="21"/>
      <c r="B721" s="21"/>
      <c r="C721" s="21"/>
      <c r="D721" s="21"/>
      <c r="E721" s="21"/>
      <c r="G721" s="21"/>
    </row>
    <row r="722" spans="1:7">
      <c r="A722" s="21"/>
      <c r="B722" s="21"/>
      <c r="C722" s="21"/>
      <c r="D722" s="21"/>
      <c r="E722" s="21"/>
      <c r="G722" s="21"/>
    </row>
    <row r="723" spans="1:7">
      <c r="A723" s="21"/>
      <c r="B723" s="21"/>
      <c r="C723" s="21"/>
      <c r="D723" s="21"/>
      <c r="E723" s="21"/>
      <c r="G723" s="21"/>
    </row>
    <row r="724" spans="1:7">
      <c r="A724" s="21"/>
      <c r="B724" s="21"/>
      <c r="C724" s="21"/>
      <c r="D724" s="21"/>
      <c r="E724" s="21"/>
      <c r="G724" s="21"/>
    </row>
    <row r="725" spans="1:7">
      <c r="A725" s="21"/>
      <c r="B725" s="21"/>
      <c r="C725" s="21"/>
      <c r="D725" s="21"/>
      <c r="E725" s="21"/>
      <c r="G725" s="21"/>
    </row>
    <row r="726" spans="1:7">
      <c r="A726" s="21"/>
      <c r="B726" s="21"/>
      <c r="C726" s="21"/>
      <c r="D726" s="21"/>
      <c r="E726" s="21"/>
      <c r="G726" s="21"/>
    </row>
    <row r="727" spans="1:7">
      <c r="A727" s="21"/>
      <c r="B727" s="21"/>
      <c r="C727" s="21"/>
      <c r="D727" s="21"/>
      <c r="E727" s="21"/>
      <c r="G727" s="21"/>
    </row>
    <row r="728" spans="1:7">
      <c r="A728" s="21"/>
      <c r="B728" s="21"/>
      <c r="C728" s="21"/>
      <c r="D728" s="21"/>
      <c r="E728" s="21"/>
      <c r="G728" s="21"/>
    </row>
    <row r="729" spans="1:7">
      <c r="A729" s="21"/>
      <c r="B729" s="21"/>
      <c r="C729" s="21"/>
      <c r="D729" s="21"/>
      <c r="E729" s="21"/>
      <c r="G729" s="21"/>
    </row>
    <row r="730" spans="1:7">
      <c r="A730" s="21"/>
      <c r="B730" s="21"/>
      <c r="C730" s="21"/>
      <c r="D730" s="21"/>
      <c r="E730" s="21"/>
      <c r="G730" s="21"/>
    </row>
    <row r="731" spans="1:7">
      <c r="A731" s="21"/>
      <c r="B731" s="21"/>
      <c r="C731" s="21"/>
      <c r="D731" s="21"/>
      <c r="E731" s="21"/>
      <c r="G731" s="21"/>
    </row>
    <row r="732" spans="1:7">
      <c r="A732" s="21"/>
      <c r="B732" s="21"/>
      <c r="C732" s="21"/>
      <c r="D732" s="21"/>
      <c r="E732" s="21"/>
      <c r="G732" s="21"/>
    </row>
    <row r="733" spans="1:7">
      <c r="A733" s="21"/>
      <c r="B733" s="21"/>
      <c r="C733" s="21"/>
      <c r="D733" s="21"/>
      <c r="E733" s="21"/>
      <c r="G733" s="21"/>
    </row>
    <row r="734" spans="1:7">
      <c r="A734" s="21"/>
      <c r="B734" s="21"/>
      <c r="C734" s="21"/>
      <c r="D734" s="21"/>
      <c r="E734" s="21"/>
      <c r="G734" s="21"/>
    </row>
    <row r="735" spans="1:7">
      <c r="A735" s="21"/>
      <c r="B735" s="21"/>
      <c r="C735" s="21"/>
      <c r="D735" s="21"/>
      <c r="E735" s="21"/>
      <c r="G735" s="21"/>
    </row>
    <row r="736" spans="1:7">
      <c r="A736" s="21"/>
      <c r="B736" s="21"/>
      <c r="C736" s="21"/>
      <c r="D736" s="21"/>
      <c r="E736" s="21"/>
      <c r="G736" s="21"/>
    </row>
    <row r="737" spans="1:7">
      <c r="A737" s="21"/>
      <c r="B737" s="21"/>
      <c r="C737" s="21"/>
      <c r="D737" s="21"/>
      <c r="E737" s="21"/>
      <c r="G737" s="21"/>
    </row>
    <row r="738" spans="1:7">
      <c r="A738" s="21"/>
      <c r="B738" s="21"/>
      <c r="C738" s="21"/>
      <c r="D738" s="21"/>
      <c r="E738" s="21"/>
      <c r="G738" s="21"/>
    </row>
    <row r="739" spans="1:7">
      <c r="A739" s="21"/>
      <c r="B739" s="21"/>
      <c r="C739" s="21"/>
      <c r="D739" s="21"/>
      <c r="E739" s="21"/>
      <c r="G739" s="21"/>
    </row>
    <row r="740" spans="1:7">
      <c r="A740" s="21"/>
      <c r="B740" s="21"/>
      <c r="C740" s="21"/>
      <c r="D740" s="21"/>
      <c r="E740" s="21"/>
      <c r="G740" s="21"/>
    </row>
    <row r="741" spans="1:7">
      <c r="A741" s="21"/>
      <c r="B741" s="21"/>
      <c r="C741" s="21"/>
      <c r="D741" s="21"/>
      <c r="E741" s="21"/>
      <c r="G741" s="21"/>
    </row>
    <row r="742" spans="1:7">
      <c r="A742" s="21"/>
      <c r="B742" s="21"/>
      <c r="C742" s="21"/>
      <c r="D742" s="21"/>
      <c r="E742" s="21"/>
      <c r="G742" s="21"/>
    </row>
    <row r="743" spans="1:7">
      <c r="A743" s="21"/>
      <c r="B743" s="21"/>
      <c r="C743" s="21"/>
      <c r="D743" s="21"/>
      <c r="E743" s="21"/>
      <c r="G743" s="21"/>
    </row>
    <row r="744" spans="1:7">
      <c r="A744" s="21"/>
      <c r="B744" s="21"/>
      <c r="C744" s="21"/>
      <c r="D744" s="21"/>
      <c r="E744" s="21"/>
      <c r="G744" s="21"/>
    </row>
    <row r="745" spans="1:7">
      <c r="A745" s="21"/>
      <c r="B745" s="21"/>
      <c r="C745" s="21"/>
      <c r="D745" s="21"/>
      <c r="E745" s="21"/>
      <c r="G745" s="21"/>
    </row>
    <row r="746" spans="1:7">
      <c r="A746" s="21"/>
      <c r="B746" s="21"/>
      <c r="C746" s="21"/>
      <c r="D746" s="21"/>
      <c r="E746" s="21"/>
      <c r="G746" s="21"/>
    </row>
    <row r="747" spans="1:7">
      <c r="A747" s="21"/>
      <c r="B747" s="21"/>
      <c r="C747" s="21"/>
      <c r="D747" s="21"/>
      <c r="E747" s="21"/>
      <c r="G747" s="21"/>
    </row>
    <row r="748" spans="1:7">
      <c r="A748" s="21"/>
      <c r="B748" s="21"/>
      <c r="C748" s="21"/>
      <c r="D748" s="21"/>
      <c r="E748" s="21"/>
      <c r="G748" s="21"/>
    </row>
    <row r="749" spans="1:7">
      <c r="A749" s="21"/>
      <c r="B749" s="21"/>
      <c r="C749" s="21"/>
      <c r="D749" s="21"/>
      <c r="E749" s="21"/>
      <c r="G749" s="21"/>
    </row>
    <row r="750" spans="1:7">
      <c r="A750" s="21"/>
      <c r="B750" s="21"/>
      <c r="C750" s="21"/>
      <c r="D750" s="21"/>
      <c r="E750" s="21"/>
      <c r="G750" s="21"/>
    </row>
    <row r="751" spans="1:7">
      <c r="A751" s="21"/>
      <c r="B751" s="21"/>
      <c r="C751" s="21"/>
      <c r="D751" s="21"/>
      <c r="E751" s="21"/>
      <c r="G751" s="21"/>
    </row>
    <row r="752" spans="1:7">
      <c r="A752" s="21"/>
      <c r="B752" s="21"/>
      <c r="C752" s="21"/>
      <c r="D752" s="21"/>
      <c r="E752" s="21"/>
      <c r="G752" s="21"/>
    </row>
    <row r="753" spans="1:7">
      <c r="A753" s="21"/>
      <c r="B753" s="21"/>
      <c r="C753" s="21"/>
      <c r="D753" s="21"/>
      <c r="E753" s="21"/>
      <c r="G753" s="21"/>
    </row>
    <row r="754" spans="1:7">
      <c r="A754" s="21"/>
      <c r="B754" s="21"/>
      <c r="C754" s="21"/>
      <c r="D754" s="21"/>
      <c r="E754" s="21"/>
      <c r="G754" s="21"/>
    </row>
    <row r="755" spans="1:7">
      <c r="A755" s="21"/>
      <c r="B755" s="21"/>
      <c r="C755" s="21"/>
      <c r="D755" s="21"/>
      <c r="E755" s="21"/>
      <c r="G755" s="21"/>
    </row>
    <row r="756" spans="1:7">
      <c r="A756" s="21"/>
      <c r="B756" s="21"/>
      <c r="C756" s="21"/>
      <c r="D756" s="21"/>
      <c r="E756" s="21"/>
      <c r="G756" s="21"/>
    </row>
    <row r="757" spans="1:7">
      <c r="A757" s="21"/>
      <c r="B757" s="21"/>
      <c r="C757" s="21"/>
      <c r="D757" s="21"/>
      <c r="E757" s="21"/>
      <c r="G757" s="21"/>
    </row>
    <row r="758" spans="1:7">
      <c r="A758" s="21"/>
      <c r="B758" s="21"/>
      <c r="C758" s="21"/>
      <c r="D758" s="21"/>
      <c r="E758" s="21"/>
      <c r="G758" s="21"/>
    </row>
    <row r="759" spans="1:7">
      <c r="A759" s="21"/>
      <c r="B759" s="21"/>
      <c r="C759" s="21"/>
      <c r="D759" s="21"/>
      <c r="E759" s="21"/>
      <c r="G759" s="21"/>
    </row>
    <row r="760" spans="1:7">
      <c r="A760" s="21"/>
      <c r="B760" s="21"/>
      <c r="C760" s="21"/>
      <c r="D760" s="21"/>
      <c r="E760" s="21"/>
      <c r="G760" s="21"/>
    </row>
    <row r="761" spans="1:7">
      <c r="A761" s="21"/>
      <c r="B761" s="21"/>
      <c r="C761" s="21"/>
      <c r="D761" s="21"/>
      <c r="E761" s="21"/>
      <c r="G761" s="21"/>
    </row>
    <row r="762" spans="1:7">
      <c r="A762" s="21"/>
      <c r="B762" s="21"/>
      <c r="C762" s="21"/>
      <c r="D762" s="21"/>
      <c r="E762" s="21"/>
      <c r="G762" s="21"/>
    </row>
    <row r="763" spans="1:7">
      <c r="A763" s="21"/>
      <c r="B763" s="21"/>
      <c r="C763" s="21"/>
      <c r="D763" s="21"/>
      <c r="E763" s="21"/>
      <c r="G763" s="21"/>
    </row>
    <row r="764" spans="1:7">
      <c r="A764" s="21"/>
      <c r="B764" s="21"/>
      <c r="C764" s="21"/>
      <c r="D764" s="21"/>
      <c r="E764" s="21"/>
      <c r="G764" s="21"/>
    </row>
    <row r="765" spans="1:7">
      <c r="A765" s="21"/>
      <c r="B765" s="21"/>
      <c r="C765" s="21"/>
      <c r="D765" s="21"/>
      <c r="E765" s="21"/>
      <c r="G765" s="21"/>
    </row>
    <row r="766" spans="1:7">
      <c r="A766" s="21"/>
      <c r="B766" s="21"/>
      <c r="C766" s="21"/>
      <c r="D766" s="21"/>
      <c r="E766" s="21"/>
      <c r="G766" s="21"/>
    </row>
    <row r="767" spans="1:7">
      <c r="A767" s="21"/>
      <c r="B767" s="21"/>
      <c r="C767" s="21"/>
      <c r="D767" s="21"/>
      <c r="E767" s="21"/>
      <c r="G767" s="21"/>
    </row>
    <row r="768" spans="1:7">
      <c r="A768" s="21"/>
      <c r="B768" s="21"/>
      <c r="C768" s="21"/>
      <c r="D768" s="21"/>
      <c r="E768" s="21"/>
      <c r="G768" s="21"/>
    </row>
    <row r="769" spans="1:7">
      <c r="A769" s="21"/>
      <c r="B769" s="21"/>
      <c r="C769" s="21"/>
      <c r="D769" s="21"/>
      <c r="E769" s="21"/>
      <c r="G769" s="21"/>
    </row>
    <row r="770" spans="1:7">
      <c r="A770" s="21"/>
      <c r="B770" s="21"/>
      <c r="C770" s="21"/>
      <c r="D770" s="21"/>
      <c r="E770" s="21"/>
      <c r="G770" s="21"/>
    </row>
    <row r="771" spans="1:7">
      <c r="A771" s="21"/>
      <c r="B771" s="21"/>
      <c r="C771" s="21"/>
      <c r="D771" s="21"/>
      <c r="E771" s="21"/>
      <c r="G771" s="21"/>
    </row>
    <row r="772" spans="1:7">
      <c r="A772" s="21"/>
      <c r="B772" s="21"/>
      <c r="C772" s="21"/>
      <c r="D772" s="21"/>
      <c r="E772" s="21"/>
      <c r="G772" s="21"/>
    </row>
    <row r="773" spans="1:7">
      <c r="A773" s="21"/>
      <c r="B773" s="21"/>
      <c r="C773" s="21"/>
      <c r="D773" s="21"/>
      <c r="E773" s="21"/>
      <c r="G773" s="21"/>
    </row>
    <row r="774" spans="1:7">
      <c r="A774" s="21"/>
      <c r="B774" s="21"/>
      <c r="C774" s="21"/>
      <c r="D774" s="21"/>
      <c r="E774" s="21"/>
      <c r="G774" s="21"/>
    </row>
    <row r="775" spans="1:7">
      <c r="A775" s="21"/>
      <c r="B775" s="21"/>
      <c r="C775" s="21"/>
      <c r="D775" s="21"/>
      <c r="E775" s="21"/>
      <c r="G775" s="21"/>
    </row>
    <row r="776" spans="1:7">
      <c r="A776" s="21"/>
      <c r="B776" s="21"/>
      <c r="C776" s="21"/>
      <c r="D776" s="21"/>
      <c r="E776" s="21"/>
      <c r="G776" s="21"/>
    </row>
    <row r="777" spans="1:7">
      <c r="A777" s="21"/>
      <c r="B777" s="21"/>
      <c r="C777" s="21"/>
      <c r="D777" s="21"/>
      <c r="E777" s="21"/>
      <c r="G777" s="21"/>
    </row>
    <row r="778" spans="1:7">
      <c r="A778" s="21"/>
      <c r="B778" s="21"/>
      <c r="C778" s="21"/>
      <c r="D778" s="21"/>
      <c r="E778" s="21"/>
      <c r="G778" s="21"/>
    </row>
    <row r="779" spans="1:7">
      <c r="A779" s="21"/>
      <c r="B779" s="21"/>
      <c r="C779" s="21"/>
      <c r="D779" s="21"/>
      <c r="E779" s="21"/>
      <c r="G779" s="21"/>
    </row>
    <row r="780" spans="1:7">
      <c r="A780" s="21"/>
      <c r="B780" s="21"/>
      <c r="C780" s="21"/>
      <c r="D780" s="21"/>
      <c r="E780" s="21"/>
      <c r="G780" s="21"/>
    </row>
    <row r="781" spans="1:7">
      <c r="A781" s="21"/>
      <c r="B781" s="21"/>
      <c r="C781" s="21"/>
      <c r="D781" s="21"/>
      <c r="E781" s="21"/>
      <c r="G781" s="21"/>
    </row>
    <row r="782" spans="1:7">
      <c r="A782" s="21"/>
      <c r="B782" s="21"/>
      <c r="C782" s="21"/>
      <c r="D782" s="21"/>
      <c r="E782" s="21"/>
      <c r="G782" s="21"/>
    </row>
    <row r="783" spans="1:7">
      <c r="A783" s="21"/>
      <c r="B783" s="21"/>
      <c r="C783" s="21"/>
      <c r="D783" s="21"/>
      <c r="E783" s="21"/>
      <c r="G783" s="21"/>
    </row>
    <row r="784" spans="1:7">
      <c r="A784" s="21"/>
      <c r="B784" s="21"/>
      <c r="C784" s="21"/>
      <c r="D784" s="21"/>
      <c r="E784" s="21"/>
      <c r="G784" s="21"/>
    </row>
    <row r="785" spans="1:7">
      <c r="A785" s="21"/>
      <c r="B785" s="21"/>
      <c r="C785" s="21"/>
      <c r="D785" s="21"/>
      <c r="E785" s="21"/>
      <c r="G785" s="21"/>
    </row>
    <row r="786" spans="1:7">
      <c r="A786" s="21"/>
      <c r="B786" s="21"/>
      <c r="C786" s="21"/>
      <c r="D786" s="21"/>
      <c r="E786" s="21"/>
      <c r="G786" s="21"/>
    </row>
    <row r="787" spans="1:7">
      <c r="A787" s="21"/>
      <c r="B787" s="21"/>
      <c r="C787" s="21"/>
      <c r="D787" s="21"/>
      <c r="E787" s="21"/>
      <c r="G787" s="21"/>
    </row>
    <row r="788" spans="1:7">
      <c r="A788" s="21"/>
      <c r="B788" s="21"/>
      <c r="C788" s="21"/>
      <c r="D788" s="21"/>
      <c r="E788" s="21"/>
      <c r="G788" s="21"/>
    </row>
    <row r="789" spans="1:7">
      <c r="A789" s="21"/>
      <c r="B789" s="21"/>
      <c r="C789" s="21"/>
      <c r="D789" s="21"/>
      <c r="E789" s="21"/>
      <c r="G789" s="21"/>
    </row>
    <row r="790" spans="1:7">
      <c r="A790" s="21"/>
      <c r="B790" s="21"/>
      <c r="C790" s="21"/>
      <c r="D790" s="21"/>
      <c r="E790" s="21"/>
      <c r="G790" s="21"/>
    </row>
    <row r="791" spans="1:7">
      <c r="A791" s="21"/>
      <c r="B791" s="21"/>
      <c r="C791" s="21"/>
      <c r="D791" s="21"/>
      <c r="E791" s="21"/>
      <c r="G791" s="21"/>
    </row>
    <row r="792" spans="1:7">
      <c r="A792" s="21"/>
      <c r="B792" s="21"/>
      <c r="C792" s="21"/>
      <c r="D792" s="21"/>
      <c r="E792" s="21"/>
      <c r="G792" s="21"/>
    </row>
    <row r="793" spans="1:7">
      <c r="A793" s="21"/>
      <c r="B793" s="21"/>
      <c r="C793" s="21"/>
      <c r="D793" s="21"/>
      <c r="E793" s="21"/>
      <c r="G793" s="21"/>
    </row>
    <row r="794" spans="1:7">
      <c r="A794" s="21"/>
      <c r="B794" s="21"/>
      <c r="C794" s="21"/>
      <c r="D794" s="21"/>
      <c r="E794" s="21"/>
      <c r="G794" s="21"/>
    </row>
    <row r="795" spans="1:7">
      <c r="A795" s="21"/>
      <c r="B795" s="21"/>
      <c r="C795" s="21"/>
      <c r="D795" s="21"/>
      <c r="E795" s="21"/>
      <c r="G795" s="21"/>
    </row>
    <row r="796" spans="1:7">
      <c r="A796" s="21"/>
      <c r="B796" s="21"/>
      <c r="C796" s="21"/>
      <c r="D796" s="21"/>
      <c r="E796" s="21"/>
      <c r="G796" s="21"/>
    </row>
    <row r="797" spans="1:7">
      <c r="A797" s="21"/>
      <c r="B797" s="21"/>
      <c r="C797" s="21"/>
      <c r="D797" s="21"/>
      <c r="E797" s="21"/>
      <c r="G797" s="21"/>
    </row>
    <row r="798" spans="1:7">
      <c r="A798" s="21"/>
      <c r="B798" s="21"/>
      <c r="C798" s="21"/>
      <c r="D798" s="21"/>
      <c r="E798" s="21"/>
      <c r="G798" s="21"/>
    </row>
    <row r="799" spans="1:7">
      <c r="A799" s="21"/>
      <c r="B799" s="21"/>
      <c r="C799" s="21"/>
      <c r="D799" s="21"/>
      <c r="E799" s="21"/>
      <c r="G799" s="21"/>
    </row>
    <row r="800" spans="1:7">
      <c r="A800" s="21"/>
      <c r="B800" s="21"/>
      <c r="C800" s="21"/>
      <c r="D800" s="21"/>
      <c r="E800" s="21"/>
      <c r="G800" s="21"/>
    </row>
    <row r="801" spans="1:7">
      <c r="A801" s="21"/>
      <c r="B801" s="21"/>
      <c r="C801" s="21"/>
      <c r="D801" s="21"/>
      <c r="E801" s="21"/>
      <c r="G801" s="21"/>
    </row>
    <row r="802" spans="1:7">
      <c r="A802" s="21"/>
      <c r="B802" s="21"/>
      <c r="C802" s="21"/>
      <c r="D802" s="21"/>
      <c r="E802" s="21"/>
      <c r="G802" s="21"/>
    </row>
    <row r="803" spans="1:7">
      <c r="A803" s="21"/>
      <c r="B803" s="21"/>
      <c r="C803" s="21"/>
      <c r="D803" s="21"/>
      <c r="E803" s="21"/>
      <c r="G803" s="21"/>
    </row>
    <row r="804" spans="1:7">
      <c r="A804" s="21"/>
      <c r="B804" s="21"/>
      <c r="C804" s="21"/>
      <c r="D804" s="21"/>
      <c r="E804" s="21"/>
      <c r="G804" s="21"/>
    </row>
    <row r="805" spans="1:7">
      <c r="A805" s="21"/>
      <c r="B805" s="21"/>
      <c r="C805" s="21"/>
      <c r="D805" s="21"/>
      <c r="E805" s="21"/>
      <c r="G805" s="21"/>
    </row>
    <row r="806" spans="1:7">
      <c r="A806" s="21"/>
      <c r="B806" s="21"/>
      <c r="C806" s="21"/>
      <c r="D806" s="21"/>
      <c r="E806" s="21"/>
      <c r="G806" s="21"/>
    </row>
    <row r="807" spans="1:7">
      <c r="A807" s="21"/>
      <c r="B807" s="21"/>
      <c r="C807" s="21"/>
      <c r="D807" s="21"/>
      <c r="E807" s="21"/>
      <c r="G807" s="21"/>
    </row>
    <row r="808" spans="1:7">
      <c r="A808" s="21"/>
      <c r="B808" s="21"/>
      <c r="C808" s="21"/>
      <c r="D808" s="21"/>
      <c r="E808" s="21"/>
      <c r="G808" s="21"/>
    </row>
    <row r="809" spans="1:7">
      <c r="A809" s="21"/>
      <c r="B809" s="21"/>
      <c r="C809" s="21"/>
      <c r="D809" s="21"/>
      <c r="E809" s="21"/>
      <c r="G809" s="21"/>
    </row>
    <row r="810" spans="1:7">
      <c r="A810" s="21"/>
      <c r="B810" s="21"/>
      <c r="C810" s="21"/>
      <c r="D810" s="21"/>
      <c r="E810" s="21"/>
      <c r="G810" s="21"/>
    </row>
    <row r="811" spans="1:7">
      <c r="A811" s="21"/>
      <c r="B811" s="21"/>
      <c r="C811" s="21"/>
      <c r="D811" s="21"/>
      <c r="E811" s="21"/>
      <c r="G811" s="21"/>
    </row>
    <row r="812" spans="1:7">
      <c r="A812" s="21"/>
      <c r="B812" s="21"/>
      <c r="C812" s="21"/>
      <c r="D812" s="21"/>
      <c r="E812" s="21"/>
      <c r="G812" s="21"/>
    </row>
    <row r="813" spans="1:7">
      <c r="A813" s="21"/>
      <c r="B813" s="21"/>
      <c r="C813" s="21"/>
      <c r="D813" s="21"/>
      <c r="E813" s="21"/>
      <c r="G813" s="21"/>
    </row>
    <row r="814" spans="1:7">
      <c r="A814" s="21"/>
      <c r="B814" s="21"/>
      <c r="C814" s="21"/>
      <c r="D814" s="21"/>
      <c r="E814" s="21"/>
      <c r="G814" s="21"/>
    </row>
    <row r="815" spans="1:7">
      <c r="A815" s="21"/>
      <c r="B815" s="21"/>
      <c r="C815" s="21"/>
      <c r="D815" s="21"/>
      <c r="E815" s="21"/>
      <c r="G815" s="21"/>
    </row>
    <row r="816" spans="1:7">
      <c r="A816" s="21"/>
      <c r="B816" s="21"/>
      <c r="C816" s="21"/>
      <c r="D816" s="21"/>
      <c r="E816" s="21"/>
      <c r="G816" s="21"/>
    </row>
    <row r="817" spans="1:7">
      <c r="A817" s="21"/>
      <c r="B817" s="21"/>
      <c r="C817" s="21"/>
      <c r="D817" s="21"/>
      <c r="E817" s="21"/>
      <c r="G817" s="21"/>
    </row>
    <row r="818" spans="1:7">
      <c r="A818" s="21"/>
      <c r="B818" s="21"/>
      <c r="C818" s="21"/>
      <c r="D818" s="21"/>
      <c r="E818" s="21"/>
      <c r="G818" s="21"/>
    </row>
    <row r="819" spans="1:7">
      <c r="A819" s="21"/>
      <c r="B819" s="21"/>
      <c r="C819" s="21"/>
      <c r="D819" s="21"/>
      <c r="E819" s="21"/>
      <c r="G819" s="21"/>
    </row>
    <row r="820" spans="1:7">
      <c r="A820" s="21"/>
      <c r="B820" s="21"/>
      <c r="C820" s="21"/>
      <c r="D820" s="21"/>
      <c r="E820" s="21"/>
      <c r="G820" s="21"/>
    </row>
    <row r="821" spans="1:7">
      <c r="A821" s="21"/>
      <c r="B821" s="21"/>
      <c r="C821" s="21"/>
      <c r="D821" s="21"/>
      <c r="E821" s="21"/>
      <c r="G821" s="21"/>
    </row>
    <row r="822" spans="1:7">
      <c r="A822" s="21"/>
      <c r="B822" s="21"/>
      <c r="C822" s="21"/>
      <c r="D822" s="21"/>
      <c r="E822" s="21"/>
      <c r="G822" s="21"/>
    </row>
    <row r="823" spans="1:7">
      <c r="A823" s="21"/>
      <c r="B823" s="21"/>
      <c r="C823" s="21"/>
      <c r="D823" s="21"/>
      <c r="E823" s="21"/>
      <c r="G823" s="21"/>
    </row>
    <row r="824" spans="1:7">
      <c r="A824" s="21"/>
      <c r="B824" s="21"/>
      <c r="C824" s="21"/>
      <c r="D824" s="21"/>
      <c r="E824" s="21"/>
      <c r="G824" s="21"/>
    </row>
    <row r="825" spans="1:7">
      <c r="A825" s="21"/>
      <c r="B825" s="21"/>
      <c r="C825" s="21"/>
      <c r="D825" s="21"/>
      <c r="E825" s="21"/>
      <c r="G825" s="21"/>
    </row>
    <row r="826" spans="1:7">
      <c r="A826" s="21"/>
      <c r="B826" s="21"/>
      <c r="C826" s="21"/>
      <c r="D826" s="21"/>
      <c r="E826" s="21"/>
      <c r="G826" s="21"/>
    </row>
    <row r="827" spans="1:7">
      <c r="A827" s="21"/>
      <c r="B827" s="21"/>
      <c r="C827" s="21"/>
      <c r="D827" s="21"/>
      <c r="E827" s="21"/>
      <c r="G827" s="21"/>
    </row>
    <row r="828" spans="1:7">
      <c r="A828" s="21"/>
      <c r="B828" s="21"/>
      <c r="C828" s="21"/>
      <c r="D828" s="21"/>
      <c r="E828" s="21"/>
      <c r="G828" s="21"/>
    </row>
    <row r="829" spans="1:7">
      <c r="A829" s="21"/>
      <c r="B829" s="21"/>
      <c r="C829" s="21"/>
      <c r="D829" s="21"/>
      <c r="E829" s="21"/>
      <c r="G829" s="21"/>
    </row>
    <row r="830" spans="1:7">
      <c r="A830" s="21"/>
      <c r="B830" s="21"/>
      <c r="C830" s="21"/>
      <c r="D830" s="21"/>
      <c r="E830" s="21"/>
      <c r="G830" s="21"/>
    </row>
    <row r="831" spans="1:7">
      <c r="A831" s="21"/>
      <c r="B831" s="21"/>
      <c r="C831" s="21"/>
      <c r="D831" s="21"/>
      <c r="E831" s="21"/>
      <c r="G831" s="21"/>
    </row>
    <row r="832" spans="1:7">
      <c r="A832" s="21"/>
      <c r="B832" s="21"/>
      <c r="C832" s="21"/>
      <c r="D832" s="21"/>
      <c r="E832" s="21"/>
      <c r="G832" s="21"/>
    </row>
    <row r="833" spans="1:7">
      <c r="A833" s="21"/>
      <c r="B833" s="21"/>
      <c r="C833" s="21"/>
      <c r="D833" s="21"/>
      <c r="E833" s="21"/>
      <c r="G833" s="21"/>
    </row>
    <row r="834" spans="1:7">
      <c r="A834" s="21"/>
      <c r="B834" s="21"/>
      <c r="C834" s="21"/>
      <c r="D834" s="21"/>
      <c r="E834" s="21"/>
      <c r="G834" s="21"/>
    </row>
    <row r="835" spans="1:7">
      <c r="A835" s="21"/>
      <c r="B835" s="21"/>
      <c r="C835" s="21"/>
      <c r="D835" s="21"/>
      <c r="E835" s="21"/>
      <c r="G835" s="21"/>
    </row>
    <row r="836" spans="1:7">
      <c r="A836" s="21"/>
      <c r="B836" s="21"/>
      <c r="C836" s="21"/>
      <c r="D836" s="21"/>
      <c r="E836" s="21"/>
      <c r="G836" s="21"/>
    </row>
    <row r="837" spans="1:7">
      <c r="A837" s="21"/>
      <c r="B837" s="21"/>
      <c r="C837" s="21"/>
      <c r="D837" s="21"/>
      <c r="E837" s="21"/>
      <c r="G837" s="21"/>
    </row>
    <row r="838" spans="1:7">
      <c r="A838" s="21"/>
      <c r="B838" s="21"/>
      <c r="C838" s="21"/>
      <c r="D838" s="21"/>
      <c r="E838" s="21"/>
      <c r="G838" s="21"/>
    </row>
    <row r="839" spans="1:7">
      <c r="A839" s="21"/>
      <c r="B839" s="21"/>
      <c r="C839" s="21"/>
      <c r="D839" s="21"/>
      <c r="E839" s="21"/>
      <c r="G839" s="21"/>
    </row>
    <row r="840" spans="1:7">
      <c r="A840" s="21"/>
      <c r="B840" s="21"/>
      <c r="C840" s="21"/>
      <c r="D840" s="21"/>
      <c r="E840" s="21"/>
      <c r="G840" s="21"/>
    </row>
    <row r="841" spans="1:7">
      <c r="A841" s="21"/>
      <c r="B841" s="21"/>
      <c r="C841" s="21"/>
      <c r="D841" s="21"/>
      <c r="E841" s="21"/>
      <c r="G841" s="21"/>
    </row>
    <row r="842" spans="1:7">
      <c r="A842" s="21"/>
      <c r="B842" s="21"/>
      <c r="C842" s="21"/>
      <c r="D842" s="21"/>
      <c r="E842" s="21"/>
      <c r="G842" s="21"/>
    </row>
    <row r="843" spans="1:7">
      <c r="A843" s="21"/>
      <c r="B843" s="21"/>
      <c r="C843" s="21"/>
      <c r="D843" s="21"/>
      <c r="E843" s="21"/>
      <c r="G843" s="21"/>
    </row>
    <row r="844" spans="1:7">
      <c r="A844" s="21"/>
      <c r="B844" s="21"/>
      <c r="C844" s="21"/>
      <c r="D844" s="21"/>
      <c r="E844" s="21"/>
      <c r="G844" s="21"/>
    </row>
    <row r="845" spans="1:7">
      <c r="A845" s="21"/>
      <c r="B845" s="21"/>
      <c r="C845" s="21"/>
      <c r="D845" s="21"/>
      <c r="E845" s="21"/>
      <c r="G845" s="21"/>
    </row>
    <row r="846" spans="1:7">
      <c r="A846" s="21"/>
      <c r="B846" s="21"/>
      <c r="C846" s="21"/>
      <c r="D846" s="21"/>
      <c r="E846" s="21"/>
      <c r="G846" s="21"/>
    </row>
    <row r="847" spans="1:7">
      <c r="A847" s="21"/>
      <c r="B847" s="21"/>
      <c r="C847" s="21"/>
      <c r="D847" s="21"/>
      <c r="E847" s="21"/>
      <c r="G847" s="21"/>
    </row>
    <row r="848" spans="1:7">
      <c r="A848" s="21"/>
      <c r="B848" s="21"/>
      <c r="C848" s="21"/>
      <c r="D848" s="21"/>
      <c r="E848" s="21"/>
      <c r="G848" s="21"/>
    </row>
    <row r="849" spans="1:7">
      <c r="A849" s="21"/>
      <c r="B849" s="21"/>
      <c r="C849" s="21"/>
      <c r="D849" s="21"/>
      <c r="E849" s="21"/>
      <c r="G849" s="21"/>
    </row>
    <row r="850" spans="1:7">
      <c r="A850" s="21"/>
      <c r="B850" s="21"/>
      <c r="C850" s="21"/>
      <c r="D850" s="21"/>
      <c r="E850" s="21"/>
      <c r="G850" s="21"/>
    </row>
    <row r="851" spans="1:7">
      <c r="A851" s="21"/>
      <c r="B851" s="21"/>
      <c r="C851" s="21"/>
      <c r="D851" s="21"/>
      <c r="E851" s="21"/>
      <c r="G851" s="21"/>
    </row>
    <row r="852" spans="1:7">
      <c r="A852" s="21"/>
      <c r="B852" s="21"/>
      <c r="C852" s="21"/>
      <c r="D852" s="21"/>
      <c r="E852" s="21"/>
      <c r="G852" s="21"/>
    </row>
    <row r="853" spans="1:7">
      <c r="A853" s="21"/>
      <c r="B853" s="21"/>
      <c r="C853" s="21"/>
      <c r="D853" s="21"/>
      <c r="E853" s="21"/>
      <c r="G853" s="21"/>
    </row>
    <row r="854" spans="1:7">
      <c r="A854" s="21"/>
      <c r="B854" s="21"/>
      <c r="C854" s="21"/>
      <c r="D854" s="21"/>
      <c r="E854" s="21"/>
      <c r="G854" s="21"/>
    </row>
    <row r="855" spans="1:7">
      <c r="A855" s="21"/>
      <c r="B855" s="21"/>
      <c r="C855" s="21"/>
      <c r="D855" s="21"/>
      <c r="E855" s="21"/>
      <c r="G855" s="21"/>
    </row>
    <row r="856" spans="1:7">
      <c r="A856" s="21"/>
      <c r="B856" s="21"/>
      <c r="C856" s="21"/>
      <c r="D856" s="21"/>
      <c r="E856" s="21"/>
      <c r="G856" s="21"/>
    </row>
    <row r="857" spans="1:7">
      <c r="A857" s="21"/>
      <c r="B857" s="21"/>
      <c r="C857" s="21"/>
      <c r="D857" s="21"/>
      <c r="E857" s="21"/>
      <c r="G857" s="21"/>
    </row>
    <row r="858" spans="1:7">
      <c r="A858" s="21"/>
      <c r="B858" s="21"/>
      <c r="C858" s="21"/>
      <c r="D858" s="21"/>
      <c r="E858" s="21"/>
      <c r="G858" s="21"/>
    </row>
    <row r="859" spans="1:7">
      <c r="A859" s="21"/>
      <c r="B859" s="21"/>
      <c r="C859" s="21"/>
      <c r="D859" s="21"/>
      <c r="E859" s="21"/>
      <c r="G859" s="21"/>
    </row>
    <row r="860" spans="1:7">
      <c r="A860" s="21"/>
      <c r="B860" s="21"/>
      <c r="C860" s="21"/>
      <c r="D860" s="21"/>
      <c r="E860" s="21"/>
      <c r="G860" s="21"/>
    </row>
    <row r="861" spans="1:7">
      <c r="A861" s="21"/>
      <c r="B861" s="21"/>
      <c r="C861" s="21"/>
      <c r="D861" s="21"/>
      <c r="E861" s="21"/>
      <c r="G861" s="21"/>
    </row>
    <row r="862" spans="1:7">
      <c r="A862" s="21"/>
      <c r="B862" s="21"/>
      <c r="C862" s="21"/>
      <c r="D862" s="21"/>
      <c r="E862" s="21"/>
      <c r="G862" s="21"/>
    </row>
    <row r="863" spans="1:7">
      <c r="A863" s="21"/>
      <c r="B863" s="21"/>
      <c r="C863" s="21"/>
      <c r="D863" s="21"/>
      <c r="E863" s="21"/>
      <c r="G863" s="21"/>
    </row>
    <row r="864" spans="1:7">
      <c r="A864" s="21"/>
      <c r="B864" s="21"/>
      <c r="C864" s="21"/>
      <c r="D864" s="21"/>
      <c r="E864" s="21"/>
      <c r="G864" s="21"/>
    </row>
    <row r="865" spans="1:7">
      <c r="A865" s="21"/>
      <c r="B865" s="21"/>
      <c r="C865" s="21"/>
      <c r="D865" s="21"/>
      <c r="E865" s="21"/>
      <c r="G865" s="21"/>
    </row>
    <row r="866" spans="1:7">
      <c r="A866" s="21"/>
      <c r="B866" s="21"/>
      <c r="C866" s="21"/>
      <c r="D866" s="21"/>
      <c r="E866" s="21"/>
      <c r="G866" s="21"/>
    </row>
    <row r="867" spans="1:7">
      <c r="A867" s="21"/>
      <c r="B867" s="21"/>
      <c r="C867" s="21"/>
      <c r="D867" s="21"/>
      <c r="E867" s="21"/>
      <c r="G867" s="21"/>
    </row>
    <row r="868" spans="1:7">
      <c r="A868" s="21"/>
      <c r="B868" s="21"/>
      <c r="C868" s="21"/>
      <c r="D868" s="21"/>
      <c r="E868" s="21"/>
      <c r="G868" s="21"/>
    </row>
    <row r="869" spans="1:7">
      <c r="A869" s="21"/>
      <c r="B869" s="21"/>
      <c r="C869" s="21"/>
      <c r="D869" s="21"/>
      <c r="E869" s="21"/>
      <c r="G869" s="21"/>
    </row>
    <row r="870" spans="1:7">
      <c r="A870" s="21"/>
      <c r="B870" s="21"/>
      <c r="C870" s="21"/>
      <c r="D870" s="21"/>
      <c r="E870" s="21"/>
      <c r="G870" s="21"/>
    </row>
    <row r="871" spans="1:7">
      <c r="A871" s="21"/>
      <c r="B871" s="21"/>
      <c r="C871" s="21"/>
      <c r="D871" s="21"/>
      <c r="E871" s="21"/>
      <c r="G871" s="21"/>
    </row>
    <row r="872" spans="1:7">
      <c r="A872" s="21"/>
      <c r="B872" s="21"/>
      <c r="C872" s="21"/>
      <c r="D872" s="21"/>
      <c r="E872" s="21"/>
      <c r="G872" s="21"/>
    </row>
    <row r="873" spans="1:7">
      <c r="A873" s="21"/>
      <c r="B873" s="21"/>
      <c r="C873" s="21"/>
      <c r="D873" s="21"/>
      <c r="E873" s="21"/>
      <c r="G873" s="21"/>
    </row>
    <row r="874" spans="1:7">
      <c r="A874" s="21"/>
      <c r="B874" s="21"/>
      <c r="C874" s="21"/>
      <c r="D874" s="21"/>
      <c r="E874" s="21"/>
      <c r="G874" s="21"/>
    </row>
    <row r="875" spans="1:7">
      <c r="A875" s="21"/>
      <c r="B875" s="21"/>
      <c r="C875" s="21"/>
      <c r="D875" s="21"/>
      <c r="E875" s="21"/>
      <c r="G875" s="21"/>
    </row>
    <row r="876" spans="1:7">
      <c r="A876" s="21"/>
      <c r="B876" s="21"/>
      <c r="C876" s="21"/>
      <c r="D876" s="21"/>
      <c r="E876" s="21"/>
      <c r="G876" s="21"/>
    </row>
    <row r="877" spans="1:7">
      <c r="A877" s="21"/>
      <c r="B877" s="21"/>
      <c r="C877" s="21"/>
      <c r="D877" s="21"/>
      <c r="E877" s="21"/>
      <c r="G877" s="21"/>
    </row>
    <row r="878" spans="1:7">
      <c r="A878" s="21"/>
      <c r="B878" s="21"/>
      <c r="C878" s="21"/>
      <c r="D878" s="21"/>
      <c r="E878" s="21"/>
      <c r="G878" s="21"/>
    </row>
    <row r="879" spans="1:7">
      <c r="A879" s="21"/>
      <c r="B879" s="21"/>
      <c r="C879" s="21"/>
      <c r="D879" s="21"/>
      <c r="E879" s="21"/>
      <c r="G879" s="21"/>
    </row>
    <row r="880" spans="1:7">
      <c r="A880" s="21"/>
      <c r="B880" s="21"/>
      <c r="C880" s="21"/>
      <c r="D880" s="21"/>
      <c r="E880" s="21"/>
      <c r="G880" s="21"/>
    </row>
    <row r="881" spans="1:7">
      <c r="A881" s="21"/>
      <c r="B881" s="21"/>
      <c r="C881" s="21"/>
      <c r="D881" s="21"/>
      <c r="E881" s="21"/>
      <c r="G881" s="21"/>
    </row>
    <row r="882" spans="1:7">
      <c r="A882" s="21"/>
      <c r="B882" s="21"/>
      <c r="C882" s="21"/>
      <c r="D882" s="21"/>
      <c r="E882" s="21"/>
      <c r="G882" s="21"/>
    </row>
    <row r="883" spans="1:7">
      <c r="A883" s="21"/>
      <c r="B883" s="21"/>
      <c r="C883" s="21"/>
      <c r="D883" s="21"/>
      <c r="E883" s="21"/>
      <c r="G883" s="21"/>
    </row>
    <row r="884" spans="1:7">
      <c r="A884" s="21"/>
      <c r="B884" s="21"/>
      <c r="C884" s="21"/>
      <c r="D884" s="21"/>
      <c r="E884" s="21"/>
      <c r="G884" s="21"/>
    </row>
    <row r="885" spans="1:7">
      <c r="A885" s="21"/>
      <c r="B885" s="21"/>
      <c r="C885" s="21"/>
      <c r="D885" s="21"/>
      <c r="E885" s="21"/>
      <c r="G885" s="21"/>
    </row>
    <row r="886" spans="1:7">
      <c r="A886" s="21"/>
      <c r="B886" s="21"/>
      <c r="C886" s="21"/>
      <c r="D886" s="21"/>
      <c r="E886" s="21"/>
      <c r="G886" s="21"/>
    </row>
    <row r="887" spans="1:7">
      <c r="A887" s="21"/>
      <c r="B887" s="21"/>
      <c r="C887" s="21"/>
      <c r="D887" s="21"/>
      <c r="E887" s="21"/>
      <c r="G887" s="21"/>
    </row>
    <row r="888" spans="1:7">
      <c r="A888" s="21"/>
      <c r="B888" s="21"/>
      <c r="C888" s="21"/>
      <c r="D888" s="21"/>
      <c r="E888" s="21"/>
      <c r="G888" s="21"/>
    </row>
    <row r="889" spans="1:7">
      <c r="A889" s="21"/>
      <c r="B889" s="21"/>
      <c r="C889" s="21"/>
      <c r="D889" s="21"/>
      <c r="E889" s="21"/>
      <c r="G889" s="21"/>
    </row>
    <row r="890" spans="1:7">
      <c r="A890" s="21"/>
      <c r="B890" s="21"/>
      <c r="C890" s="21"/>
      <c r="D890" s="21"/>
      <c r="E890" s="21"/>
      <c r="G890" s="21"/>
    </row>
    <row r="891" spans="1:7">
      <c r="A891" s="21"/>
      <c r="B891" s="21"/>
      <c r="C891" s="21"/>
      <c r="D891" s="21"/>
      <c r="E891" s="21"/>
      <c r="G891" s="21"/>
    </row>
    <row r="892" spans="1:7">
      <c r="A892" s="21"/>
      <c r="B892" s="21"/>
      <c r="C892" s="21"/>
      <c r="D892" s="21"/>
      <c r="E892" s="21"/>
      <c r="G892" s="21"/>
    </row>
    <row r="893" spans="1:7">
      <c r="A893" s="21"/>
      <c r="B893" s="21"/>
      <c r="C893" s="21"/>
      <c r="D893" s="21"/>
      <c r="E893" s="21"/>
      <c r="G893" s="21"/>
    </row>
    <row r="894" spans="1:7">
      <c r="A894" s="21"/>
      <c r="B894" s="21"/>
      <c r="C894" s="21"/>
      <c r="D894" s="21"/>
      <c r="E894" s="21"/>
      <c r="G894" s="21"/>
    </row>
    <row r="895" spans="1:7">
      <c r="A895" s="21"/>
      <c r="B895" s="21"/>
      <c r="C895" s="21"/>
      <c r="D895" s="21"/>
      <c r="E895" s="21"/>
      <c r="G895" s="21"/>
    </row>
    <row r="896" spans="1:7">
      <c r="A896" s="21"/>
      <c r="B896" s="21"/>
      <c r="C896" s="21"/>
      <c r="D896" s="21"/>
      <c r="E896" s="21"/>
      <c r="G896" s="21"/>
    </row>
    <row r="897" spans="1:7">
      <c r="A897" s="21"/>
      <c r="B897" s="21"/>
      <c r="C897" s="21"/>
      <c r="D897" s="21"/>
      <c r="E897" s="21"/>
      <c r="G897" s="21"/>
    </row>
    <row r="898" spans="1:7">
      <c r="A898" s="21"/>
      <c r="B898" s="21"/>
      <c r="C898" s="21"/>
      <c r="D898" s="21"/>
      <c r="E898" s="21"/>
      <c r="G898" s="21"/>
    </row>
    <row r="899" spans="1:7">
      <c r="A899" s="21"/>
      <c r="B899" s="21"/>
      <c r="C899" s="21"/>
      <c r="D899" s="21"/>
      <c r="E899" s="21"/>
      <c r="G899" s="21"/>
    </row>
    <row r="900" spans="1:7">
      <c r="A900" s="21"/>
      <c r="B900" s="21"/>
      <c r="C900" s="21"/>
      <c r="D900" s="21"/>
      <c r="E900" s="21"/>
      <c r="G900" s="21"/>
    </row>
    <row r="901" spans="1:7">
      <c r="A901" s="21"/>
      <c r="B901" s="21"/>
      <c r="C901" s="21"/>
      <c r="D901" s="21"/>
      <c r="E901" s="21"/>
      <c r="G901" s="21"/>
    </row>
    <row r="902" spans="1:7">
      <c r="A902" s="21"/>
      <c r="B902" s="21"/>
      <c r="C902" s="21"/>
      <c r="D902" s="21"/>
      <c r="E902" s="21"/>
      <c r="G902" s="21"/>
    </row>
    <row r="903" spans="1:7">
      <c r="A903" s="21"/>
      <c r="B903" s="21"/>
      <c r="C903" s="21"/>
      <c r="D903" s="21"/>
      <c r="E903" s="21"/>
      <c r="G903" s="21"/>
    </row>
    <row r="904" spans="1:7">
      <c r="A904" s="21"/>
      <c r="B904" s="21"/>
      <c r="C904" s="21"/>
      <c r="D904" s="21"/>
      <c r="E904" s="21"/>
      <c r="G904" s="21"/>
    </row>
    <row r="905" spans="1:7">
      <c r="A905" s="21"/>
      <c r="B905" s="21"/>
      <c r="C905" s="21"/>
      <c r="D905" s="21"/>
      <c r="E905" s="21"/>
      <c r="G905" s="21"/>
    </row>
    <row r="906" spans="1:7">
      <c r="A906" s="21"/>
      <c r="B906" s="21"/>
      <c r="C906" s="21"/>
      <c r="D906" s="21"/>
      <c r="E906" s="21"/>
      <c r="G906" s="21"/>
    </row>
    <row r="907" spans="1:7">
      <c r="A907" s="21"/>
      <c r="B907" s="21"/>
      <c r="C907" s="21"/>
      <c r="D907" s="21"/>
      <c r="E907" s="21"/>
      <c r="G907" s="21"/>
    </row>
    <row r="908" spans="1:7">
      <c r="A908" s="21"/>
      <c r="B908" s="21"/>
      <c r="C908" s="21"/>
      <c r="D908" s="21"/>
      <c r="E908" s="21"/>
      <c r="G908" s="21"/>
    </row>
    <row r="909" spans="1:7">
      <c r="A909" s="21"/>
      <c r="B909" s="21"/>
      <c r="C909" s="21"/>
      <c r="D909" s="21"/>
      <c r="E909" s="21"/>
      <c r="G909" s="21"/>
    </row>
    <row r="910" spans="1:7">
      <c r="A910" s="21"/>
      <c r="B910" s="21"/>
      <c r="C910" s="21"/>
      <c r="D910" s="21"/>
      <c r="E910" s="21"/>
      <c r="G910" s="21"/>
    </row>
    <row r="911" spans="1:7">
      <c r="A911" s="21"/>
      <c r="B911" s="21"/>
      <c r="C911" s="21"/>
      <c r="D911" s="21"/>
      <c r="E911" s="21"/>
      <c r="G911" s="21"/>
    </row>
    <row r="912" spans="1:7">
      <c r="A912" s="21"/>
      <c r="B912" s="21"/>
      <c r="C912" s="21"/>
      <c r="D912" s="21"/>
      <c r="E912" s="21"/>
      <c r="G912" s="21"/>
    </row>
    <row r="913" spans="1:7">
      <c r="A913" s="21"/>
      <c r="B913" s="21"/>
      <c r="C913" s="21"/>
      <c r="D913" s="21"/>
      <c r="E913" s="21"/>
      <c r="G913" s="21"/>
    </row>
    <row r="914" spans="1:7">
      <c r="A914" s="21"/>
      <c r="B914" s="21"/>
      <c r="C914" s="21"/>
      <c r="D914" s="21"/>
      <c r="E914" s="21"/>
      <c r="G914" s="21"/>
    </row>
    <row r="915" spans="1:7">
      <c r="A915" s="21"/>
      <c r="B915" s="21"/>
      <c r="C915" s="21"/>
      <c r="D915" s="21"/>
      <c r="E915" s="21"/>
      <c r="G915" s="21"/>
    </row>
    <row r="916" spans="1:7">
      <c r="A916" s="21"/>
      <c r="B916" s="21"/>
      <c r="C916" s="21"/>
      <c r="D916" s="21"/>
      <c r="E916" s="21"/>
      <c r="G916" s="21"/>
    </row>
    <row r="917" spans="1:7">
      <c r="A917" s="21"/>
      <c r="B917" s="21"/>
      <c r="C917" s="21"/>
      <c r="D917" s="21"/>
      <c r="E917" s="21"/>
      <c r="G917" s="21"/>
    </row>
    <row r="918" spans="1:7">
      <c r="A918" s="21"/>
      <c r="B918" s="21"/>
      <c r="C918" s="21"/>
      <c r="D918" s="21"/>
      <c r="E918" s="21"/>
      <c r="G918" s="21"/>
    </row>
    <row r="919" spans="1:7">
      <c r="A919" s="21"/>
      <c r="B919" s="21"/>
      <c r="C919" s="21"/>
      <c r="D919" s="21"/>
      <c r="E919" s="21"/>
      <c r="G919" s="21"/>
    </row>
    <row r="920" spans="1:7">
      <c r="A920" s="21"/>
      <c r="B920" s="21"/>
      <c r="C920" s="21"/>
      <c r="D920" s="21"/>
      <c r="E920" s="21"/>
      <c r="G920" s="21"/>
    </row>
    <row r="921" spans="1:7">
      <c r="A921" s="21"/>
      <c r="B921" s="21"/>
      <c r="C921" s="21"/>
      <c r="D921" s="21"/>
      <c r="E921" s="21"/>
      <c r="G921" s="21"/>
    </row>
    <row r="922" spans="1:7">
      <c r="A922" s="21"/>
      <c r="B922" s="21"/>
      <c r="C922" s="21"/>
      <c r="D922" s="21"/>
      <c r="E922" s="21"/>
      <c r="G922" s="21"/>
    </row>
    <row r="923" spans="1:7">
      <c r="A923" s="21"/>
      <c r="B923" s="21"/>
      <c r="C923" s="21"/>
      <c r="D923" s="21"/>
      <c r="E923" s="21"/>
      <c r="G923" s="21"/>
    </row>
    <row r="924" spans="1:7">
      <c r="A924" s="21"/>
      <c r="B924" s="21"/>
      <c r="C924" s="21"/>
      <c r="D924" s="21"/>
      <c r="E924" s="21"/>
      <c r="G924" s="21"/>
    </row>
    <row r="925" spans="1:7">
      <c r="A925" s="21"/>
      <c r="B925" s="21"/>
      <c r="C925" s="21"/>
      <c r="D925" s="21"/>
      <c r="E925" s="21"/>
      <c r="G925" s="21"/>
    </row>
    <row r="926" spans="1:7">
      <c r="A926" s="21"/>
      <c r="B926" s="21"/>
      <c r="C926" s="21"/>
      <c r="D926" s="21"/>
      <c r="E926" s="21"/>
      <c r="G926" s="21"/>
    </row>
    <row r="927" spans="1:7">
      <c r="A927" s="21"/>
      <c r="B927" s="21"/>
      <c r="C927" s="21"/>
      <c r="D927" s="21"/>
      <c r="E927" s="21"/>
      <c r="G927" s="21"/>
    </row>
    <row r="928" spans="1:7">
      <c r="A928" s="21"/>
      <c r="B928" s="21"/>
      <c r="C928" s="21"/>
      <c r="D928" s="21"/>
      <c r="E928" s="21"/>
      <c r="G928" s="21"/>
    </row>
    <row r="929" spans="1:7">
      <c r="A929" s="21"/>
      <c r="B929" s="21"/>
      <c r="C929" s="21"/>
      <c r="D929" s="21"/>
      <c r="E929" s="21"/>
      <c r="G929" s="21"/>
    </row>
    <row r="930" spans="1:7">
      <c r="A930" s="21"/>
      <c r="B930" s="21"/>
      <c r="C930" s="21"/>
      <c r="D930" s="21"/>
      <c r="E930" s="21"/>
      <c r="G930" s="21"/>
    </row>
    <row r="931" spans="1:7">
      <c r="A931" s="21"/>
      <c r="B931" s="21"/>
      <c r="C931" s="21"/>
      <c r="D931" s="21"/>
      <c r="E931" s="21"/>
      <c r="G931" s="21"/>
    </row>
    <row r="932" spans="1:7">
      <c r="A932" s="21"/>
      <c r="B932" s="21"/>
      <c r="C932" s="21"/>
      <c r="D932" s="21"/>
      <c r="E932" s="21"/>
      <c r="G932" s="21"/>
    </row>
    <row r="933" spans="1:7">
      <c r="A933" s="21"/>
      <c r="B933" s="21"/>
      <c r="C933" s="21"/>
      <c r="D933" s="21"/>
      <c r="E933" s="21"/>
      <c r="G933" s="21"/>
    </row>
    <row r="934" spans="1:7">
      <c r="A934" s="21"/>
      <c r="B934" s="21"/>
      <c r="C934" s="21"/>
      <c r="D934" s="21"/>
      <c r="E934" s="21"/>
      <c r="G934" s="21"/>
    </row>
    <row r="935" spans="1:7">
      <c r="A935" s="21"/>
      <c r="B935" s="21"/>
      <c r="C935" s="21"/>
      <c r="D935" s="21"/>
      <c r="E935" s="21"/>
      <c r="G935" s="21"/>
    </row>
    <row r="936" spans="1:7">
      <c r="A936" s="21"/>
      <c r="B936" s="21"/>
      <c r="C936" s="21"/>
      <c r="D936" s="21"/>
      <c r="E936" s="21"/>
      <c r="G936" s="21"/>
    </row>
    <row r="937" spans="1:7">
      <c r="A937" s="21"/>
      <c r="B937" s="21"/>
      <c r="C937" s="21"/>
      <c r="D937" s="21"/>
      <c r="E937" s="21"/>
      <c r="G937" s="21"/>
    </row>
    <row r="938" spans="1:7">
      <c r="A938" s="21"/>
      <c r="B938" s="21"/>
      <c r="C938" s="21"/>
      <c r="D938" s="21"/>
      <c r="E938" s="21"/>
      <c r="G938" s="21"/>
    </row>
    <row r="939" spans="1:7">
      <c r="A939" s="21"/>
      <c r="B939" s="21"/>
      <c r="C939" s="21"/>
      <c r="D939" s="21"/>
      <c r="E939" s="21"/>
      <c r="G939" s="21"/>
    </row>
    <row r="940" spans="1:7">
      <c r="A940" s="21"/>
      <c r="B940" s="21"/>
      <c r="C940" s="21"/>
      <c r="D940" s="21"/>
      <c r="E940" s="21"/>
      <c r="G940" s="21"/>
    </row>
    <row r="941" spans="1:7">
      <c r="A941" s="21"/>
      <c r="B941" s="21"/>
      <c r="C941" s="21"/>
      <c r="D941" s="21"/>
      <c r="E941" s="21"/>
      <c r="G941" s="21"/>
    </row>
    <row r="942" spans="1:7">
      <c r="A942" s="21"/>
      <c r="B942" s="21"/>
      <c r="C942" s="21"/>
      <c r="D942" s="21"/>
      <c r="E942" s="21"/>
      <c r="G942" s="21"/>
    </row>
    <row r="943" spans="1:7">
      <c r="A943" s="21"/>
      <c r="B943" s="21"/>
      <c r="C943" s="21"/>
      <c r="D943" s="21"/>
      <c r="E943" s="21"/>
      <c r="G943" s="21"/>
    </row>
    <row r="944" spans="1:7">
      <c r="A944" s="21"/>
      <c r="B944" s="21"/>
      <c r="C944" s="21"/>
      <c r="D944" s="21"/>
      <c r="E944" s="21"/>
      <c r="G944" s="21"/>
    </row>
    <row r="945" spans="1:7">
      <c r="A945" s="21"/>
      <c r="B945" s="21"/>
      <c r="C945" s="21"/>
      <c r="D945" s="21"/>
      <c r="E945" s="21"/>
      <c r="G945" s="21"/>
    </row>
    <row r="946" spans="1:7">
      <c r="A946" s="21"/>
      <c r="B946" s="21"/>
      <c r="C946" s="21"/>
      <c r="D946" s="21"/>
      <c r="E946" s="21"/>
      <c r="G946" s="21"/>
    </row>
    <row r="947" spans="1:7">
      <c r="A947" s="21"/>
      <c r="B947" s="21"/>
      <c r="C947" s="21"/>
      <c r="D947" s="21"/>
      <c r="E947" s="21"/>
      <c r="G947" s="21"/>
    </row>
    <row r="948" spans="1:7">
      <c r="A948" s="21"/>
      <c r="B948" s="21"/>
      <c r="C948" s="21"/>
      <c r="D948" s="21"/>
      <c r="E948" s="21"/>
      <c r="G948" s="21"/>
    </row>
    <row r="949" spans="1:7">
      <c r="A949" s="21"/>
      <c r="B949" s="21"/>
      <c r="C949" s="21"/>
      <c r="D949" s="21"/>
      <c r="E949" s="21"/>
      <c r="G949" s="21"/>
    </row>
    <row r="950" spans="1:7">
      <c r="A950" s="21"/>
      <c r="B950" s="21"/>
      <c r="C950" s="21"/>
      <c r="D950" s="21"/>
      <c r="E950" s="21"/>
      <c r="G950" s="21"/>
    </row>
    <row r="951" spans="1:7">
      <c r="A951" s="21"/>
      <c r="B951" s="21"/>
      <c r="C951" s="21"/>
      <c r="D951" s="21"/>
      <c r="E951" s="21"/>
      <c r="G951" s="21"/>
    </row>
    <row r="952" spans="1:7">
      <c r="A952" s="21"/>
      <c r="B952" s="21"/>
      <c r="C952" s="21"/>
      <c r="D952" s="21"/>
      <c r="E952" s="21"/>
      <c r="G952" s="21"/>
    </row>
    <row r="953" spans="1:7">
      <c r="A953" s="21"/>
      <c r="B953" s="21"/>
      <c r="C953" s="21"/>
      <c r="D953" s="21"/>
      <c r="E953" s="21"/>
      <c r="G953" s="21"/>
    </row>
    <row r="954" spans="1:7">
      <c r="A954" s="21"/>
      <c r="B954" s="21"/>
      <c r="C954" s="21"/>
      <c r="D954" s="21"/>
      <c r="E954" s="21"/>
      <c r="G954" s="21"/>
    </row>
    <row r="955" spans="1:7">
      <c r="A955" s="21"/>
      <c r="B955" s="21"/>
      <c r="C955" s="21"/>
      <c r="D955" s="21"/>
      <c r="E955" s="21"/>
      <c r="G955" s="21"/>
    </row>
    <row r="956" spans="1:7">
      <c r="A956" s="21"/>
      <c r="B956" s="21"/>
      <c r="C956" s="21"/>
      <c r="D956" s="21"/>
      <c r="E956" s="21"/>
      <c r="G956" s="21"/>
    </row>
    <row r="957" spans="1:7">
      <c r="A957" s="21"/>
      <c r="B957" s="21"/>
      <c r="C957" s="21"/>
      <c r="D957" s="21"/>
      <c r="E957" s="21"/>
      <c r="G957" s="21"/>
    </row>
    <row r="958" spans="1:7">
      <c r="A958" s="21"/>
      <c r="B958" s="21"/>
      <c r="C958" s="21"/>
      <c r="D958" s="21"/>
      <c r="E958" s="21"/>
      <c r="G958" s="21"/>
    </row>
    <row r="959" spans="1:7">
      <c r="A959" s="21"/>
      <c r="B959" s="21"/>
      <c r="C959" s="21"/>
      <c r="D959" s="21"/>
      <c r="E959" s="21"/>
      <c r="G959" s="21"/>
    </row>
    <row r="960" spans="1:7">
      <c r="A960" s="21"/>
      <c r="B960" s="21"/>
      <c r="C960" s="21"/>
      <c r="D960" s="21"/>
      <c r="E960" s="21"/>
      <c r="G960" s="21"/>
    </row>
    <row r="961" spans="1:7">
      <c r="A961" s="21"/>
      <c r="B961" s="21"/>
      <c r="C961" s="21"/>
      <c r="D961" s="21"/>
      <c r="E961" s="21"/>
      <c r="G961" s="21"/>
    </row>
    <row r="962" spans="1:7">
      <c r="A962" s="21"/>
      <c r="B962" s="21"/>
      <c r="C962" s="21"/>
      <c r="D962" s="21"/>
      <c r="E962" s="21"/>
      <c r="G962" s="21"/>
    </row>
    <row r="963" spans="1:7">
      <c r="A963" s="21"/>
      <c r="B963" s="21"/>
      <c r="C963" s="21"/>
      <c r="D963" s="21"/>
      <c r="E963" s="21"/>
      <c r="G963" s="21"/>
    </row>
    <row r="964" spans="1:7">
      <c r="A964" s="21"/>
      <c r="B964" s="21"/>
      <c r="C964" s="21"/>
      <c r="D964" s="21"/>
      <c r="E964" s="21"/>
      <c r="G964" s="21"/>
    </row>
    <row r="965" spans="1:7">
      <c r="A965" s="21"/>
      <c r="B965" s="21"/>
      <c r="C965" s="21"/>
      <c r="D965" s="21"/>
      <c r="E965" s="21"/>
      <c r="G965" s="21"/>
    </row>
    <row r="966" spans="1:7">
      <c r="A966" s="21"/>
      <c r="B966" s="21"/>
      <c r="C966" s="21"/>
      <c r="D966" s="21"/>
      <c r="E966" s="21"/>
      <c r="G966" s="21"/>
    </row>
    <row r="967" spans="1:7">
      <c r="A967" s="21"/>
      <c r="B967" s="21"/>
      <c r="C967" s="21"/>
      <c r="D967" s="21"/>
      <c r="E967" s="21"/>
      <c r="G967" s="21"/>
    </row>
    <row r="968" spans="1:7">
      <c r="A968" s="21"/>
      <c r="B968" s="21"/>
      <c r="C968" s="21"/>
      <c r="D968" s="21"/>
      <c r="E968" s="21"/>
      <c r="G968" s="21"/>
    </row>
    <row r="969" spans="1:7">
      <c r="A969" s="21"/>
      <c r="B969" s="21"/>
      <c r="C969" s="21"/>
      <c r="D969" s="21"/>
      <c r="E969" s="21"/>
      <c r="G969" s="21"/>
    </row>
    <row r="970" spans="1:7">
      <c r="A970" s="21"/>
      <c r="B970" s="21"/>
      <c r="C970" s="21"/>
      <c r="D970" s="21"/>
      <c r="E970" s="21"/>
      <c r="G970" s="21"/>
    </row>
    <row r="971" spans="1:7">
      <c r="A971" s="21"/>
      <c r="B971" s="21"/>
      <c r="C971" s="21"/>
      <c r="D971" s="21"/>
      <c r="E971" s="21"/>
      <c r="G971" s="21"/>
    </row>
    <row r="972" spans="1:7">
      <c r="A972" s="21"/>
      <c r="B972" s="21"/>
      <c r="C972" s="21"/>
      <c r="D972" s="21"/>
      <c r="E972" s="21"/>
      <c r="G972" s="21"/>
    </row>
    <row r="973" spans="1:7">
      <c r="A973" s="21"/>
      <c r="B973" s="21"/>
      <c r="C973" s="21"/>
      <c r="D973" s="21"/>
      <c r="E973" s="21"/>
      <c r="G973" s="21"/>
    </row>
    <row r="974" spans="1:7">
      <c r="A974" s="21"/>
      <c r="B974" s="21"/>
      <c r="C974" s="21"/>
      <c r="D974" s="21"/>
      <c r="E974" s="21"/>
      <c r="G974" s="21"/>
    </row>
    <row r="975" spans="1:7">
      <c r="A975" s="21"/>
      <c r="B975" s="21"/>
      <c r="C975" s="21"/>
      <c r="D975" s="21"/>
      <c r="E975" s="21"/>
      <c r="G975" s="21"/>
    </row>
    <row r="976" spans="1:7">
      <c r="A976" s="21"/>
      <c r="B976" s="21"/>
      <c r="C976" s="21"/>
      <c r="D976" s="21"/>
      <c r="E976" s="21"/>
      <c r="G976" s="21"/>
    </row>
    <row r="977" spans="1:7">
      <c r="A977" s="21"/>
      <c r="B977" s="21"/>
      <c r="C977" s="21"/>
      <c r="D977" s="21"/>
      <c r="E977" s="21"/>
      <c r="G977" s="21"/>
    </row>
    <row r="978" spans="1:7">
      <c r="A978" s="21"/>
      <c r="B978" s="21"/>
      <c r="C978" s="21"/>
      <c r="D978" s="21"/>
      <c r="E978" s="21"/>
      <c r="G978" s="21"/>
    </row>
    <row r="979" spans="1:7">
      <c r="A979" s="21"/>
      <c r="B979" s="21"/>
      <c r="C979" s="21"/>
      <c r="D979" s="21"/>
      <c r="E979" s="21"/>
      <c r="G979" s="21"/>
    </row>
    <row r="980" spans="1:7">
      <c r="A980" s="21"/>
      <c r="B980" s="21"/>
      <c r="C980" s="21"/>
      <c r="D980" s="21"/>
      <c r="E980" s="21"/>
      <c r="G980" s="21"/>
    </row>
    <row r="981" spans="1:7">
      <c r="A981" s="21"/>
      <c r="B981" s="21"/>
      <c r="C981" s="21"/>
      <c r="D981" s="21"/>
      <c r="E981" s="21"/>
      <c r="G981" s="21"/>
    </row>
    <row r="982" spans="1:7">
      <c r="A982" s="21"/>
      <c r="B982" s="21"/>
      <c r="C982" s="21"/>
      <c r="D982" s="21"/>
      <c r="E982" s="21"/>
      <c r="G982" s="21"/>
    </row>
    <row r="983" spans="1:7">
      <c r="A983" s="21"/>
      <c r="B983" s="21"/>
      <c r="C983" s="21"/>
      <c r="D983" s="21"/>
      <c r="E983" s="21"/>
      <c r="G983" s="21"/>
    </row>
    <row r="984" spans="1:7">
      <c r="A984" s="21"/>
      <c r="B984" s="21"/>
      <c r="C984" s="21"/>
      <c r="D984" s="21"/>
      <c r="E984" s="21"/>
      <c r="G984" s="21"/>
    </row>
    <row r="985" spans="1:7">
      <c r="A985" s="21"/>
      <c r="B985" s="21"/>
      <c r="C985" s="21"/>
      <c r="D985" s="21"/>
      <c r="E985" s="21"/>
      <c r="G985" s="21"/>
    </row>
    <row r="986" spans="1:7">
      <c r="A986" s="21"/>
      <c r="B986" s="21"/>
      <c r="C986" s="21"/>
      <c r="D986" s="21"/>
      <c r="E986" s="21"/>
      <c r="G986" s="21"/>
    </row>
    <row r="987" spans="1:7">
      <c r="A987" s="21"/>
      <c r="B987" s="21"/>
      <c r="C987" s="21"/>
      <c r="D987" s="21"/>
      <c r="E987" s="21"/>
      <c r="G987" s="21"/>
    </row>
    <row r="988" spans="1:7">
      <c r="A988" s="21"/>
      <c r="B988" s="21"/>
      <c r="C988" s="21"/>
      <c r="D988" s="21"/>
      <c r="E988" s="21"/>
      <c r="G988" s="21"/>
    </row>
    <row r="989" spans="1:7">
      <c r="A989" s="21"/>
      <c r="B989" s="21"/>
      <c r="C989" s="21"/>
      <c r="D989" s="21"/>
      <c r="E989" s="21"/>
      <c r="G989" s="21"/>
    </row>
    <row r="990" spans="1:7">
      <c r="A990" s="21"/>
      <c r="B990" s="21"/>
      <c r="C990" s="21"/>
      <c r="D990" s="21"/>
      <c r="E990" s="21"/>
      <c r="G990" s="21"/>
    </row>
    <row r="991" spans="1:7">
      <c r="A991" s="21"/>
      <c r="B991" s="21"/>
      <c r="C991" s="21"/>
      <c r="D991" s="21"/>
      <c r="E991" s="21"/>
      <c r="G991" s="21"/>
    </row>
    <row r="992" spans="1:7">
      <c r="A992" s="21"/>
      <c r="B992" s="21"/>
      <c r="C992" s="21"/>
      <c r="D992" s="21"/>
      <c r="E992" s="21"/>
      <c r="G992" s="21"/>
    </row>
    <row r="993" spans="1:7">
      <c r="A993" s="21"/>
      <c r="B993" s="21"/>
      <c r="C993" s="21"/>
      <c r="D993" s="21"/>
      <c r="E993" s="21"/>
      <c r="G993" s="21"/>
    </row>
    <row r="994" spans="1:7">
      <c r="A994" s="21"/>
      <c r="B994" s="21"/>
      <c r="C994" s="21"/>
      <c r="D994" s="21"/>
      <c r="E994" s="21"/>
      <c r="G994" s="21"/>
    </row>
    <row r="995" spans="1:7">
      <c r="A995" s="21"/>
      <c r="B995" s="21"/>
      <c r="C995" s="21"/>
      <c r="D995" s="21"/>
      <c r="E995" s="21"/>
      <c r="G995" s="21"/>
    </row>
    <row r="996" spans="1:7">
      <c r="A996" s="21"/>
      <c r="B996" s="21"/>
      <c r="C996" s="21"/>
      <c r="D996" s="21"/>
      <c r="E996" s="21"/>
      <c r="G996" s="21"/>
    </row>
    <row r="997" spans="1:7">
      <c r="A997" s="21"/>
      <c r="B997" s="21"/>
      <c r="C997" s="21"/>
      <c r="D997" s="21"/>
      <c r="E997" s="21"/>
      <c r="G997" s="21"/>
    </row>
    <row r="998" spans="1:7">
      <c r="A998" s="21"/>
      <c r="B998" s="21"/>
      <c r="C998" s="21"/>
      <c r="D998" s="21"/>
      <c r="E998" s="21"/>
      <c r="G998" s="21"/>
    </row>
    <row r="999" spans="1:7">
      <c r="A999" s="21"/>
      <c r="B999" s="21"/>
      <c r="C999" s="21"/>
      <c r="D999" s="21"/>
      <c r="E999" s="21"/>
      <c r="G999" s="21"/>
    </row>
    <row r="1000" spans="1:7">
      <c r="A1000" s="21"/>
      <c r="B1000" s="21"/>
      <c r="C1000" s="21"/>
      <c r="D1000" s="21"/>
      <c r="E1000" s="21"/>
      <c r="G1000" s="21"/>
    </row>
    <row r="1001" spans="1:7">
      <c r="A1001" s="21"/>
      <c r="B1001" s="21"/>
      <c r="C1001" s="21"/>
      <c r="D1001" s="21"/>
      <c r="E1001" s="21"/>
      <c r="G1001" s="21"/>
    </row>
    <row r="1002" spans="1:7">
      <c r="A1002" s="21"/>
      <c r="B1002" s="21"/>
      <c r="C1002" s="21"/>
      <c r="D1002" s="21"/>
      <c r="E1002" s="21"/>
      <c r="G1002" s="21"/>
    </row>
    <row r="1003" spans="1:7">
      <c r="A1003" s="21"/>
      <c r="B1003" s="21"/>
      <c r="C1003" s="21"/>
      <c r="D1003" s="21"/>
      <c r="E1003" s="21"/>
      <c r="G1003" s="21"/>
    </row>
    <row r="1004" spans="1:7">
      <c r="A1004" s="21"/>
      <c r="B1004" s="21"/>
      <c r="C1004" s="21"/>
      <c r="D1004" s="21"/>
      <c r="E1004" s="21"/>
      <c r="G1004" s="21"/>
    </row>
    <row r="1005" spans="1:7">
      <c r="A1005" s="21"/>
      <c r="B1005" s="21"/>
      <c r="C1005" s="21"/>
      <c r="D1005" s="21"/>
      <c r="E1005" s="21"/>
      <c r="G1005" s="21"/>
    </row>
    <row r="1006" spans="1:7">
      <c r="A1006" s="21"/>
      <c r="B1006" s="21"/>
      <c r="C1006" s="21"/>
      <c r="D1006" s="21"/>
      <c r="E1006" s="21"/>
      <c r="G1006" s="21"/>
    </row>
    <row r="1007" spans="1:7">
      <c r="A1007" s="21"/>
      <c r="B1007" s="21"/>
      <c r="C1007" s="21"/>
      <c r="D1007" s="21"/>
      <c r="E1007" s="21"/>
      <c r="G1007" s="21"/>
    </row>
    <row r="1008" spans="1:7">
      <c r="A1008" s="21"/>
      <c r="B1008" s="21"/>
      <c r="C1008" s="21"/>
      <c r="D1008" s="21"/>
      <c r="E1008" s="21"/>
      <c r="G1008" s="21"/>
    </row>
    <row r="1009" spans="1:7">
      <c r="A1009" s="21"/>
      <c r="B1009" s="21"/>
      <c r="C1009" s="21"/>
      <c r="D1009" s="21"/>
      <c r="E1009" s="21"/>
      <c r="G1009" s="21"/>
    </row>
    <row r="1010" spans="1:7">
      <c r="A1010" s="21"/>
      <c r="B1010" s="21"/>
      <c r="C1010" s="21"/>
      <c r="D1010" s="21"/>
      <c r="E1010" s="21"/>
      <c r="G1010" s="21"/>
    </row>
    <row r="1011" spans="1:7">
      <c r="A1011" s="21"/>
      <c r="B1011" s="21"/>
      <c r="C1011" s="21"/>
      <c r="D1011" s="21"/>
      <c r="E1011" s="21"/>
      <c r="G1011" s="21"/>
    </row>
    <row r="1012" spans="1:7">
      <c r="A1012" s="21"/>
      <c r="B1012" s="21"/>
      <c r="C1012" s="21"/>
      <c r="D1012" s="21"/>
      <c r="E1012" s="21"/>
      <c r="G1012" s="21"/>
    </row>
    <row r="1013" spans="1:7">
      <c r="A1013" s="21"/>
      <c r="B1013" s="21"/>
      <c r="C1013" s="21"/>
      <c r="D1013" s="21"/>
      <c r="E1013" s="21"/>
      <c r="G1013" s="21"/>
    </row>
    <row r="1014" spans="1:7">
      <c r="A1014" s="21"/>
      <c r="B1014" s="21"/>
      <c r="C1014" s="21"/>
      <c r="D1014" s="21"/>
      <c r="E1014" s="21"/>
      <c r="G1014" s="21"/>
    </row>
    <row r="1015" spans="1:7">
      <c r="A1015" s="21"/>
      <c r="B1015" s="21"/>
      <c r="C1015" s="21"/>
      <c r="D1015" s="21"/>
      <c r="E1015" s="21"/>
      <c r="G1015" s="21"/>
    </row>
    <row r="1016" spans="1:7">
      <c r="A1016" s="21"/>
      <c r="B1016" s="21"/>
      <c r="C1016" s="21"/>
      <c r="D1016" s="21"/>
      <c r="E1016" s="21"/>
      <c r="G1016" s="21"/>
    </row>
    <row r="1017" spans="1:7">
      <c r="A1017" s="21"/>
      <c r="B1017" s="21"/>
      <c r="C1017" s="21"/>
      <c r="D1017" s="21"/>
      <c r="E1017" s="21"/>
      <c r="G1017" s="21"/>
    </row>
    <row r="1018" spans="1:7">
      <c r="A1018" s="21"/>
      <c r="B1018" s="21"/>
      <c r="C1018" s="21"/>
      <c r="D1018" s="21"/>
      <c r="E1018" s="21"/>
      <c r="G1018" s="21"/>
    </row>
    <row r="1019" spans="1:7">
      <c r="A1019" s="21"/>
      <c r="B1019" s="21"/>
      <c r="C1019" s="21"/>
      <c r="D1019" s="21"/>
      <c r="E1019" s="21"/>
      <c r="G1019" s="21"/>
    </row>
    <row r="1020" spans="1:7">
      <c r="A1020" s="21"/>
      <c r="B1020" s="21"/>
      <c r="C1020" s="21"/>
      <c r="D1020" s="21"/>
      <c r="E1020" s="21"/>
      <c r="G1020" s="21"/>
    </row>
    <row r="1021" spans="1:7">
      <c r="A1021" s="21"/>
      <c r="B1021" s="21"/>
      <c r="C1021" s="21"/>
      <c r="D1021" s="21"/>
      <c r="E1021" s="21"/>
      <c r="G1021" s="21"/>
    </row>
    <row r="1022" spans="1:7">
      <c r="A1022" s="21"/>
      <c r="B1022" s="21"/>
      <c r="C1022" s="21"/>
      <c r="D1022" s="21"/>
      <c r="E1022" s="21"/>
      <c r="G1022" s="21"/>
    </row>
    <row r="1023" spans="1:7">
      <c r="A1023" s="21"/>
      <c r="B1023" s="21"/>
      <c r="C1023" s="21"/>
      <c r="D1023" s="21"/>
      <c r="E1023" s="21"/>
      <c r="G1023" s="21"/>
    </row>
    <row r="1024" spans="1:7">
      <c r="A1024" s="21"/>
      <c r="B1024" s="21"/>
      <c r="C1024" s="21"/>
      <c r="D1024" s="21"/>
      <c r="E1024" s="21"/>
      <c r="G1024" s="21"/>
    </row>
    <row r="1025" spans="1:7">
      <c r="A1025" s="21"/>
      <c r="B1025" s="21"/>
      <c r="C1025" s="21"/>
      <c r="D1025" s="21"/>
      <c r="E1025" s="21"/>
      <c r="G1025" s="21"/>
    </row>
    <row r="1026" spans="1:7">
      <c r="A1026" s="21"/>
      <c r="B1026" s="21"/>
      <c r="C1026" s="21"/>
      <c r="D1026" s="21"/>
      <c r="E1026" s="21"/>
      <c r="G1026" s="21"/>
    </row>
    <row r="1027" spans="1:7">
      <c r="A1027" s="21"/>
      <c r="B1027" s="21"/>
      <c r="C1027" s="21"/>
      <c r="D1027" s="21"/>
      <c r="E1027" s="21"/>
      <c r="G1027" s="21"/>
    </row>
    <row r="1028" spans="1:7">
      <c r="A1028" s="21"/>
      <c r="B1028" s="21"/>
      <c r="C1028" s="21"/>
      <c r="D1028" s="21"/>
      <c r="E1028" s="21"/>
      <c r="G1028" s="21"/>
    </row>
    <row r="1029" spans="1:7">
      <c r="A1029" s="21"/>
      <c r="B1029" s="21"/>
      <c r="C1029" s="21"/>
      <c r="D1029" s="21"/>
      <c r="E1029" s="21"/>
      <c r="G1029" s="21"/>
    </row>
    <row r="1030" spans="1:7">
      <c r="A1030" s="21"/>
      <c r="B1030" s="21"/>
      <c r="C1030" s="21"/>
      <c r="D1030" s="21"/>
      <c r="E1030" s="21"/>
      <c r="G1030" s="21"/>
    </row>
    <row r="1031" spans="1:7">
      <c r="A1031" s="21"/>
      <c r="B1031" s="21"/>
      <c r="C1031" s="21"/>
      <c r="D1031" s="21"/>
      <c r="E1031" s="21"/>
      <c r="G1031" s="21"/>
    </row>
    <row r="1032" spans="1:7">
      <c r="A1032" s="21"/>
      <c r="B1032" s="21"/>
      <c r="C1032" s="21"/>
      <c r="D1032" s="21"/>
      <c r="E1032" s="21"/>
      <c r="G1032" s="21"/>
    </row>
    <row r="1033" spans="1:7">
      <c r="A1033" s="21"/>
      <c r="B1033" s="21"/>
      <c r="C1033" s="21"/>
      <c r="D1033" s="21"/>
      <c r="E1033" s="21"/>
      <c r="G1033" s="21"/>
    </row>
    <row r="1034" spans="1:7">
      <c r="A1034" s="21"/>
      <c r="B1034" s="21"/>
      <c r="C1034" s="21"/>
      <c r="D1034" s="21"/>
      <c r="E1034" s="21"/>
      <c r="G1034" s="21"/>
    </row>
    <row r="1035" spans="1:7">
      <c r="A1035" s="21"/>
      <c r="B1035" s="21"/>
      <c r="C1035" s="21"/>
      <c r="D1035" s="21"/>
      <c r="E1035" s="21"/>
      <c r="G1035" s="21"/>
    </row>
    <row r="1036" spans="1:7">
      <c r="A1036" s="21"/>
      <c r="B1036" s="21"/>
      <c r="C1036" s="21"/>
      <c r="D1036" s="21"/>
      <c r="E1036" s="21"/>
      <c r="G1036" s="21"/>
    </row>
    <row r="1037" spans="1:7">
      <c r="A1037" s="21"/>
      <c r="B1037" s="21"/>
      <c r="C1037" s="21"/>
      <c r="D1037" s="21"/>
      <c r="E1037" s="21"/>
      <c r="G1037" s="21"/>
    </row>
    <row r="1038" spans="1:7">
      <c r="A1038" s="21"/>
      <c r="B1038" s="21"/>
      <c r="C1038" s="21"/>
      <c r="D1038" s="21"/>
      <c r="E1038" s="21"/>
      <c r="G1038" s="21"/>
    </row>
    <row r="1039" spans="1:7">
      <c r="A1039" s="21"/>
      <c r="B1039" s="21"/>
      <c r="C1039" s="21"/>
      <c r="D1039" s="21"/>
      <c r="E1039" s="21"/>
      <c r="G1039" s="21"/>
    </row>
    <row r="1040" spans="1:7">
      <c r="A1040" s="21"/>
      <c r="B1040" s="21"/>
      <c r="C1040" s="21"/>
      <c r="D1040" s="21"/>
      <c r="E1040" s="21"/>
      <c r="G1040" s="21"/>
    </row>
    <row r="1041" spans="1:7">
      <c r="A1041" s="21"/>
      <c r="B1041" s="21"/>
      <c r="C1041" s="21"/>
      <c r="D1041" s="21"/>
      <c r="E1041" s="21"/>
      <c r="G1041" s="21"/>
    </row>
    <row r="1042" spans="1:7">
      <c r="A1042" s="21"/>
      <c r="B1042" s="21"/>
      <c r="C1042" s="21"/>
      <c r="D1042" s="21"/>
      <c r="E1042" s="21"/>
      <c r="G1042" s="21"/>
    </row>
    <row r="1043" spans="1:7">
      <c r="A1043" s="21"/>
      <c r="B1043" s="21"/>
      <c r="C1043" s="21"/>
      <c r="D1043" s="21"/>
      <c r="E1043" s="21"/>
      <c r="G1043" s="21"/>
    </row>
    <row r="1044" spans="1:7">
      <c r="A1044" s="21"/>
      <c r="B1044" s="21"/>
      <c r="C1044" s="21"/>
      <c r="D1044" s="21"/>
      <c r="E1044" s="21"/>
      <c r="G1044" s="21"/>
    </row>
    <row r="1045" spans="1:7">
      <c r="A1045" s="21"/>
      <c r="B1045" s="21"/>
      <c r="C1045" s="21"/>
      <c r="D1045" s="21"/>
      <c r="E1045" s="21"/>
      <c r="G1045" s="21"/>
    </row>
    <row r="1046" spans="1:7">
      <c r="A1046" s="21"/>
      <c r="B1046" s="21"/>
      <c r="C1046" s="21"/>
      <c r="D1046" s="21"/>
      <c r="E1046" s="21"/>
      <c r="G1046" s="21"/>
    </row>
    <row r="1047" spans="1:7">
      <c r="A1047" s="21"/>
      <c r="B1047" s="21"/>
      <c r="C1047" s="21"/>
      <c r="D1047" s="21"/>
      <c r="E1047" s="21"/>
      <c r="G1047" s="21"/>
    </row>
    <row r="1048" spans="1:7">
      <c r="A1048" s="21"/>
      <c r="B1048" s="21"/>
      <c r="C1048" s="21"/>
      <c r="D1048" s="21"/>
      <c r="E1048" s="21"/>
      <c r="G1048" s="21"/>
    </row>
    <row r="1049" spans="1:7">
      <c r="A1049" s="21"/>
      <c r="B1049" s="21"/>
      <c r="C1049" s="21"/>
      <c r="D1049" s="21"/>
      <c r="E1049" s="21"/>
      <c r="G1049" s="21"/>
    </row>
    <row r="1050" spans="1:7">
      <c r="A1050" s="21"/>
      <c r="B1050" s="21"/>
      <c r="C1050" s="21"/>
      <c r="D1050" s="21"/>
      <c r="E1050" s="21"/>
      <c r="G1050" s="21"/>
    </row>
    <row r="1051" spans="1:7">
      <c r="A1051" s="21"/>
      <c r="B1051" s="21"/>
      <c r="C1051" s="21"/>
      <c r="D1051" s="21"/>
      <c r="E1051" s="21"/>
      <c r="G1051" s="21"/>
    </row>
    <row r="1052" spans="1:7">
      <c r="A1052" s="21"/>
      <c r="B1052" s="21"/>
      <c r="C1052" s="21"/>
      <c r="D1052" s="21"/>
      <c r="E1052" s="21"/>
      <c r="G1052" s="21"/>
    </row>
    <row r="1053" spans="1:7">
      <c r="A1053" s="21"/>
      <c r="B1053" s="21"/>
      <c r="C1053" s="21"/>
      <c r="D1053" s="21"/>
      <c r="E1053" s="21"/>
      <c r="G1053" s="21"/>
    </row>
    <row r="1054" spans="1:7">
      <c r="A1054" s="21"/>
      <c r="B1054" s="21"/>
      <c r="C1054" s="21"/>
      <c r="D1054" s="21"/>
      <c r="E1054" s="21"/>
      <c r="G1054" s="21"/>
    </row>
    <row r="1055" spans="1:7">
      <c r="A1055" s="21"/>
      <c r="B1055" s="21"/>
      <c r="C1055" s="21"/>
      <c r="D1055" s="21"/>
      <c r="E1055" s="21"/>
      <c r="G1055" s="21"/>
    </row>
    <row r="1056" spans="1:7">
      <c r="A1056" s="21"/>
      <c r="B1056" s="21"/>
      <c r="C1056" s="21"/>
      <c r="D1056" s="21"/>
      <c r="E1056" s="21"/>
      <c r="G1056" s="21"/>
    </row>
    <row r="1057" spans="1:7">
      <c r="A1057" s="21"/>
      <c r="B1057" s="21"/>
      <c r="C1057" s="21"/>
      <c r="D1057" s="21"/>
      <c r="E1057" s="21"/>
      <c r="G1057" s="21"/>
    </row>
    <row r="1058" spans="1:7">
      <c r="A1058" s="21"/>
      <c r="B1058" s="21"/>
      <c r="C1058" s="21"/>
      <c r="D1058" s="21"/>
      <c r="E1058" s="21"/>
      <c r="G1058" s="21"/>
    </row>
    <row r="1059" spans="1:7">
      <c r="A1059" s="21"/>
      <c r="B1059" s="21"/>
      <c r="C1059" s="21"/>
      <c r="D1059" s="21"/>
      <c r="E1059" s="21"/>
      <c r="G1059" s="21"/>
    </row>
    <row r="1060" spans="1:7">
      <c r="A1060" s="21"/>
      <c r="B1060" s="21"/>
      <c r="C1060" s="21"/>
      <c r="D1060" s="21"/>
      <c r="E1060" s="21"/>
      <c r="G1060" s="21"/>
    </row>
    <row r="1061" spans="1:7">
      <c r="A1061" s="21"/>
      <c r="B1061" s="21"/>
      <c r="C1061" s="21"/>
      <c r="D1061" s="21"/>
      <c r="E1061" s="21"/>
      <c r="G1061" s="21"/>
    </row>
    <row r="1062" spans="1:7">
      <c r="A1062" s="21"/>
      <c r="B1062" s="21"/>
      <c r="C1062" s="21"/>
      <c r="D1062" s="21"/>
      <c r="E1062" s="21"/>
      <c r="G1062" s="21"/>
    </row>
    <row r="1063" spans="1:7">
      <c r="A1063" s="21"/>
      <c r="B1063" s="21"/>
      <c r="C1063" s="21"/>
      <c r="D1063" s="21"/>
      <c r="E1063" s="21"/>
      <c r="G1063" s="21"/>
    </row>
    <row r="1064" spans="1:7">
      <c r="A1064" s="21"/>
      <c r="B1064" s="21"/>
      <c r="C1064" s="21"/>
      <c r="D1064" s="21"/>
      <c r="E1064" s="21"/>
      <c r="G1064" s="21"/>
    </row>
    <row r="1065" spans="1:7">
      <c r="A1065" s="21"/>
      <c r="B1065" s="21"/>
      <c r="C1065" s="21"/>
      <c r="D1065" s="21"/>
      <c r="E1065" s="21"/>
      <c r="G1065" s="21"/>
    </row>
    <row r="1066" spans="1:7">
      <c r="A1066" s="21"/>
      <c r="B1066" s="21"/>
      <c r="C1066" s="21"/>
      <c r="D1066" s="21"/>
      <c r="E1066" s="21"/>
      <c r="G1066" s="21"/>
    </row>
    <row r="1067" spans="1:7">
      <c r="A1067" s="21"/>
      <c r="B1067" s="21"/>
      <c r="C1067" s="21"/>
      <c r="D1067" s="21"/>
      <c r="E1067" s="21"/>
      <c r="G1067" s="21"/>
    </row>
    <row r="1068" spans="1:7">
      <c r="A1068" s="21"/>
      <c r="B1068" s="21"/>
      <c r="C1068" s="21"/>
      <c r="D1068" s="21"/>
      <c r="E1068" s="21"/>
      <c r="G1068" s="21"/>
    </row>
    <row r="1069" spans="1:7">
      <c r="A1069" s="21"/>
      <c r="B1069" s="21"/>
      <c r="C1069" s="21"/>
      <c r="D1069" s="21"/>
      <c r="E1069" s="21"/>
      <c r="G1069" s="21"/>
    </row>
    <row r="1070" spans="1:7">
      <c r="A1070" s="21"/>
      <c r="B1070" s="21"/>
      <c r="C1070" s="21"/>
      <c r="D1070" s="21"/>
      <c r="E1070" s="21"/>
      <c r="G1070" s="21"/>
    </row>
    <row r="1071" spans="1:7">
      <c r="A1071" s="21"/>
      <c r="B1071" s="21"/>
      <c r="C1071" s="21"/>
      <c r="D1071" s="21"/>
      <c r="E1071" s="21"/>
      <c r="G1071" s="21"/>
    </row>
    <row r="1072" spans="1:7">
      <c r="A1072" s="21"/>
      <c r="B1072" s="21"/>
      <c r="C1072" s="21"/>
      <c r="D1072" s="21"/>
      <c r="E1072" s="21"/>
      <c r="G1072" s="21"/>
    </row>
    <row r="1073" spans="1:7">
      <c r="A1073" s="21"/>
      <c r="B1073" s="21"/>
      <c r="C1073" s="21"/>
      <c r="D1073" s="21"/>
      <c r="E1073" s="21"/>
      <c r="G1073" s="21"/>
    </row>
    <row r="1074" spans="1:7">
      <c r="A1074" s="21"/>
      <c r="B1074" s="21"/>
      <c r="C1074" s="21"/>
      <c r="D1074" s="21"/>
      <c r="E1074" s="21"/>
      <c r="G1074" s="21"/>
    </row>
    <row r="1075" spans="1:7">
      <c r="A1075" s="21"/>
      <c r="B1075" s="21"/>
      <c r="C1075" s="21"/>
      <c r="D1075" s="21"/>
      <c r="E1075" s="21"/>
      <c r="G1075" s="21"/>
    </row>
    <row r="1076" spans="1:7">
      <c r="A1076" s="21"/>
      <c r="B1076" s="21"/>
      <c r="C1076" s="21"/>
      <c r="D1076" s="21"/>
      <c r="E1076" s="21"/>
      <c r="G1076" s="21"/>
    </row>
    <row r="1077" spans="1:7">
      <c r="A1077" s="21"/>
      <c r="B1077" s="21"/>
      <c r="C1077" s="21"/>
      <c r="D1077" s="21"/>
      <c r="E1077" s="21"/>
      <c r="G1077" s="21"/>
    </row>
    <row r="1078" spans="1:7">
      <c r="A1078" s="21"/>
      <c r="B1078" s="21"/>
      <c r="C1078" s="21"/>
      <c r="D1078" s="21"/>
      <c r="E1078" s="21"/>
      <c r="G1078" s="21"/>
    </row>
    <row r="1079" spans="1:7">
      <c r="A1079" s="21"/>
      <c r="B1079" s="21"/>
      <c r="C1079" s="21"/>
      <c r="D1079" s="21"/>
      <c r="E1079" s="21"/>
      <c r="G1079" s="21"/>
    </row>
    <row r="1080" spans="1:7">
      <c r="A1080" s="21"/>
      <c r="B1080" s="21"/>
      <c r="C1080" s="21"/>
      <c r="D1080" s="21"/>
      <c r="E1080" s="21"/>
      <c r="G1080" s="21"/>
    </row>
    <row r="1081" spans="1:7">
      <c r="A1081" s="21"/>
      <c r="B1081" s="21"/>
      <c r="C1081" s="21"/>
      <c r="D1081" s="21"/>
      <c r="E1081" s="21"/>
      <c r="G1081" s="21"/>
    </row>
    <row r="1082" spans="1:7">
      <c r="A1082" s="21"/>
      <c r="B1082" s="21"/>
      <c r="C1082" s="21"/>
      <c r="D1082" s="21"/>
      <c r="E1082" s="21"/>
      <c r="G1082" s="21"/>
    </row>
    <row r="1083" spans="1:7">
      <c r="A1083" s="21"/>
      <c r="B1083" s="21"/>
      <c r="C1083" s="21"/>
      <c r="D1083" s="21"/>
      <c r="E1083" s="21"/>
      <c r="G1083" s="21"/>
    </row>
    <row r="1084" spans="1:7">
      <c r="A1084" s="21"/>
      <c r="B1084" s="21"/>
      <c r="C1084" s="21"/>
      <c r="D1084" s="21"/>
      <c r="E1084" s="21"/>
      <c r="G1084" s="21"/>
    </row>
    <row r="1085" spans="1:7">
      <c r="A1085" s="21"/>
      <c r="B1085" s="21"/>
      <c r="C1085" s="21"/>
      <c r="D1085" s="21"/>
      <c r="E1085" s="21"/>
      <c r="G1085" s="21"/>
    </row>
    <row r="1086" spans="1:7">
      <c r="A1086" s="21"/>
      <c r="B1086" s="21"/>
      <c r="C1086" s="21"/>
      <c r="D1086" s="21"/>
      <c r="E1086" s="21"/>
      <c r="G1086" s="21"/>
    </row>
    <row r="1087" spans="1:7">
      <c r="A1087" s="21"/>
      <c r="B1087" s="21"/>
      <c r="C1087" s="21"/>
      <c r="D1087" s="21"/>
      <c r="E1087" s="21"/>
      <c r="G1087" s="21"/>
    </row>
    <row r="1088" spans="1:7">
      <c r="A1088" s="21"/>
      <c r="B1088" s="21"/>
      <c r="C1088" s="21"/>
      <c r="D1088" s="21"/>
      <c r="E1088" s="21"/>
      <c r="G1088" s="21"/>
    </row>
    <row r="1089" spans="1:7">
      <c r="A1089" s="21"/>
      <c r="B1089" s="21"/>
      <c r="C1089" s="21"/>
      <c r="D1089" s="21"/>
      <c r="E1089" s="21"/>
      <c r="G1089" s="21"/>
    </row>
    <row r="1090" spans="1:7">
      <c r="A1090" s="21"/>
      <c r="B1090" s="21"/>
      <c r="C1090" s="21"/>
      <c r="D1090" s="21"/>
      <c r="E1090" s="21"/>
      <c r="G1090" s="21"/>
    </row>
    <row r="1091" spans="1:7">
      <c r="A1091" s="21"/>
      <c r="B1091" s="21"/>
      <c r="C1091" s="21"/>
      <c r="D1091" s="21"/>
      <c r="E1091" s="21"/>
      <c r="G1091" s="21"/>
    </row>
    <row r="1092" spans="1:7">
      <c r="A1092" s="21"/>
      <c r="B1092" s="21"/>
      <c r="C1092" s="21"/>
      <c r="D1092" s="21"/>
      <c r="E1092" s="21"/>
      <c r="G1092" s="21"/>
    </row>
    <row r="1093" spans="1:7">
      <c r="A1093" s="21"/>
      <c r="B1093" s="21"/>
      <c r="C1093" s="21"/>
      <c r="D1093" s="21"/>
      <c r="E1093" s="21"/>
      <c r="G1093" s="21"/>
    </row>
    <row r="1094" spans="1:7">
      <c r="A1094" s="21"/>
      <c r="B1094" s="21"/>
      <c r="C1094" s="21"/>
      <c r="D1094" s="21"/>
      <c r="E1094" s="21"/>
      <c r="G1094" s="21"/>
    </row>
    <row r="1095" spans="1:7">
      <c r="A1095" s="21"/>
      <c r="B1095" s="21"/>
      <c r="C1095" s="21"/>
      <c r="D1095" s="21"/>
      <c r="E1095" s="21"/>
      <c r="G1095" s="21"/>
    </row>
    <row r="1096" spans="1:7">
      <c r="A1096" s="21"/>
      <c r="B1096" s="21"/>
      <c r="C1096" s="21"/>
      <c r="D1096" s="21"/>
      <c r="E1096" s="21"/>
      <c r="G1096" s="21"/>
    </row>
    <row r="1097" spans="1:7">
      <c r="A1097" s="21"/>
      <c r="B1097" s="21"/>
      <c r="C1097" s="21"/>
      <c r="D1097" s="21"/>
      <c r="E1097" s="21"/>
      <c r="G1097" s="21"/>
    </row>
    <row r="1098" spans="1:7">
      <c r="A1098" s="21"/>
      <c r="B1098" s="21"/>
      <c r="C1098" s="21"/>
      <c r="D1098" s="21"/>
      <c r="E1098" s="21"/>
      <c r="G1098" s="21"/>
    </row>
    <row r="1099" spans="1:7">
      <c r="A1099" s="21"/>
      <c r="B1099" s="21"/>
      <c r="C1099" s="21"/>
      <c r="D1099" s="21"/>
      <c r="E1099" s="21"/>
      <c r="G1099" s="21"/>
    </row>
    <row r="1100" spans="1:7">
      <c r="A1100" s="21"/>
      <c r="B1100" s="21"/>
      <c r="C1100" s="21"/>
      <c r="D1100" s="21"/>
      <c r="E1100" s="21"/>
      <c r="G1100" s="21"/>
    </row>
    <row r="1101" spans="1:7">
      <c r="A1101" s="21"/>
      <c r="B1101" s="21"/>
      <c r="C1101" s="21"/>
      <c r="D1101" s="21"/>
      <c r="E1101" s="21"/>
      <c r="G1101" s="21"/>
    </row>
    <row r="1102" spans="1:7">
      <c r="A1102" s="21"/>
      <c r="B1102" s="21"/>
      <c r="C1102" s="21"/>
      <c r="D1102" s="21"/>
      <c r="E1102" s="21"/>
      <c r="G1102" s="21"/>
    </row>
    <row r="1103" spans="1:7">
      <c r="A1103" s="21"/>
      <c r="B1103" s="21"/>
      <c r="C1103" s="21"/>
      <c r="D1103" s="21"/>
      <c r="E1103" s="21"/>
      <c r="G1103" s="21"/>
    </row>
    <row r="1104" spans="1:7">
      <c r="A1104" s="21"/>
      <c r="B1104" s="21"/>
      <c r="C1104" s="21"/>
      <c r="D1104" s="21"/>
      <c r="E1104" s="21"/>
      <c r="G1104" s="21"/>
    </row>
    <row r="1105" spans="1:7">
      <c r="A1105" s="21"/>
      <c r="B1105" s="21"/>
      <c r="C1105" s="21"/>
      <c r="D1105" s="21"/>
      <c r="E1105" s="21"/>
      <c r="G1105" s="21"/>
    </row>
    <row r="1106" spans="1:7">
      <c r="A1106" s="21"/>
      <c r="B1106" s="21"/>
      <c r="C1106" s="21"/>
      <c r="D1106" s="21"/>
      <c r="E1106" s="21"/>
      <c r="G1106" s="21"/>
    </row>
    <row r="1107" spans="1:7">
      <c r="A1107" s="21"/>
      <c r="B1107" s="21"/>
      <c r="C1107" s="21"/>
      <c r="D1107" s="21"/>
      <c r="E1107" s="21"/>
      <c r="G1107" s="21"/>
    </row>
    <row r="1108" spans="1:7">
      <c r="A1108" s="21"/>
      <c r="B1108" s="21"/>
      <c r="C1108" s="21"/>
      <c r="D1108" s="21"/>
      <c r="E1108" s="21"/>
      <c r="G1108" s="21"/>
    </row>
    <row r="1109" spans="1:7">
      <c r="A1109" s="21"/>
      <c r="B1109" s="21"/>
      <c r="C1109" s="21"/>
      <c r="D1109" s="21"/>
      <c r="E1109" s="21"/>
      <c r="G1109" s="21"/>
    </row>
    <row r="1110" spans="1:7">
      <c r="A1110" s="21"/>
      <c r="B1110" s="21"/>
      <c r="C1110" s="21"/>
      <c r="D1110" s="21"/>
      <c r="E1110" s="21"/>
      <c r="G1110" s="21"/>
    </row>
    <row r="1111" spans="1:7">
      <c r="A1111" s="21"/>
      <c r="B1111" s="21"/>
      <c r="C1111" s="21"/>
      <c r="D1111" s="21"/>
      <c r="E1111" s="21"/>
      <c r="G1111" s="21"/>
    </row>
    <row r="1112" spans="1:7">
      <c r="A1112" s="21"/>
      <c r="B1112" s="21"/>
      <c r="C1112" s="21"/>
      <c r="D1112" s="21"/>
      <c r="E1112" s="21"/>
      <c r="G1112" s="21"/>
    </row>
    <row r="1113" spans="1:7">
      <c r="A1113" s="21"/>
      <c r="B1113" s="21"/>
      <c r="C1113" s="21"/>
      <c r="D1113" s="21"/>
      <c r="E1113" s="21"/>
      <c r="G1113" s="21"/>
    </row>
    <row r="1114" spans="1:7">
      <c r="A1114" s="21"/>
      <c r="B1114" s="21"/>
      <c r="C1114" s="21"/>
      <c r="D1114" s="21"/>
      <c r="E1114" s="21"/>
      <c r="G1114" s="21"/>
    </row>
    <row r="1115" spans="1:7">
      <c r="A1115" s="21"/>
      <c r="B1115" s="21"/>
      <c r="C1115" s="21"/>
      <c r="D1115" s="21"/>
      <c r="E1115" s="21"/>
      <c r="G1115" s="21"/>
    </row>
    <row r="1116" spans="1:7">
      <c r="A1116" s="21"/>
      <c r="B1116" s="21"/>
      <c r="C1116" s="21"/>
      <c r="D1116" s="21"/>
      <c r="E1116" s="21"/>
      <c r="G1116" s="21"/>
    </row>
    <row r="1117" spans="1:7">
      <c r="A1117" s="21"/>
      <c r="B1117" s="21"/>
      <c r="C1117" s="21"/>
      <c r="D1117" s="21"/>
      <c r="E1117" s="21"/>
      <c r="G1117" s="21"/>
    </row>
    <row r="1118" spans="1:7">
      <c r="A1118" s="21"/>
      <c r="B1118" s="21"/>
      <c r="C1118" s="21"/>
      <c r="D1118" s="21"/>
      <c r="E1118" s="21"/>
      <c r="G1118" s="21"/>
    </row>
    <row r="1119" spans="1:7">
      <c r="A1119" s="21"/>
      <c r="B1119" s="21"/>
      <c r="C1119" s="21"/>
      <c r="D1119" s="21"/>
      <c r="E1119" s="21"/>
      <c r="G1119" s="21"/>
    </row>
    <row r="1120" spans="1:7">
      <c r="A1120" s="21"/>
      <c r="B1120" s="21"/>
      <c r="C1120" s="21"/>
      <c r="D1120" s="21"/>
      <c r="E1120" s="21"/>
      <c r="G1120" s="21"/>
    </row>
    <row r="1121" spans="1:7">
      <c r="A1121" s="21"/>
      <c r="B1121" s="21"/>
      <c r="C1121" s="21"/>
      <c r="D1121" s="21"/>
      <c r="E1121" s="21"/>
      <c r="G1121" s="21"/>
    </row>
    <row r="1122" spans="1:7">
      <c r="A1122" s="21"/>
      <c r="B1122" s="21"/>
      <c r="C1122" s="21"/>
      <c r="D1122" s="21"/>
      <c r="E1122" s="21"/>
      <c r="G1122" s="21"/>
    </row>
    <row r="1123" spans="1:7">
      <c r="A1123" s="21"/>
      <c r="B1123" s="21"/>
      <c r="C1123" s="21"/>
      <c r="D1123" s="21"/>
      <c r="E1123" s="21"/>
      <c r="G1123" s="21"/>
    </row>
    <row r="1124" spans="1:7">
      <c r="A1124" s="21"/>
      <c r="B1124" s="21"/>
      <c r="C1124" s="21"/>
      <c r="D1124" s="21"/>
      <c r="E1124" s="21"/>
      <c r="G1124" s="21"/>
    </row>
    <row r="1125" spans="1:7">
      <c r="A1125" s="21"/>
      <c r="B1125" s="21"/>
      <c r="C1125" s="21"/>
      <c r="D1125" s="21"/>
      <c r="E1125" s="21"/>
      <c r="G1125" s="21"/>
    </row>
    <row r="1126" spans="1:7">
      <c r="A1126" s="21"/>
      <c r="B1126" s="21"/>
      <c r="C1126" s="21"/>
      <c r="D1126" s="21"/>
      <c r="E1126" s="21"/>
      <c r="G1126" s="21"/>
    </row>
    <row r="1127" spans="1:7">
      <c r="A1127" s="21"/>
      <c r="B1127" s="21"/>
      <c r="C1127" s="21"/>
      <c r="D1127" s="21"/>
      <c r="E1127" s="21"/>
      <c r="G1127" s="21"/>
    </row>
    <row r="1128" spans="1:7">
      <c r="A1128" s="21"/>
      <c r="B1128" s="21"/>
      <c r="C1128" s="21"/>
      <c r="D1128" s="21"/>
      <c r="E1128" s="21"/>
      <c r="G1128" s="21"/>
    </row>
    <row r="1129" spans="1:7">
      <c r="A1129" s="21"/>
      <c r="B1129" s="21"/>
      <c r="C1129" s="21"/>
      <c r="D1129" s="21"/>
      <c r="E1129" s="21"/>
      <c r="G1129" s="21"/>
    </row>
    <row r="1130" spans="1:7">
      <c r="A1130" s="21"/>
      <c r="B1130" s="21"/>
      <c r="C1130" s="21"/>
      <c r="D1130" s="21"/>
      <c r="E1130" s="21"/>
      <c r="G1130" s="21"/>
    </row>
    <row r="1131" spans="1:7">
      <c r="A1131" s="21"/>
      <c r="B1131" s="21"/>
      <c r="C1131" s="21"/>
      <c r="D1131" s="21"/>
      <c r="E1131" s="21"/>
      <c r="G1131" s="21"/>
    </row>
    <row r="1132" spans="1:7">
      <c r="A1132" s="21"/>
      <c r="B1132" s="21"/>
      <c r="C1132" s="21"/>
      <c r="D1132" s="21"/>
      <c r="E1132" s="21"/>
      <c r="G1132" s="21"/>
    </row>
    <row r="1133" spans="1:7">
      <c r="A1133" s="21"/>
      <c r="B1133" s="21"/>
      <c r="C1133" s="21"/>
      <c r="D1133" s="21"/>
      <c r="E1133" s="21"/>
      <c r="G1133" s="21"/>
    </row>
    <row r="1134" spans="1:7">
      <c r="A1134" s="21"/>
      <c r="B1134" s="21"/>
      <c r="C1134" s="21"/>
      <c r="D1134" s="21"/>
      <c r="E1134" s="21"/>
      <c r="G1134" s="21"/>
    </row>
    <row r="1135" spans="1:7">
      <c r="A1135" s="21"/>
      <c r="B1135" s="21"/>
      <c r="C1135" s="21"/>
      <c r="D1135" s="21"/>
      <c r="E1135" s="21"/>
      <c r="G1135" s="21"/>
    </row>
    <row r="1136" spans="1:7">
      <c r="A1136" s="21"/>
      <c r="B1136" s="21"/>
      <c r="C1136" s="21"/>
      <c r="D1136" s="21"/>
      <c r="E1136" s="21"/>
      <c r="G1136" s="21"/>
    </row>
    <row r="1137" spans="1:7">
      <c r="A1137" s="21"/>
      <c r="B1137" s="21"/>
      <c r="C1137" s="21"/>
      <c r="D1137" s="21"/>
      <c r="E1137" s="21"/>
      <c r="G1137" s="21"/>
    </row>
    <row r="1138" spans="1:7">
      <c r="A1138" s="21"/>
      <c r="B1138" s="21"/>
      <c r="C1138" s="21"/>
      <c r="D1138" s="21"/>
      <c r="E1138" s="21"/>
      <c r="G1138" s="21"/>
    </row>
    <row r="1139" spans="1:7">
      <c r="A1139" s="21"/>
      <c r="B1139" s="21"/>
      <c r="C1139" s="21"/>
      <c r="D1139" s="21"/>
      <c r="E1139" s="21"/>
      <c r="G1139" s="21"/>
    </row>
    <row r="1140" spans="1:7">
      <c r="A1140" s="21"/>
      <c r="B1140" s="21"/>
      <c r="C1140" s="21"/>
      <c r="D1140" s="21"/>
      <c r="E1140" s="21"/>
      <c r="G1140" s="21"/>
    </row>
    <row r="1141" spans="1:7">
      <c r="A1141" s="21"/>
      <c r="B1141" s="21"/>
      <c r="C1141" s="21"/>
      <c r="D1141" s="21"/>
      <c r="E1141" s="21"/>
      <c r="G1141" s="21"/>
    </row>
    <row r="1142" spans="1:7">
      <c r="A1142" s="21"/>
      <c r="B1142" s="21"/>
      <c r="C1142" s="21"/>
      <c r="D1142" s="21"/>
      <c r="E1142" s="21"/>
      <c r="G1142" s="21"/>
    </row>
    <row r="1143" spans="1:7">
      <c r="A1143" s="21"/>
      <c r="B1143" s="21"/>
      <c r="C1143" s="21"/>
      <c r="D1143" s="21"/>
      <c r="E1143" s="21"/>
      <c r="G1143" s="21"/>
    </row>
    <row r="1144" spans="1:7">
      <c r="A1144" s="21"/>
      <c r="B1144" s="21"/>
      <c r="C1144" s="21"/>
      <c r="D1144" s="21"/>
      <c r="E1144" s="21"/>
      <c r="G1144" s="21"/>
    </row>
    <row r="1145" spans="1:7">
      <c r="A1145" s="21"/>
      <c r="B1145" s="21"/>
      <c r="C1145" s="21"/>
      <c r="D1145" s="21"/>
      <c r="E1145" s="21"/>
      <c r="G1145" s="21"/>
    </row>
    <row r="1146" spans="1:7">
      <c r="A1146" s="21"/>
      <c r="B1146" s="21"/>
      <c r="C1146" s="21"/>
      <c r="D1146" s="21"/>
      <c r="E1146" s="21"/>
      <c r="G1146" s="21"/>
    </row>
    <row r="1147" spans="1:7">
      <c r="A1147" s="21"/>
      <c r="B1147" s="21"/>
      <c r="C1147" s="21"/>
      <c r="D1147" s="21"/>
      <c r="E1147" s="21"/>
      <c r="G1147" s="21"/>
    </row>
    <row r="1148" spans="1:7">
      <c r="A1148" s="21"/>
      <c r="B1148" s="21"/>
      <c r="C1148" s="21"/>
      <c r="D1148" s="21"/>
      <c r="E1148" s="21"/>
      <c r="G1148" s="21"/>
    </row>
    <row r="1149" spans="1:7">
      <c r="A1149" s="21"/>
      <c r="B1149" s="21"/>
      <c r="C1149" s="21"/>
      <c r="D1149" s="21"/>
      <c r="E1149" s="21"/>
      <c r="G1149" s="21"/>
    </row>
    <row r="1150" spans="1:7">
      <c r="A1150" s="21"/>
      <c r="B1150" s="21"/>
      <c r="C1150" s="21"/>
      <c r="D1150" s="21"/>
      <c r="E1150" s="21"/>
      <c r="G1150" s="21"/>
    </row>
    <row r="1151" spans="1:7">
      <c r="A1151" s="21"/>
      <c r="B1151" s="21"/>
      <c r="C1151" s="21"/>
      <c r="D1151" s="21"/>
      <c r="E1151" s="21"/>
      <c r="G1151" s="21"/>
    </row>
    <row r="1152" spans="1:7">
      <c r="A1152" s="21"/>
      <c r="B1152" s="21"/>
      <c r="C1152" s="21"/>
      <c r="D1152" s="21"/>
      <c r="E1152" s="21"/>
      <c r="G1152" s="21"/>
    </row>
    <row r="1153" spans="1:7">
      <c r="A1153" s="21"/>
      <c r="B1153" s="21"/>
      <c r="C1153" s="21"/>
      <c r="D1153" s="21"/>
      <c r="E1153" s="21"/>
      <c r="G1153" s="21"/>
    </row>
    <row r="1154" spans="1:7">
      <c r="A1154" s="21"/>
      <c r="B1154" s="21"/>
      <c r="C1154" s="21"/>
      <c r="D1154" s="21"/>
      <c r="E1154" s="21"/>
      <c r="G1154" s="21"/>
    </row>
    <row r="1155" spans="1:7">
      <c r="A1155" s="21"/>
      <c r="B1155" s="21"/>
      <c r="C1155" s="21"/>
      <c r="D1155" s="21"/>
      <c r="E1155" s="21"/>
      <c r="G1155" s="21"/>
    </row>
    <row r="1156" spans="1:7">
      <c r="A1156" s="21"/>
      <c r="B1156" s="21"/>
      <c r="C1156" s="21"/>
      <c r="D1156" s="21"/>
      <c r="E1156" s="21"/>
      <c r="G1156" s="21"/>
    </row>
    <row r="1157" spans="1:7">
      <c r="A1157" s="21"/>
      <c r="B1157" s="21"/>
      <c r="C1157" s="21"/>
      <c r="D1157" s="21"/>
      <c r="E1157" s="21"/>
      <c r="G1157" s="21"/>
    </row>
    <row r="1158" spans="1:7">
      <c r="A1158" s="21"/>
      <c r="B1158" s="21"/>
      <c r="C1158" s="21"/>
      <c r="D1158" s="21"/>
      <c r="E1158" s="21"/>
      <c r="G1158" s="21"/>
    </row>
    <row r="1159" spans="1:7">
      <c r="A1159" s="21"/>
      <c r="B1159" s="21"/>
      <c r="C1159" s="21"/>
      <c r="D1159" s="21"/>
      <c r="E1159" s="21"/>
      <c r="G1159" s="21"/>
    </row>
    <row r="1160" spans="1:7">
      <c r="A1160" s="21"/>
      <c r="B1160" s="21"/>
      <c r="C1160" s="21"/>
      <c r="D1160" s="21"/>
      <c r="E1160" s="21"/>
      <c r="G1160" s="21"/>
    </row>
    <row r="1161" spans="1:7">
      <c r="A1161" s="21"/>
      <c r="B1161" s="21"/>
      <c r="C1161" s="21"/>
      <c r="D1161" s="21"/>
      <c r="E1161" s="21"/>
      <c r="G1161" s="21"/>
    </row>
    <row r="1162" spans="1:7">
      <c r="A1162" s="21"/>
      <c r="B1162" s="21"/>
      <c r="C1162" s="21"/>
      <c r="D1162" s="21"/>
      <c r="E1162" s="21"/>
      <c r="G1162" s="21"/>
    </row>
    <row r="1163" spans="1:7">
      <c r="A1163" s="21"/>
      <c r="B1163" s="21"/>
      <c r="C1163" s="21"/>
      <c r="D1163" s="21"/>
      <c r="E1163" s="21"/>
      <c r="G1163" s="21"/>
    </row>
    <row r="1164" spans="1:7">
      <c r="A1164" s="21"/>
      <c r="B1164" s="21"/>
      <c r="C1164" s="21"/>
      <c r="D1164" s="21"/>
      <c r="E1164" s="21"/>
      <c r="G1164" s="21"/>
    </row>
    <row r="1165" spans="1:7">
      <c r="A1165" s="21"/>
      <c r="B1165" s="21"/>
      <c r="C1165" s="21"/>
      <c r="D1165" s="21"/>
      <c r="E1165" s="21"/>
      <c r="G1165" s="21"/>
    </row>
    <row r="1166" spans="1:7">
      <c r="A1166" s="21"/>
      <c r="B1166" s="21"/>
      <c r="C1166" s="21"/>
      <c r="D1166" s="21"/>
      <c r="E1166" s="21"/>
      <c r="G1166" s="21"/>
    </row>
    <row r="1167" spans="1:7">
      <c r="A1167" s="21"/>
      <c r="B1167" s="21"/>
      <c r="C1167" s="21"/>
      <c r="D1167" s="21"/>
      <c r="E1167" s="21"/>
      <c r="G1167" s="21"/>
    </row>
    <row r="1168" spans="1:7">
      <c r="A1168" s="21"/>
      <c r="B1168" s="21"/>
      <c r="C1168" s="21"/>
      <c r="D1168" s="21"/>
      <c r="E1168" s="21"/>
      <c r="G1168" s="21"/>
    </row>
    <row r="1169" spans="1:7">
      <c r="A1169" s="21"/>
      <c r="B1169" s="21"/>
      <c r="C1169" s="21"/>
      <c r="D1169" s="21"/>
      <c r="E1169" s="21"/>
      <c r="G1169" s="21"/>
    </row>
    <row r="1170" spans="1:7">
      <c r="A1170" s="21"/>
      <c r="B1170" s="21"/>
      <c r="C1170" s="21"/>
      <c r="D1170" s="21"/>
      <c r="E1170" s="21"/>
      <c r="G1170" s="21"/>
    </row>
    <row r="1171" spans="1:7">
      <c r="A1171" s="21"/>
      <c r="B1171" s="21"/>
      <c r="C1171" s="21"/>
      <c r="D1171" s="21"/>
      <c r="E1171" s="21"/>
      <c r="G1171" s="21"/>
    </row>
    <row r="1172" spans="1:7">
      <c r="A1172" s="21"/>
      <c r="B1172" s="21"/>
      <c r="C1172" s="21"/>
      <c r="D1172" s="21"/>
      <c r="E1172" s="21"/>
      <c r="G1172" s="21"/>
    </row>
    <row r="1173" spans="1:7">
      <c r="A1173" s="21"/>
      <c r="B1173" s="21"/>
      <c r="C1173" s="21"/>
      <c r="D1173" s="21"/>
      <c r="E1173" s="21"/>
      <c r="G1173" s="21"/>
    </row>
    <row r="1174" spans="1:7">
      <c r="A1174" s="21"/>
      <c r="B1174" s="21"/>
      <c r="C1174" s="21"/>
      <c r="D1174" s="21"/>
      <c r="E1174" s="21"/>
      <c r="G1174" s="21"/>
    </row>
    <row r="1175" spans="1:7">
      <c r="A1175" s="21"/>
      <c r="B1175" s="21"/>
      <c r="C1175" s="21"/>
      <c r="D1175" s="21"/>
      <c r="E1175" s="21"/>
      <c r="G1175" s="21"/>
    </row>
    <row r="1176" spans="1:7">
      <c r="A1176" s="21"/>
      <c r="B1176" s="21"/>
      <c r="C1176" s="21"/>
      <c r="D1176" s="21"/>
      <c r="E1176" s="21"/>
      <c r="G1176" s="21"/>
    </row>
    <row r="1177" spans="1:7">
      <c r="A1177" s="21"/>
      <c r="B1177" s="21"/>
      <c r="C1177" s="21"/>
      <c r="D1177" s="21"/>
      <c r="E1177" s="21"/>
      <c r="G1177" s="21"/>
    </row>
    <row r="1178" spans="1:7">
      <c r="A1178" s="21"/>
      <c r="B1178" s="21"/>
      <c r="C1178" s="21"/>
      <c r="D1178" s="21"/>
      <c r="E1178" s="21"/>
      <c r="G1178" s="21"/>
    </row>
    <row r="1179" spans="1:7">
      <c r="A1179" s="21"/>
      <c r="B1179" s="21"/>
      <c r="C1179" s="21"/>
      <c r="D1179" s="21"/>
      <c r="E1179" s="21"/>
      <c r="G1179" s="21"/>
    </row>
    <row r="1180" spans="1:7">
      <c r="A1180" s="21"/>
      <c r="B1180" s="21"/>
      <c r="C1180" s="21"/>
      <c r="D1180" s="21"/>
      <c r="E1180" s="21"/>
      <c r="G1180" s="21"/>
    </row>
    <row r="1181" spans="1:7">
      <c r="A1181" s="21"/>
      <c r="B1181" s="21"/>
      <c r="C1181" s="21"/>
      <c r="D1181" s="21"/>
      <c r="E1181" s="21"/>
      <c r="G1181" s="21"/>
    </row>
    <row r="1182" spans="1:7">
      <c r="A1182" s="21"/>
      <c r="B1182" s="21"/>
      <c r="C1182" s="21"/>
      <c r="D1182" s="21"/>
      <c r="E1182" s="21"/>
      <c r="G1182" s="21"/>
    </row>
    <row r="1183" spans="1:7">
      <c r="A1183" s="21"/>
      <c r="B1183" s="21"/>
      <c r="C1183" s="21"/>
      <c r="D1183" s="21"/>
      <c r="E1183" s="21"/>
      <c r="G1183" s="21"/>
    </row>
    <row r="1184" spans="1:7">
      <c r="A1184" s="21"/>
      <c r="B1184" s="21"/>
      <c r="C1184" s="21"/>
      <c r="D1184" s="21"/>
      <c r="E1184" s="21"/>
      <c r="G1184" s="21"/>
    </row>
    <row r="1185" spans="1:7">
      <c r="A1185" s="21"/>
      <c r="B1185" s="21"/>
      <c r="C1185" s="21"/>
      <c r="D1185" s="21"/>
      <c r="E1185" s="21"/>
      <c r="G1185" s="21"/>
    </row>
    <row r="1186" spans="1:7">
      <c r="A1186" s="21"/>
      <c r="B1186" s="21"/>
      <c r="C1186" s="21"/>
      <c r="D1186" s="21"/>
      <c r="E1186" s="21"/>
      <c r="G1186" s="21"/>
    </row>
    <row r="1187" spans="1:7">
      <c r="A1187" s="21"/>
      <c r="B1187" s="21"/>
      <c r="C1187" s="21"/>
      <c r="D1187" s="21"/>
      <c r="E1187" s="21"/>
      <c r="G1187" s="21"/>
    </row>
    <row r="1188" spans="1:7">
      <c r="A1188" s="21"/>
      <c r="B1188" s="21"/>
      <c r="C1188" s="21"/>
      <c r="D1188" s="21"/>
      <c r="E1188" s="21"/>
      <c r="G1188" s="21"/>
    </row>
    <row r="1189" spans="1:7">
      <c r="A1189" s="21"/>
      <c r="B1189" s="21"/>
      <c r="C1189" s="21"/>
      <c r="D1189" s="21"/>
      <c r="E1189" s="21"/>
      <c r="G1189" s="21"/>
    </row>
    <row r="1190" spans="1:7">
      <c r="A1190" s="21"/>
      <c r="B1190" s="21"/>
      <c r="C1190" s="21"/>
      <c r="D1190" s="21"/>
      <c r="E1190" s="21"/>
      <c r="G1190" s="21"/>
    </row>
    <row r="1191" spans="1:7">
      <c r="A1191" s="21"/>
      <c r="B1191" s="21"/>
      <c r="C1191" s="21"/>
      <c r="D1191" s="21"/>
      <c r="E1191" s="21"/>
      <c r="G1191" s="21"/>
    </row>
    <row r="1192" spans="1:7">
      <c r="A1192" s="21"/>
      <c r="B1192" s="21"/>
      <c r="C1192" s="21"/>
      <c r="D1192" s="21"/>
      <c r="E1192" s="21"/>
      <c r="G1192" s="21"/>
    </row>
    <row r="1193" spans="1:7">
      <c r="A1193" s="21"/>
      <c r="B1193" s="21"/>
      <c r="C1193" s="21"/>
      <c r="D1193" s="21"/>
      <c r="E1193" s="21"/>
      <c r="G1193" s="21"/>
    </row>
    <row r="1194" spans="1:7">
      <c r="A1194" s="21"/>
      <c r="B1194" s="21"/>
      <c r="C1194" s="21"/>
      <c r="D1194" s="21"/>
      <c r="E1194" s="21"/>
      <c r="G1194" s="21"/>
    </row>
    <row r="1195" spans="1:7">
      <c r="A1195" s="21"/>
      <c r="B1195" s="21"/>
      <c r="C1195" s="21"/>
      <c r="D1195" s="21"/>
      <c r="E1195" s="21"/>
      <c r="G1195" s="21"/>
    </row>
    <row r="1196" spans="1:7">
      <c r="A1196" s="21"/>
      <c r="B1196" s="21"/>
      <c r="C1196" s="21"/>
      <c r="D1196" s="21"/>
      <c r="E1196" s="21"/>
      <c r="G1196" s="21"/>
    </row>
    <row r="1197" spans="1:7">
      <c r="A1197" s="21"/>
      <c r="B1197" s="21"/>
      <c r="C1197" s="21"/>
      <c r="D1197" s="21"/>
      <c r="E1197" s="21"/>
      <c r="G1197" s="21"/>
    </row>
    <row r="1198" spans="1:7">
      <c r="A1198" s="21"/>
      <c r="B1198" s="21"/>
      <c r="C1198" s="21"/>
      <c r="D1198" s="21"/>
      <c r="E1198" s="21"/>
      <c r="G1198" s="21"/>
    </row>
    <row r="1199" spans="1:7">
      <c r="A1199" s="21"/>
      <c r="B1199" s="21"/>
      <c r="C1199" s="21"/>
      <c r="D1199" s="21"/>
      <c r="E1199" s="21"/>
      <c r="G1199" s="21"/>
    </row>
    <row r="1200" spans="1:7">
      <c r="A1200" s="21"/>
      <c r="B1200" s="21"/>
      <c r="C1200" s="21"/>
      <c r="D1200" s="21"/>
      <c r="E1200" s="21"/>
      <c r="G1200" s="21"/>
    </row>
    <row r="1201" spans="1:7">
      <c r="A1201" s="21"/>
      <c r="B1201" s="21"/>
      <c r="C1201" s="21"/>
      <c r="D1201" s="21"/>
      <c r="E1201" s="21"/>
      <c r="G1201" s="21"/>
    </row>
    <row r="1202" spans="1:7">
      <c r="A1202" s="21"/>
      <c r="B1202" s="21"/>
      <c r="C1202" s="21"/>
      <c r="D1202" s="21"/>
      <c r="E1202" s="21"/>
      <c r="G1202" s="21"/>
    </row>
    <row r="1203" spans="1:7">
      <c r="A1203" s="21"/>
      <c r="B1203" s="21"/>
      <c r="C1203" s="21"/>
      <c r="D1203" s="21"/>
      <c r="E1203" s="21"/>
      <c r="G1203" s="21"/>
    </row>
    <row r="1204" spans="1:7">
      <c r="A1204" s="21"/>
      <c r="B1204" s="21"/>
      <c r="C1204" s="21"/>
      <c r="D1204" s="21"/>
      <c r="E1204" s="21"/>
      <c r="G1204" s="21"/>
    </row>
    <row r="1205" spans="1:7">
      <c r="A1205" s="21"/>
      <c r="B1205" s="21"/>
      <c r="C1205" s="21"/>
      <c r="D1205" s="21"/>
      <c r="E1205" s="21"/>
      <c r="G1205" s="21"/>
    </row>
    <row r="1206" spans="1:7">
      <c r="A1206" s="21"/>
      <c r="B1206" s="21"/>
      <c r="C1206" s="21"/>
      <c r="D1206" s="21"/>
      <c r="E1206" s="21"/>
      <c r="G1206" s="21"/>
    </row>
    <row r="1207" spans="1:7">
      <c r="A1207" s="21"/>
      <c r="B1207" s="21"/>
      <c r="C1207" s="21"/>
      <c r="D1207" s="21"/>
      <c r="E1207" s="21"/>
      <c r="G1207" s="21"/>
    </row>
    <row r="1208" spans="1:7">
      <c r="A1208" s="21"/>
      <c r="B1208" s="21"/>
      <c r="C1208" s="21"/>
      <c r="D1208" s="21"/>
      <c r="E1208" s="21"/>
      <c r="G1208" s="21"/>
    </row>
    <row r="1209" spans="1:7">
      <c r="A1209" s="21"/>
      <c r="B1209" s="21"/>
      <c r="C1209" s="21"/>
      <c r="D1209" s="21"/>
      <c r="E1209" s="21"/>
      <c r="G1209" s="21"/>
    </row>
    <row r="1210" spans="1:7">
      <c r="A1210" s="21"/>
      <c r="B1210" s="21"/>
      <c r="C1210" s="21"/>
      <c r="D1210" s="21"/>
      <c r="E1210" s="21"/>
      <c r="G1210" s="21"/>
    </row>
    <row r="1211" spans="1:7">
      <c r="A1211" s="21"/>
      <c r="B1211" s="21"/>
      <c r="C1211" s="21"/>
      <c r="D1211" s="21"/>
      <c r="E1211" s="21"/>
      <c r="G1211" s="21"/>
    </row>
    <row r="1212" spans="1:7">
      <c r="A1212" s="21"/>
      <c r="B1212" s="21"/>
      <c r="C1212" s="21"/>
      <c r="D1212" s="21"/>
      <c r="E1212" s="21"/>
      <c r="G1212" s="21"/>
    </row>
    <row r="1213" spans="1:7">
      <c r="A1213" s="21"/>
      <c r="B1213" s="21"/>
      <c r="C1213" s="21"/>
      <c r="D1213" s="21"/>
      <c r="E1213" s="21"/>
      <c r="G1213" s="21"/>
    </row>
    <row r="1214" spans="1:7">
      <c r="A1214" s="21"/>
      <c r="B1214" s="21"/>
      <c r="C1214" s="21"/>
      <c r="D1214" s="21"/>
      <c r="E1214" s="21"/>
      <c r="G1214" s="21"/>
    </row>
    <row r="1215" spans="1:7">
      <c r="A1215" s="21"/>
      <c r="B1215" s="21"/>
      <c r="C1215" s="21"/>
      <c r="D1215" s="21"/>
      <c r="E1215" s="21"/>
      <c r="G1215" s="21"/>
    </row>
    <row r="1216" spans="1:7">
      <c r="A1216" s="21"/>
      <c r="B1216" s="21"/>
      <c r="C1216" s="21"/>
      <c r="D1216" s="21"/>
      <c r="E1216" s="21"/>
      <c r="G1216" s="21"/>
    </row>
    <row r="1217" spans="1:7">
      <c r="A1217" s="21"/>
      <c r="B1217" s="21"/>
      <c r="C1217" s="21"/>
      <c r="D1217" s="21"/>
      <c r="E1217" s="21"/>
      <c r="G1217" s="21"/>
    </row>
    <row r="1218" spans="1:7">
      <c r="A1218" s="21"/>
      <c r="B1218" s="21"/>
      <c r="C1218" s="21"/>
      <c r="D1218" s="21"/>
      <c r="E1218" s="21"/>
      <c r="G1218" s="21"/>
    </row>
    <row r="1219" spans="1:7">
      <c r="A1219" s="21"/>
      <c r="B1219" s="21"/>
      <c r="C1219" s="21"/>
      <c r="D1219" s="21"/>
      <c r="E1219" s="21"/>
      <c r="G1219" s="21"/>
    </row>
    <row r="1220" spans="1:7">
      <c r="A1220" s="21"/>
      <c r="B1220" s="21"/>
      <c r="C1220" s="21"/>
      <c r="D1220" s="21"/>
      <c r="E1220" s="21"/>
      <c r="G1220" s="21"/>
    </row>
    <row r="1221" spans="1:7">
      <c r="A1221" s="21"/>
      <c r="B1221" s="21"/>
      <c r="C1221" s="21"/>
      <c r="D1221" s="21"/>
      <c r="E1221" s="21"/>
      <c r="G1221" s="21"/>
    </row>
    <row r="1222" spans="1:7">
      <c r="A1222" s="21"/>
      <c r="B1222" s="21"/>
      <c r="C1222" s="21"/>
      <c r="D1222" s="21"/>
      <c r="E1222" s="21"/>
      <c r="G1222" s="21"/>
    </row>
    <row r="1223" spans="1:7">
      <c r="A1223" s="21"/>
      <c r="B1223" s="21"/>
      <c r="C1223" s="21"/>
      <c r="D1223" s="21"/>
      <c r="E1223" s="21"/>
      <c r="G1223" s="21"/>
    </row>
    <row r="1224" spans="1:7">
      <c r="A1224" s="21"/>
      <c r="B1224" s="21"/>
      <c r="C1224" s="21"/>
      <c r="D1224" s="21"/>
      <c r="E1224" s="21"/>
      <c r="G1224" s="21"/>
    </row>
    <row r="1225" spans="1:7">
      <c r="A1225" s="21"/>
      <c r="B1225" s="21"/>
      <c r="C1225" s="21"/>
      <c r="D1225" s="21"/>
      <c r="E1225" s="21"/>
      <c r="G1225" s="21"/>
    </row>
    <row r="1226" spans="1:7">
      <c r="A1226" s="21"/>
      <c r="B1226" s="21"/>
      <c r="C1226" s="21"/>
      <c r="D1226" s="21"/>
      <c r="E1226" s="21"/>
      <c r="G1226" s="21"/>
    </row>
    <row r="1227" spans="1:7">
      <c r="A1227" s="21"/>
      <c r="B1227" s="21"/>
      <c r="C1227" s="21"/>
      <c r="D1227" s="21"/>
      <c r="E1227" s="21"/>
      <c r="G1227" s="21"/>
    </row>
    <row r="1228" spans="1:7">
      <c r="A1228" s="21"/>
      <c r="B1228" s="21"/>
      <c r="C1228" s="21"/>
      <c r="D1228" s="21"/>
      <c r="E1228" s="21"/>
      <c r="G1228" s="21"/>
    </row>
    <row r="1229" spans="1:7">
      <c r="A1229" s="21"/>
      <c r="B1229" s="21"/>
      <c r="C1229" s="21"/>
      <c r="D1229" s="21"/>
      <c r="E1229" s="21"/>
      <c r="G1229" s="21"/>
    </row>
    <row r="1230" spans="1:7">
      <c r="A1230" s="21"/>
      <c r="B1230" s="21"/>
      <c r="C1230" s="21"/>
      <c r="D1230" s="21"/>
      <c r="E1230" s="21"/>
      <c r="G1230" s="21"/>
    </row>
    <row r="1231" spans="1:7">
      <c r="A1231" s="21"/>
      <c r="B1231" s="21"/>
      <c r="C1231" s="21"/>
      <c r="D1231" s="21"/>
      <c r="E1231" s="21"/>
      <c r="G1231" s="21"/>
    </row>
    <row r="1232" spans="1:7">
      <c r="A1232" s="21"/>
      <c r="B1232" s="21"/>
      <c r="C1232" s="21"/>
      <c r="D1232" s="21"/>
      <c r="E1232" s="21"/>
      <c r="G1232" s="21"/>
    </row>
    <row r="1233" spans="1:7">
      <c r="A1233" s="21"/>
      <c r="B1233" s="21"/>
      <c r="C1233" s="21"/>
      <c r="D1233" s="21"/>
      <c r="E1233" s="21"/>
      <c r="G1233" s="21"/>
    </row>
    <row r="1234" spans="1:7">
      <c r="A1234" s="21"/>
      <c r="B1234" s="21"/>
      <c r="C1234" s="21"/>
      <c r="D1234" s="21"/>
      <c r="E1234" s="21"/>
      <c r="G1234" s="21"/>
    </row>
    <row r="1235" spans="1:7">
      <c r="A1235" s="21"/>
      <c r="B1235" s="21"/>
      <c r="C1235" s="21"/>
      <c r="D1235" s="21"/>
      <c r="E1235" s="21"/>
      <c r="G1235" s="21"/>
    </row>
    <row r="1236" spans="1:7">
      <c r="A1236" s="21"/>
      <c r="B1236" s="21"/>
      <c r="C1236" s="21"/>
      <c r="D1236" s="21"/>
      <c r="E1236" s="21"/>
      <c r="G1236" s="21"/>
    </row>
    <row r="1237" spans="1:7">
      <c r="A1237" s="21"/>
      <c r="B1237" s="21"/>
      <c r="C1237" s="21"/>
      <c r="D1237" s="21"/>
      <c r="E1237" s="21"/>
      <c r="G1237" s="21"/>
    </row>
    <row r="1238" spans="1:7">
      <c r="A1238" s="21"/>
      <c r="B1238" s="21"/>
      <c r="C1238" s="21"/>
      <c r="D1238" s="21"/>
      <c r="E1238" s="21"/>
      <c r="G1238" s="21"/>
    </row>
    <row r="1239" spans="1:7">
      <c r="A1239" s="21"/>
      <c r="B1239" s="21"/>
      <c r="C1239" s="21"/>
      <c r="D1239" s="21"/>
      <c r="E1239" s="21"/>
      <c r="G1239" s="21"/>
    </row>
    <row r="1240" spans="1:7">
      <c r="A1240" s="21"/>
      <c r="B1240" s="21"/>
      <c r="C1240" s="21"/>
      <c r="D1240" s="21"/>
      <c r="E1240" s="21"/>
      <c r="G1240" s="21"/>
    </row>
    <row r="1241" spans="1:7">
      <c r="A1241" s="21"/>
      <c r="B1241" s="21"/>
      <c r="C1241" s="21"/>
      <c r="D1241" s="21"/>
      <c r="E1241" s="21"/>
      <c r="G1241" s="21"/>
    </row>
    <row r="1242" spans="1:7">
      <c r="A1242" s="21"/>
      <c r="B1242" s="21"/>
      <c r="C1242" s="21"/>
      <c r="D1242" s="21"/>
      <c r="E1242" s="21"/>
      <c r="G1242" s="21"/>
    </row>
    <row r="1243" spans="1:7">
      <c r="A1243" s="21"/>
      <c r="B1243" s="21"/>
      <c r="C1243" s="21"/>
      <c r="D1243" s="21"/>
      <c r="E1243" s="21"/>
      <c r="G1243" s="21"/>
    </row>
    <row r="1244" spans="1:7">
      <c r="A1244" s="21"/>
      <c r="B1244" s="21"/>
      <c r="C1244" s="21"/>
      <c r="D1244" s="21"/>
      <c r="E1244" s="21"/>
      <c r="G1244" s="21"/>
    </row>
    <row r="1245" spans="1:7">
      <c r="A1245" s="21"/>
      <c r="B1245" s="21"/>
      <c r="C1245" s="21"/>
      <c r="D1245" s="21"/>
      <c r="E1245" s="21"/>
      <c r="G1245" s="21"/>
    </row>
    <row r="1246" spans="1:7">
      <c r="A1246" s="21"/>
      <c r="B1246" s="21"/>
      <c r="C1246" s="21"/>
      <c r="D1246" s="21"/>
      <c r="E1246" s="21"/>
      <c r="G1246" s="21"/>
    </row>
    <row r="1247" spans="1:7">
      <c r="A1247" s="21"/>
      <c r="B1247" s="21"/>
      <c r="C1247" s="21"/>
      <c r="D1247" s="21"/>
      <c r="E1247" s="21"/>
      <c r="G1247" s="21"/>
    </row>
    <row r="1248" spans="1:7">
      <c r="A1248" s="21"/>
      <c r="B1248" s="21"/>
      <c r="C1248" s="21"/>
      <c r="D1248" s="21"/>
      <c r="E1248" s="21"/>
      <c r="G1248" s="21"/>
    </row>
    <row r="1249" spans="1:7">
      <c r="A1249" s="21"/>
      <c r="B1249" s="21"/>
      <c r="C1249" s="21"/>
      <c r="D1249" s="21"/>
      <c r="E1249" s="21"/>
      <c r="G1249" s="21"/>
    </row>
    <row r="1250" spans="1:7">
      <c r="A1250" s="21"/>
      <c r="B1250" s="21"/>
      <c r="C1250" s="21"/>
      <c r="D1250" s="21"/>
      <c r="E1250" s="21"/>
      <c r="G1250" s="21"/>
    </row>
    <row r="1251" spans="1:7">
      <c r="A1251" s="21"/>
      <c r="B1251" s="21"/>
      <c r="C1251" s="21"/>
      <c r="D1251" s="21"/>
      <c r="E1251" s="21"/>
      <c r="G1251" s="21"/>
    </row>
    <row r="1252" spans="1:7">
      <c r="A1252" s="21"/>
      <c r="B1252" s="21"/>
      <c r="C1252" s="21"/>
      <c r="D1252" s="21"/>
      <c r="E1252" s="21"/>
      <c r="G1252" s="21"/>
    </row>
    <row r="1253" spans="1:7">
      <c r="A1253" s="21"/>
      <c r="B1253" s="21"/>
      <c r="C1253" s="21"/>
      <c r="D1253" s="21"/>
      <c r="E1253" s="21"/>
      <c r="G1253" s="21"/>
    </row>
    <row r="1254" spans="1:7">
      <c r="A1254" s="21"/>
      <c r="B1254" s="21"/>
      <c r="C1254" s="21"/>
      <c r="D1254" s="21"/>
      <c r="E1254" s="21"/>
      <c r="G1254" s="21"/>
    </row>
    <row r="1255" spans="1:7">
      <c r="A1255" s="21"/>
      <c r="B1255" s="21"/>
      <c r="C1255" s="21"/>
      <c r="D1255" s="21"/>
      <c r="E1255" s="21"/>
      <c r="G1255" s="21"/>
    </row>
    <row r="1256" spans="1:7">
      <c r="A1256" s="21"/>
      <c r="B1256" s="21"/>
      <c r="C1256" s="21"/>
      <c r="D1256" s="21"/>
      <c r="E1256" s="21"/>
      <c r="G1256" s="21"/>
    </row>
    <row r="1257" spans="1:7">
      <c r="A1257" s="21"/>
      <c r="B1257" s="21"/>
      <c r="C1257" s="21"/>
      <c r="D1257" s="21"/>
      <c r="E1257" s="21"/>
      <c r="G1257" s="21"/>
    </row>
    <row r="1258" spans="1:7">
      <c r="A1258" s="21"/>
      <c r="B1258" s="21"/>
      <c r="C1258" s="21"/>
      <c r="D1258" s="21"/>
      <c r="E1258" s="21"/>
      <c r="G1258" s="21"/>
    </row>
    <row r="1259" spans="1:7">
      <c r="A1259" s="21"/>
      <c r="B1259" s="21"/>
      <c r="C1259" s="21"/>
      <c r="D1259" s="21"/>
      <c r="E1259" s="21"/>
      <c r="G1259" s="21"/>
    </row>
    <row r="1260" spans="1:7">
      <c r="A1260" s="21"/>
      <c r="B1260" s="21"/>
      <c r="C1260" s="21"/>
      <c r="D1260" s="21"/>
      <c r="E1260" s="21"/>
      <c r="G1260" s="21"/>
    </row>
    <row r="1261" spans="1:7">
      <c r="A1261" s="21"/>
      <c r="B1261" s="21"/>
      <c r="C1261" s="21"/>
      <c r="D1261" s="21"/>
      <c r="E1261" s="21"/>
      <c r="G1261" s="21"/>
    </row>
    <row r="1262" spans="1:7">
      <c r="A1262" s="21"/>
      <c r="B1262" s="21"/>
      <c r="C1262" s="21"/>
      <c r="D1262" s="21"/>
      <c r="E1262" s="21"/>
      <c r="G1262" s="21"/>
    </row>
    <row r="1263" spans="1:7">
      <c r="A1263" s="21"/>
      <c r="B1263" s="21"/>
      <c r="C1263" s="21"/>
      <c r="D1263" s="21"/>
      <c r="E1263" s="21"/>
      <c r="G1263" s="21"/>
    </row>
    <row r="1264" spans="1:7">
      <c r="A1264" s="21"/>
      <c r="B1264" s="21"/>
      <c r="C1264" s="21"/>
      <c r="D1264" s="21"/>
      <c r="E1264" s="21"/>
      <c r="G1264" s="21"/>
    </row>
    <row r="1265" spans="1:7">
      <c r="A1265" s="21"/>
      <c r="B1265" s="21"/>
      <c r="C1265" s="21"/>
      <c r="D1265" s="21"/>
      <c r="E1265" s="21"/>
      <c r="G1265" s="21"/>
    </row>
    <row r="1266" spans="1:7">
      <c r="A1266" s="21"/>
      <c r="B1266" s="21"/>
      <c r="C1266" s="21"/>
      <c r="D1266" s="21"/>
      <c r="E1266" s="21"/>
      <c r="G1266" s="21"/>
    </row>
    <row r="1267" spans="1:7">
      <c r="A1267" s="21"/>
      <c r="B1267" s="21"/>
      <c r="C1267" s="21"/>
      <c r="D1267" s="21"/>
      <c r="E1267" s="21"/>
      <c r="G1267" s="21"/>
    </row>
    <row r="1268" spans="1:7">
      <c r="A1268" s="21"/>
      <c r="B1268" s="21"/>
      <c r="C1268" s="21"/>
      <c r="D1268" s="21"/>
      <c r="E1268" s="21"/>
      <c r="G1268" s="21"/>
    </row>
    <row r="1269" spans="1:7">
      <c r="A1269" s="21"/>
      <c r="B1269" s="21"/>
      <c r="C1269" s="21"/>
      <c r="D1269" s="21"/>
      <c r="E1269" s="21"/>
      <c r="G1269" s="21"/>
    </row>
    <row r="1270" spans="1:7">
      <c r="A1270" s="21"/>
      <c r="B1270" s="21"/>
      <c r="C1270" s="21"/>
      <c r="D1270" s="21"/>
      <c r="E1270" s="21"/>
      <c r="G1270" s="21"/>
    </row>
    <row r="1271" spans="1:7">
      <c r="A1271" s="21"/>
      <c r="B1271" s="21"/>
      <c r="C1271" s="21"/>
      <c r="D1271" s="21"/>
      <c r="E1271" s="21"/>
      <c r="G1271" s="21"/>
    </row>
    <row r="1272" spans="1:7">
      <c r="A1272" s="21"/>
      <c r="B1272" s="21"/>
      <c r="C1272" s="21"/>
      <c r="D1272" s="21"/>
      <c r="E1272" s="21"/>
      <c r="G1272" s="21"/>
    </row>
    <row r="1273" spans="1:7">
      <c r="A1273" s="21"/>
      <c r="B1273" s="21"/>
      <c r="C1273" s="21"/>
      <c r="D1273" s="21"/>
      <c r="E1273" s="21"/>
      <c r="G1273" s="21"/>
    </row>
    <row r="1274" spans="1:7">
      <c r="A1274" s="21"/>
      <c r="B1274" s="21"/>
      <c r="C1274" s="21"/>
      <c r="D1274" s="21"/>
      <c r="E1274" s="21"/>
      <c r="G1274" s="21"/>
    </row>
    <row r="1275" spans="1:7">
      <c r="A1275" s="21"/>
      <c r="B1275" s="21"/>
      <c r="C1275" s="21"/>
      <c r="D1275" s="21"/>
      <c r="E1275" s="21"/>
      <c r="G1275" s="21"/>
    </row>
    <row r="1276" spans="1:7">
      <c r="A1276" s="21"/>
      <c r="B1276" s="21"/>
      <c r="C1276" s="21"/>
      <c r="D1276" s="21"/>
      <c r="E1276" s="21"/>
      <c r="G1276" s="21"/>
    </row>
    <row r="1277" spans="1:7">
      <c r="A1277" s="21"/>
      <c r="B1277" s="21"/>
      <c r="C1277" s="21"/>
      <c r="D1277" s="21"/>
      <c r="E1277" s="21"/>
      <c r="G1277" s="21"/>
    </row>
    <row r="1278" spans="1:7">
      <c r="A1278" s="21"/>
      <c r="B1278" s="21"/>
      <c r="C1278" s="21"/>
      <c r="D1278" s="21"/>
      <c r="E1278" s="21"/>
      <c r="G1278" s="21"/>
    </row>
    <row r="1279" spans="1:7">
      <c r="A1279" s="21"/>
      <c r="B1279" s="21"/>
      <c r="C1279" s="21"/>
      <c r="D1279" s="21"/>
      <c r="E1279" s="21"/>
      <c r="G1279" s="21"/>
    </row>
    <row r="1280" spans="1:7">
      <c r="A1280" s="21"/>
      <c r="B1280" s="21"/>
      <c r="C1280" s="21"/>
      <c r="D1280" s="21"/>
      <c r="E1280" s="21"/>
      <c r="G1280" s="21"/>
    </row>
    <row r="1281" spans="1:7">
      <c r="A1281" s="21"/>
      <c r="B1281" s="21"/>
      <c r="C1281" s="21"/>
      <c r="D1281" s="21"/>
      <c r="E1281" s="21"/>
      <c r="G1281" s="21"/>
    </row>
    <row r="1282" spans="1:7">
      <c r="A1282" s="21"/>
      <c r="B1282" s="21"/>
      <c r="C1282" s="21"/>
      <c r="D1282" s="21"/>
      <c r="E1282" s="21"/>
      <c r="G1282" s="21"/>
    </row>
    <row r="1283" spans="1:7">
      <c r="A1283" s="21"/>
      <c r="B1283" s="21"/>
      <c r="C1283" s="21"/>
      <c r="D1283" s="21"/>
      <c r="E1283" s="21"/>
      <c r="G1283" s="21"/>
    </row>
    <row r="1284" spans="1:7">
      <c r="A1284" s="21"/>
      <c r="B1284" s="21"/>
      <c r="C1284" s="21"/>
      <c r="D1284" s="21"/>
      <c r="E1284" s="21"/>
      <c r="G1284" s="21"/>
    </row>
    <row r="1285" spans="1:7">
      <c r="A1285" s="21"/>
      <c r="B1285" s="21"/>
      <c r="C1285" s="21"/>
      <c r="D1285" s="21"/>
      <c r="E1285" s="21"/>
      <c r="G1285" s="21"/>
    </row>
    <row r="1286" spans="1:7">
      <c r="A1286" s="21"/>
      <c r="B1286" s="21"/>
      <c r="C1286" s="21"/>
      <c r="D1286" s="21"/>
      <c r="E1286" s="21"/>
      <c r="G1286" s="21"/>
    </row>
    <row r="1287" spans="1:7">
      <c r="A1287" s="21"/>
      <c r="B1287" s="21"/>
      <c r="C1287" s="21"/>
      <c r="D1287" s="21"/>
      <c r="E1287" s="21"/>
      <c r="G1287" s="21"/>
    </row>
    <row r="1288" spans="1:7">
      <c r="A1288" s="21"/>
      <c r="B1288" s="21"/>
      <c r="C1288" s="21"/>
      <c r="D1288" s="21"/>
      <c r="E1288" s="21"/>
      <c r="G1288" s="21"/>
    </row>
    <row r="1289" spans="1:7">
      <c r="A1289" s="21"/>
      <c r="B1289" s="21"/>
      <c r="C1289" s="21"/>
      <c r="D1289" s="21"/>
      <c r="E1289" s="21"/>
      <c r="G1289" s="21"/>
    </row>
    <row r="1290" spans="1:7">
      <c r="A1290" s="21"/>
      <c r="B1290" s="21"/>
      <c r="C1290" s="21"/>
      <c r="D1290" s="21"/>
      <c r="E1290" s="21"/>
      <c r="G1290" s="21"/>
    </row>
    <row r="1291" spans="1:7">
      <c r="A1291" s="21"/>
      <c r="B1291" s="21"/>
      <c r="C1291" s="21"/>
      <c r="D1291" s="21"/>
      <c r="E1291" s="21"/>
      <c r="G1291" s="21"/>
    </row>
    <row r="1292" spans="1:7">
      <c r="A1292" s="21"/>
      <c r="B1292" s="21"/>
      <c r="C1292" s="21"/>
      <c r="D1292" s="21"/>
      <c r="E1292" s="21"/>
      <c r="G1292" s="21"/>
    </row>
    <row r="1293" spans="1:7">
      <c r="A1293" s="21"/>
      <c r="B1293" s="21"/>
      <c r="C1293" s="21"/>
      <c r="D1293" s="21"/>
      <c r="E1293" s="21"/>
      <c r="G1293" s="21"/>
    </row>
    <row r="1294" spans="1:7">
      <c r="A1294" s="21"/>
      <c r="B1294" s="21"/>
      <c r="C1294" s="21"/>
      <c r="D1294" s="21"/>
      <c r="E1294" s="21"/>
      <c r="G1294" s="21"/>
    </row>
    <row r="1295" spans="1:7">
      <c r="A1295" s="21"/>
      <c r="B1295" s="21"/>
      <c r="C1295" s="21"/>
      <c r="D1295" s="21"/>
      <c r="E1295" s="21"/>
      <c r="G1295" s="21"/>
    </row>
    <row r="1296" spans="1:7">
      <c r="A1296" s="21"/>
      <c r="B1296" s="21"/>
      <c r="C1296" s="21"/>
      <c r="D1296" s="21"/>
      <c r="E1296" s="21"/>
      <c r="G1296" s="21"/>
    </row>
    <row r="1297" spans="1:7">
      <c r="A1297" s="21"/>
      <c r="B1297" s="21"/>
      <c r="C1297" s="21"/>
      <c r="D1297" s="21"/>
      <c r="E1297" s="21"/>
      <c r="G1297" s="21"/>
    </row>
    <row r="1298" spans="1:7">
      <c r="A1298" s="21"/>
      <c r="B1298" s="21"/>
      <c r="C1298" s="21"/>
      <c r="D1298" s="21"/>
      <c r="E1298" s="21"/>
      <c r="G1298" s="21"/>
    </row>
    <row r="1299" spans="1:7">
      <c r="A1299" s="21"/>
      <c r="B1299" s="21"/>
      <c r="C1299" s="21"/>
      <c r="D1299" s="21"/>
      <c r="E1299" s="21"/>
      <c r="G1299" s="21"/>
    </row>
    <row r="1300" spans="1:7">
      <c r="A1300" s="21"/>
      <c r="B1300" s="21"/>
      <c r="C1300" s="21"/>
      <c r="D1300" s="21"/>
      <c r="E1300" s="21"/>
      <c r="G1300" s="21"/>
    </row>
    <row r="1301" spans="1:7">
      <c r="A1301" s="21"/>
      <c r="B1301" s="21"/>
      <c r="C1301" s="21"/>
      <c r="D1301" s="21"/>
      <c r="E1301" s="21"/>
      <c r="G1301" s="21"/>
    </row>
    <row r="1302" spans="1:7">
      <c r="A1302" s="21"/>
      <c r="B1302" s="21"/>
      <c r="C1302" s="21"/>
      <c r="D1302" s="21"/>
      <c r="E1302" s="21"/>
      <c r="G1302" s="21"/>
    </row>
    <row r="1303" spans="1:7">
      <c r="A1303" s="21"/>
      <c r="B1303" s="21"/>
      <c r="C1303" s="21"/>
      <c r="D1303" s="21"/>
      <c r="E1303" s="21"/>
      <c r="G1303" s="21"/>
    </row>
    <row r="1304" spans="1:7">
      <c r="A1304" s="21"/>
      <c r="B1304" s="21"/>
      <c r="C1304" s="21"/>
      <c r="D1304" s="21"/>
      <c r="E1304" s="21"/>
      <c r="G1304" s="21"/>
    </row>
    <row r="1305" spans="1:7">
      <c r="A1305" s="21"/>
      <c r="B1305" s="21"/>
      <c r="C1305" s="21"/>
      <c r="D1305" s="21"/>
      <c r="E1305" s="21"/>
      <c r="G1305" s="21"/>
    </row>
    <row r="1306" spans="1:7">
      <c r="A1306" s="21"/>
      <c r="B1306" s="21"/>
      <c r="C1306" s="21"/>
      <c r="D1306" s="21"/>
      <c r="E1306" s="21"/>
      <c r="G1306" s="21"/>
    </row>
    <row r="1307" spans="1:7">
      <c r="A1307" s="21"/>
      <c r="B1307" s="21"/>
      <c r="C1307" s="21"/>
      <c r="D1307" s="21"/>
      <c r="E1307" s="21"/>
      <c r="G1307" s="21"/>
    </row>
    <row r="1308" spans="1:7">
      <c r="A1308" s="21"/>
      <c r="B1308" s="21"/>
      <c r="C1308" s="21"/>
      <c r="D1308" s="21"/>
      <c r="E1308" s="21"/>
      <c r="G1308" s="21"/>
    </row>
    <row r="1309" spans="1:7">
      <c r="A1309" s="21"/>
      <c r="B1309" s="21"/>
      <c r="C1309" s="21"/>
      <c r="D1309" s="21"/>
      <c r="E1309" s="21"/>
      <c r="G1309" s="21"/>
    </row>
    <row r="1310" spans="1:7">
      <c r="A1310" s="21"/>
      <c r="B1310" s="21"/>
      <c r="C1310" s="21"/>
      <c r="D1310" s="21"/>
      <c r="E1310" s="21"/>
      <c r="G1310" s="21"/>
    </row>
    <row r="1311" spans="1:7">
      <c r="A1311" s="21"/>
      <c r="B1311" s="21"/>
      <c r="C1311" s="21"/>
      <c r="D1311" s="21"/>
      <c r="E1311" s="21"/>
      <c r="G1311" s="21"/>
    </row>
    <row r="1312" spans="1:7">
      <c r="A1312" s="21"/>
      <c r="B1312" s="21"/>
      <c r="C1312" s="21"/>
      <c r="D1312" s="21"/>
      <c r="E1312" s="21"/>
      <c r="G1312" s="21"/>
    </row>
    <row r="1313" spans="1:7">
      <c r="A1313" s="21"/>
      <c r="B1313" s="21"/>
      <c r="C1313" s="21"/>
      <c r="D1313" s="21"/>
      <c r="E1313" s="21"/>
      <c r="G1313" s="21"/>
    </row>
    <row r="1314" spans="1:7">
      <c r="A1314" s="21"/>
      <c r="B1314" s="21"/>
      <c r="C1314" s="21"/>
      <c r="D1314" s="21"/>
      <c r="E1314" s="21"/>
      <c r="G1314" s="21"/>
    </row>
    <row r="1315" spans="1:7">
      <c r="A1315" s="21"/>
      <c r="B1315" s="21"/>
      <c r="C1315" s="21"/>
      <c r="D1315" s="21"/>
      <c r="E1315" s="21"/>
      <c r="G1315" s="21"/>
    </row>
    <row r="1316" spans="1:7">
      <c r="A1316" s="21"/>
      <c r="B1316" s="21"/>
      <c r="C1316" s="21"/>
      <c r="D1316" s="21"/>
      <c r="E1316" s="21"/>
      <c r="G1316" s="21"/>
    </row>
    <row r="1317" spans="1:7">
      <c r="A1317" s="21"/>
      <c r="B1317" s="21"/>
      <c r="C1317" s="21"/>
      <c r="D1317" s="21"/>
      <c r="E1317" s="21"/>
      <c r="G1317" s="21"/>
    </row>
    <row r="1318" spans="1:7">
      <c r="A1318" s="21"/>
      <c r="B1318" s="21"/>
      <c r="C1318" s="21"/>
      <c r="D1318" s="21"/>
      <c r="E1318" s="21"/>
      <c r="G1318" s="21"/>
    </row>
    <row r="1319" spans="1:7">
      <c r="A1319" s="21"/>
      <c r="B1319" s="21"/>
      <c r="C1319" s="21"/>
      <c r="D1319" s="21"/>
      <c r="E1319" s="21"/>
      <c r="G1319" s="21"/>
    </row>
    <row r="1320" spans="1:7">
      <c r="A1320" s="21"/>
      <c r="B1320" s="21"/>
      <c r="C1320" s="21"/>
      <c r="D1320" s="21"/>
      <c r="E1320" s="21"/>
      <c r="G1320" s="21"/>
    </row>
    <row r="1321" spans="1:7">
      <c r="A1321" s="21"/>
      <c r="B1321" s="21"/>
      <c r="C1321" s="21"/>
      <c r="D1321" s="21"/>
      <c r="E1321" s="21"/>
      <c r="G1321" s="21"/>
    </row>
    <row r="1322" spans="1:7">
      <c r="A1322" s="21"/>
      <c r="B1322" s="21"/>
      <c r="C1322" s="21"/>
      <c r="D1322" s="21"/>
      <c r="E1322" s="21"/>
      <c r="G1322" s="21"/>
    </row>
    <row r="1323" spans="1:7">
      <c r="A1323" s="21"/>
      <c r="B1323" s="21"/>
      <c r="C1323" s="21"/>
      <c r="D1323" s="21"/>
      <c r="E1323" s="21"/>
      <c r="G1323" s="21"/>
    </row>
    <row r="1324" spans="1:7">
      <c r="A1324" s="21"/>
      <c r="B1324" s="21"/>
      <c r="C1324" s="21"/>
      <c r="D1324" s="21"/>
      <c r="E1324" s="21"/>
      <c r="G1324" s="21"/>
    </row>
    <row r="1325" spans="1:7">
      <c r="A1325" s="21"/>
      <c r="B1325" s="21"/>
      <c r="C1325" s="21"/>
      <c r="D1325" s="21"/>
      <c r="E1325" s="21"/>
      <c r="G1325" s="21"/>
    </row>
    <row r="1326" spans="1:7">
      <c r="A1326" s="21"/>
      <c r="B1326" s="21"/>
      <c r="C1326" s="21"/>
      <c r="D1326" s="21"/>
      <c r="E1326" s="21"/>
      <c r="G1326" s="21"/>
    </row>
    <row r="1327" spans="1:7">
      <c r="A1327" s="21"/>
      <c r="B1327" s="21"/>
      <c r="C1327" s="21"/>
      <c r="D1327" s="21"/>
      <c r="E1327" s="21"/>
      <c r="G1327" s="21"/>
    </row>
    <row r="1328" spans="1:7">
      <c r="A1328" s="21"/>
      <c r="B1328" s="21"/>
      <c r="C1328" s="21"/>
      <c r="D1328" s="21"/>
      <c r="E1328" s="21"/>
      <c r="G1328" s="21"/>
    </row>
    <row r="1329" spans="1:7">
      <c r="A1329" s="21"/>
      <c r="B1329" s="21"/>
      <c r="C1329" s="21"/>
      <c r="D1329" s="21"/>
      <c r="E1329" s="21"/>
      <c r="G1329" s="21"/>
    </row>
    <row r="1330" spans="1:7">
      <c r="A1330" s="21"/>
      <c r="B1330" s="21"/>
      <c r="C1330" s="21"/>
      <c r="D1330" s="21"/>
      <c r="E1330" s="21"/>
      <c r="G1330" s="21"/>
    </row>
    <row r="1331" spans="1:7">
      <c r="A1331" s="21"/>
      <c r="B1331" s="21"/>
      <c r="C1331" s="21"/>
      <c r="D1331" s="21"/>
      <c r="E1331" s="21"/>
      <c r="G1331" s="21"/>
    </row>
    <row r="1332" spans="1:7">
      <c r="A1332" s="21"/>
      <c r="B1332" s="21"/>
      <c r="C1332" s="21"/>
      <c r="D1332" s="21"/>
      <c r="E1332" s="21"/>
      <c r="G1332" s="21"/>
    </row>
    <row r="1333" spans="1:7">
      <c r="A1333" s="21"/>
      <c r="B1333" s="21"/>
      <c r="C1333" s="21"/>
      <c r="D1333" s="21"/>
      <c r="E1333" s="21"/>
      <c r="G1333" s="21"/>
    </row>
    <row r="1334" spans="1:7">
      <c r="A1334" s="21"/>
      <c r="B1334" s="21"/>
      <c r="C1334" s="21"/>
      <c r="D1334" s="21"/>
      <c r="E1334" s="21"/>
      <c r="G1334" s="21"/>
    </row>
    <row r="1335" spans="1:7">
      <c r="A1335" s="21"/>
      <c r="B1335" s="21"/>
      <c r="C1335" s="21"/>
      <c r="D1335" s="21"/>
      <c r="E1335" s="21"/>
      <c r="G1335" s="21"/>
    </row>
    <row r="1336" spans="1:7">
      <c r="A1336" s="21"/>
      <c r="B1336" s="21"/>
      <c r="C1336" s="21"/>
      <c r="D1336" s="21"/>
      <c r="E1336" s="21"/>
      <c r="G1336" s="21"/>
    </row>
    <row r="1337" spans="1:7">
      <c r="A1337" s="21"/>
      <c r="B1337" s="21"/>
      <c r="C1337" s="21"/>
      <c r="D1337" s="21"/>
      <c r="E1337" s="21"/>
      <c r="G1337" s="21"/>
    </row>
    <row r="1338" spans="1:7">
      <c r="A1338" s="21"/>
      <c r="B1338" s="21"/>
      <c r="C1338" s="21"/>
      <c r="D1338" s="21"/>
      <c r="E1338" s="21"/>
      <c r="G1338" s="21"/>
    </row>
    <row r="1339" spans="1:7">
      <c r="A1339" s="21"/>
      <c r="B1339" s="21"/>
      <c r="C1339" s="21"/>
      <c r="D1339" s="21"/>
      <c r="E1339" s="21"/>
      <c r="G1339" s="21"/>
    </row>
    <row r="1340" spans="1:7">
      <c r="A1340" s="21"/>
      <c r="B1340" s="21"/>
      <c r="C1340" s="21"/>
      <c r="D1340" s="21"/>
      <c r="E1340" s="21"/>
      <c r="G1340" s="21"/>
    </row>
    <row r="1341" spans="1:7">
      <c r="A1341" s="21"/>
      <c r="B1341" s="21"/>
      <c r="C1341" s="21"/>
      <c r="D1341" s="21"/>
      <c r="E1341" s="21"/>
      <c r="G1341" s="21"/>
    </row>
    <row r="1342" spans="1:7">
      <c r="A1342" s="21"/>
      <c r="B1342" s="21"/>
      <c r="C1342" s="21"/>
      <c r="D1342" s="21"/>
      <c r="E1342" s="21"/>
      <c r="G1342" s="21"/>
    </row>
    <row r="1343" spans="1:7">
      <c r="A1343" s="21"/>
      <c r="B1343" s="21"/>
      <c r="C1343" s="21"/>
      <c r="D1343" s="21"/>
      <c r="E1343" s="21"/>
      <c r="G1343" s="21"/>
    </row>
    <row r="1344" spans="1:7">
      <c r="A1344" s="21"/>
      <c r="B1344" s="21"/>
      <c r="C1344" s="21"/>
      <c r="D1344" s="21"/>
      <c r="E1344" s="21"/>
      <c r="G1344" s="21"/>
    </row>
    <row r="1345" spans="1:7">
      <c r="A1345" s="21"/>
      <c r="B1345" s="21"/>
      <c r="C1345" s="21"/>
      <c r="D1345" s="21"/>
      <c r="E1345" s="21"/>
      <c r="G1345" s="21"/>
    </row>
    <row r="1346" spans="1:7">
      <c r="A1346" s="21"/>
      <c r="B1346" s="21"/>
      <c r="C1346" s="21"/>
      <c r="D1346" s="21"/>
      <c r="E1346" s="21"/>
      <c r="G1346" s="21"/>
    </row>
    <row r="1347" spans="1:7">
      <c r="A1347" s="21"/>
      <c r="B1347" s="21"/>
      <c r="C1347" s="21"/>
      <c r="D1347" s="21"/>
      <c r="E1347" s="21"/>
      <c r="G1347" s="21"/>
    </row>
    <row r="1348" spans="1:7">
      <c r="A1348" s="21"/>
      <c r="B1348" s="21"/>
      <c r="C1348" s="21"/>
      <c r="D1348" s="21"/>
      <c r="E1348" s="21"/>
      <c r="G1348" s="21"/>
    </row>
    <row r="1349" spans="1:7">
      <c r="A1349" s="21"/>
      <c r="B1349" s="21"/>
      <c r="C1349" s="21"/>
      <c r="D1349" s="21"/>
      <c r="E1349" s="21"/>
      <c r="G1349" s="21"/>
    </row>
    <row r="1350" spans="1:7">
      <c r="A1350" s="21"/>
      <c r="B1350" s="21"/>
      <c r="C1350" s="21"/>
      <c r="D1350" s="21"/>
      <c r="E1350" s="21"/>
      <c r="G1350" s="21"/>
    </row>
    <row r="1351" spans="1:7">
      <c r="A1351" s="21"/>
      <c r="B1351" s="21"/>
      <c r="C1351" s="21"/>
      <c r="D1351" s="21"/>
      <c r="E1351" s="21"/>
      <c r="G1351" s="21"/>
    </row>
    <row r="1352" spans="1:7">
      <c r="A1352" s="21"/>
      <c r="B1352" s="21"/>
      <c r="C1352" s="21"/>
      <c r="D1352" s="21"/>
      <c r="E1352" s="21"/>
      <c r="G1352" s="21"/>
    </row>
    <row r="1353" spans="1:7">
      <c r="A1353" s="21"/>
      <c r="B1353" s="21"/>
      <c r="C1353" s="21"/>
      <c r="D1353" s="21"/>
      <c r="E1353" s="21"/>
      <c r="G1353" s="21"/>
    </row>
    <row r="1354" spans="1:7">
      <c r="A1354" s="21"/>
      <c r="B1354" s="21"/>
      <c r="C1354" s="21"/>
      <c r="D1354" s="21"/>
      <c r="E1354" s="21"/>
      <c r="G1354" s="21"/>
    </row>
    <row r="1355" spans="1:7">
      <c r="A1355" s="21"/>
      <c r="B1355" s="21"/>
      <c r="C1355" s="21"/>
      <c r="D1355" s="21"/>
      <c r="E1355" s="21"/>
      <c r="G1355" s="21"/>
    </row>
    <row r="1356" spans="1:7">
      <c r="A1356" s="21"/>
      <c r="B1356" s="21"/>
      <c r="C1356" s="21"/>
      <c r="D1356" s="21"/>
      <c r="E1356" s="21"/>
      <c r="G1356" s="21"/>
    </row>
    <row r="1357" spans="1:7">
      <c r="A1357" s="21"/>
      <c r="B1357" s="21"/>
      <c r="C1357" s="21"/>
      <c r="D1357" s="21"/>
      <c r="E1357" s="21"/>
      <c r="G1357" s="21"/>
    </row>
    <row r="1358" spans="1:7">
      <c r="A1358" s="21"/>
      <c r="B1358" s="21"/>
      <c r="C1358" s="21"/>
      <c r="D1358" s="21"/>
      <c r="E1358" s="21"/>
      <c r="G1358" s="21"/>
    </row>
    <row r="1359" spans="1:7">
      <c r="A1359" s="21"/>
      <c r="B1359" s="21"/>
      <c r="C1359" s="21"/>
      <c r="D1359" s="21"/>
      <c r="E1359" s="21"/>
      <c r="G1359" s="21"/>
    </row>
    <row r="1360" spans="1:7">
      <c r="A1360" s="21"/>
      <c r="B1360" s="21"/>
      <c r="C1360" s="21"/>
      <c r="D1360" s="21"/>
      <c r="E1360" s="21"/>
      <c r="G1360" s="21"/>
    </row>
    <row r="1361" spans="1:7">
      <c r="A1361" s="21"/>
      <c r="B1361" s="21"/>
      <c r="C1361" s="21"/>
      <c r="D1361" s="21"/>
      <c r="E1361" s="21"/>
      <c r="G1361" s="21"/>
    </row>
    <row r="1362" spans="1:7">
      <c r="A1362" s="21"/>
      <c r="B1362" s="21"/>
      <c r="C1362" s="21"/>
      <c r="D1362" s="21"/>
      <c r="E1362" s="21"/>
      <c r="G1362" s="21"/>
    </row>
    <row r="1363" spans="1:7">
      <c r="A1363" s="21"/>
      <c r="B1363" s="21"/>
      <c r="C1363" s="21"/>
      <c r="D1363" s="21"/>
      <c r="E1363" s="21"/>
      <c r="G1363" s="21"/>
    </row>
    <row r="1364" spans="1:7">
      <c r="A1364" s="21"/>
      <c r="B1364" s="21"/>
      <c r="C1364" s="21"/>
      <c r="D1364" s="21"/>
      <c r="E1364" s="21"/>
      <c r="G1364" s="21"/>
    </row>
    <row r="1365" spans="1:7">
      <c r="A1365" s="21"/>
      <c r="B1365" s="21"/>
      <c r="C1365" s="21"/>
      <c r="D1365" s="21"/>
      <c r="E1365" s="21"/>
      <c r="G1365" s="21"/>
    </row>
    <row r="1366" spans="1:7">
      <c r="A1366" s="21"/>
      <c r="B1366" s="21"/>
      <c r="C1366" s="21"/>
      <c r="D1366" s="21"/>
      <c r="E1366" s="21"/>
      <c r="G1366" s="21"/>
    </row>
    <row r="1367" spans="1:7">
      <c r="A1367" s="21"/>
      <c r="B1367" s="21"/>
      <c r="C1367" s="21"/>
      <c r="D1367" s="21"/>
      <c r="E1367" s="21"/>
      <c r="G1367" s="21"/>
    </row>
    <row r="1368" spans="1:7">
      <c r="A1368" s="21"/>
      <c r="B1368" s="21"/>
      <c r="C1368" s="21"/>
      <c r="D1368" s="21"/>
      <c r="E1368" s="21"/>
      <c r="G1368" s="21"/>
    </row>
    <row r="1369" spans="1:7">
      <c r="A1369" s="21"/>
      <c r="B1369" s="21"/>
      <c r="C1369" s="21"/>
      <c r="D1369" s="21"/>
      <c r="E1369" s="21"/>
      <c r="G1369" s="21"/>
    </row>
    <row r="1370" spans="1:7">
      <c r="A1370" s="21"/>
      <c r="B1370" s="21"/>
      <c r="C1370" s="21"/>
      <c r="D1370" s="21"/>
      <c r="E1370" s="21"/>
      <c r="G1370" s="21"/>
    </row>
    <row r="1371" spans="1:7">
      <c r="A1371" s="21"/>
      <c r="B1371" s="21"/>
      <c r="C1371" s="21"/>
      <c r="D1371" s="21"/>
      <c r="E1371" s="21"/>
      <c r="G1371" s="21"/>
    </row>
    <row r="1372" spans="1:7">
      <c r="A1372" s="21"/>
      <c r="B1372" s="21"/>
      <c r="C1372" s="21"/>
      <c r="D1372" s="21"/>
      <c r="E1372" s="21"/>
      <c r="G1372" s="21"/>
    </row>
    <row r="1373" spans="1:7">
      <c r="A1373" s="21"/>
      <c r="B1373" s="21"/>
      <c r="C1373" s="21"/>
      <c r="D1373" s="21"/>
      <c r="E1373" s="21"/>
      <c r="G1373" s="21"/>
    </row>
    <row r="1374" spans="1:7">
      <c r="A1374" s="21"/>
      <c r="B1374" s="21"/>
      <c r="C1374" s="21"/>
      <c r="D1374" s="21"/>
      <c r="E1374" s="21"/>
      <c r="G1374" s="21"/>
    </row>
    <row r="1375" spans="1:7">
      <c r="A1375" s="21"/>
      <c r="B1375" s="21"/>
      <c r="C1375" s="21"/>
      <c r="D1375" s="21"/>
      <c r="E1375" s="21"/>
      <c r="G1375" s="21"/>
    </row>
    <row r="1376" spans="1:7">
      <c r="A1376" s="21"/>
      <c r="B1376" s="21"/>
      <c r="C1376" s="21"/>
      <c r="D1376" s="21"/>
      <c r="E1376" s="21"/>
      <c r="G1376" s="21"/>
    </row>
    <row r="1377" spans="1:7">
      <c r="A1377" s="21"/>
      <c r="B1377" s="21"/>
      <c r="C1377" s="21"/>
      <c r="D1377" s="21"/>
      <c r="E1377" s="21"/>
      <c r="G1377" s="21"/>
    </row>
    <row r="1378" spans="1:7">
      <c r="A1378" s="21"/>
      <c r="B1378" s="21"/>
      <c r="C1378" s="21"/>
      <c r="D1378" s="21"/>
      <c r="E1378" s="21"/>
      <c r="G1378" s="21"/>
    </row>
    <row r="1379" spans="1:7">
      <c r="A1379" s="21"/>
      <c r="B1379" s="21"/>
      <c r="C1379" s="21"/>
      <c r="D1379" s="21"/>
      <c r="E1379" s="21"/>
      <c r="G1379" s="21"/>
    </row>
    <row r="1380" spans="1:7">
      <c r="A1380" s="21"/>
      <c r="B1380" s="21"/>
      <c r="C1380" s="21"/>
      <c r="D1380" s="21"/>
      <c r="E1380" s="21"/>
      <c r="G1380" s="21"/>
    </row>
    <row r="1381" spans="1:7">
      <c r="A1381" s="21"/>
      <c r="B1381" s="21"/>
      <c r="C1381" s="21"/>
      <c r="D1381" s="21"/>
      <c r="E1381" s="21"/>
      <c r="G1381" s="21"/>
    </row>
    <row r="1382" spans="1:7">
      <c r="A1382" s="21"/>
      <c r="B1382" s="21"/>
      <c r="C1382" s="21"/>
      <c r="D1382" s="21"/>
      <c r="E1382" s="21"/>
      <c r="G1382" s="21"/>
    </row>
    <row r="1383" spans="1:7">
      <c r="A1383" s="21"/>
      <c r="B1383" s="21"/>
      <c r="C1383" s="21"/>
      <c r="D1383" s="21"/>
      <c r="E1383" s="21"/>
      <c r="G1383" s="21"/>
    </row>
    <row r="1384" spans="1:7">
      <c r="A1384" s="21"/>
      <c r="B1384" s="21"/>
      <c r="C1384" s="21"/>
      <c r="D1384" s="21"/>
      <c r="E1384" s="21"/>
      <c r="G1384" s="21"/>
    </row>
    <row r="1385" spans="1:7">
      <c r="A1385" s="21"/>
      <c r="B1385" s="21"/>
      <c r="C1385" s="21"/>
      <c r="D1385" s="21"/>
      <c r="E1385" s="21"/>
      <c r="G1385" s="21"/>
    </row>
    <row r="1386" spans="1:7">
      <c r="A1386" s="21"/>
      <c r="B1386" s="21"/>
      <c r="C1386" s="21"/>
      <c r="D1386" s="21"/>
      <c r="E1386" s="21"/>
      <c r="G1386" s="21"/>
    </row>
    <row r="1387" spans="1:7">
      <c r="A1387" s="21"/>
      <c r="B1387" s="21"/>
      <c r="C1387" s="21"/>
      <c r="D1387" s="21"/>
      <c r="E1387" s="21"/>
      <c r="G1387" s="21"/>
    </row>
    <row r="1388" spans="1:7">
      <c r="A1388" s="21"/>
      <c r="B1388" s="21"/>
      <c r="C1388" s="21"/>
      <c r="D1388" s="21"/>
      <c r="E1388" s="21"/>
      <c r="G1388" s="21"/>
    </row>
    <row r="1389" spans="1:7">
      <c r="A1389" s="21"/>
      <c r="B1389" s="21"/>
      <c r="C1389" s="21"/>
      <c r="D1389" s="21"/>
      <c r="E1389" s="21"/>
      <c r="G1389" s="21"/>
    </row>
    <row r="1390" spans="1:7">
      <c r="A1390" s="21"/>
      <c r="B1390" s="21"/>
      <c r="C1390" s="21"/>
      <c r="D1390" s="21"/>
      <c r="E1390" s="21"/>
      <c r="G1390" s="21"/>
    </row>
    <row r="1391" spans="1:7">
      <c r="A1391" s="21"/>
      <c r="B1391" s="21"/>
      <c r="C1391" s="21"/>
      <c r="D1391" s="21"/>
      <c r="E1391" s="21"/>
      <c r="G1391" s="21"/>
    </row>
    <row r="1392" spans="1:7">
      <c r="A1392" s="21"/>
      <c r="B1392" s="21"/>
      <c r="C1392" s="21"/>
      <c r="D1392" s="21"/>
      <c r="E1392" s="21"/>
      <c r="G1392" s="21"/>
    </row>
    <row r="1393" spans="1:7">
      <c r="A1393" s="21"/>
      <c r="B1393" s="21"/>
      <c r="C1393" s="21"/>
      <c r="D1393" s="21"/>
      <c r="E1393" s="21"/>
      <c r="G1393" s="21"/>
    </row>
    <row r="1394" spans="1:7">
      <c r="A1394" s="21"/>
      <c r="B1394" s="21"/>
      <c r="C1394" s="21"/>
      <c r="D1394" s="21"/>
      <c r="E1394" s="21"/>
      <c r="G1394" s="21"/>
    </row>
    <row r="1395" spans="1:7">
      <c r="A1395" s="21"/>
      <c r="B1395" s="21"/>
      <c r="C1395" s="21"/>
      <c r="D1395" s="21"/>
      <c r="E1395" s="21"/>
      <c r="G1395" s="21"/>
    </row>
    <row r="1396" spans="1:7">
      <c r="A1396" s="21"/>
      <c r="B1396" s="21"/>
      <c r="C1396" s="21"/>
      <c r="D1396" s="21"/>
      <c r="E1396" s="21"/>
      <c r="G1396" s="21"/>
    </row>
    <row r="1397" spans="1:7">
      <c r="A1397" s="21"/>
      <c r="B1397" s="21"/>
      <c r="C1397" s="21"/>
      <c r="D1397" s="21"/>
      <c r="E1397" s="21"/>
      <c r="G1397" s="21"/>
    </row>
    <row r="1398" spans="1:7">
      <c r="A1398" s="21"/>
      <c r="B1398" s="21"/>
      <c r="C1398" s="21"/>
      <c r="D1398" s="21"/>
      <c r="E1398" s="21"/>
      <c r="G1398" s="21"/>
    </row>
    <row r="1399" spans="1:7">
      <c r="A1399" s="21"/>
      <c r="B1399" s="21"/>
      <c r="C1399" s="21"/>
      <c r="D1399" s="21"/>
      <c r="E1399" s="21"/>
      <c r="G1399" s="21"/>
    </row>
    <row r="1400" spans="1:7">
      <c r="A1400" s="21"/>
      <c r="B1400" s="21"/>
      <c r="C1400" s="21"/>
      <c r="D1400" s="21"/>
      <c r="E1400" s="21"/>
      <c r="G1400" s="21"/>
    </row>
    <row r="1401" spans="1:7">
      <c r="A1401" s="21"/>
      <c r="B1401" s="21"/>
      <c r="C1401" s="21"/>
      <c r="D1401" s="21"/>
      <c r="E1401" s="21"/>
      <c r="G1401" s="21"/>
    </row>
    <row r="1402" spans="1:7">
      <c r="A1402" s="21"/>
      <c r="B1402" s="21"/>
      <c r="C1402" s="21"/>
      <c r="D1402" s="21"/>
      <c r="E1402" s="21"/>
      <c r="G1402" s="21"/>
    </row>
    <row r="1403" spans="1:7">
      <c r="A1403" s="21"/>
      <c r="B1403" s="21"/>
      <c r="C1403" s="21"/>
      <c r="D1403" s="21"/>
      <c r="E1403" s="21"/>
      <c r="G1403" s="21"/>
    </row>
    <row r="1404" spans="1:7">
      <c r="A1404" s="21"/>
      <c r="B1404" s="21"/>
      <c r="C1404" s="21"/>
      <c r="D1404" s="21"/>
      <c r="E1404" s="21"/>
      <c r="G1404" s="21"/>
    </row>
    <row r="1405" spans="1:7">
      <c r="A1405" s="21"/>
      <c r="B1405" s="21"/>
      <c r="C1405" s="21"/>
      <c r="D1405" s="21"/>
      <c r="E1405" s="21"/>
      <c r="G1405" s="21"/>
    </row>
    <row r="1406" spans="1:7">
      <c r="A1406" s="21"/>
      <c r="B1406" s="21"/>
      <c r="C1406" s="21"/>
      <c r="D1406" s="21"/>
      <c r="E1406" s="21"/>
      <c r="G1406" s="21"/>
    </row>
    <row r="1407" spans="1:7">
      <c r="A1407" s="21"/>
      <c r="B1407" s="21"/>
      <c r="C1407" s="21"/>
      <c r="D1407" s="21"/>
      <c r="E1407" s="21"/>
      <c r="G1407" s="21"/>
    </row>
    <row r="1408" spans="1:7">
      <c r="A1408" s="21"/>
      <c r="B1408" s="21"/>
      <c r="C1408" s="21"/>
      <c r="D1408" s="21"/>
      <c r="E1408" s="21"/>
      <c r="G1408" s="21"/>
    </row>
    <row r="1409" spans="1:7">
      <c r="A1409" s="21"/>
      <c r="B1409" s="21"/>
      <c r="C1409" s="21"/>
      <c r="D1409" s="21"/>
      <c r="E1409" s="21"/>
      <c r="G1409" s="21"/>
    </row>
    <row r="1410" spans="1:7">
      <c r="A1410" s="21"/>
      <c r="B1410" s="21"/>
      <c r="C1410" s="21"/>
      <c r="D1410" s="21"/>
      <c r="E1410" s="21"/>
      <c r="G1410" s="21"/>
    </row>
    <row r="1411" spans="1:7">
      <c r="A1411" s="21"/>
      <c r="B1411" s="21"/>
      <c r="C1411" s="21"/>
      <c r="D1411" s="21"/>
      <c r="E1411" s="21"/>
      <c r="G1411" s="21"/>
    </row>
    <row r="1412" spans="1:7">
      <c r="A1412" s="21"/>
      <c r="B1412" s="21"/>
      <c r="C1412" s="21"/>
      <c r="D1412" s="21"/>
      <c r="E1412" s="21"/>
      <c r="G1412" s="21"/>
    </row>
    <row r="1413" spans="1:7">
      <c r="A1413" s="21"/>
      <c r="B1413" s="21"/>
      <c r="C1413" s="21"/>
      <c r="D1413" s="21"/>
      <c r="E1413" s="21"/>
      <c r="G1413" s="21"/>
    </row>
    <row r="1414" spans="1:7">
      <c r="A1414" s="21"/>
      <c r="B1414" s="21"/>
      <c r="C1414" s="21"/>
      <c r="D1414" s="21"/>
      <c r="E1414" s="21"/>
      <c r="G1414" s="21"/>
    </row>
    <row r="1415" spans="1:7">
      <c r="A1415" s="21"/>
      <c r="B1415" s="21"/>
      <c r="C1415" s="21"/>
      <c r="D1415" s="21"/>
      <c r="E1415" s="21"/>
      <c r="G1415" s="21"/>
    </row>
    <row r="1416" spans="1:7">
      <c r="A1416" s="21"/>
      <c r="B1416" s="21"/>
      <c r="C1416" s="21"/>
      <c r="D1416" s="21"/>
      <c r="E1416" s="21"/>
      <c r="G1416" s="21"/>
    </row>
    <row r="1417" spans="1:7">
      <c r="A1417" s="21"/>
      <c r="B1417" s="21"/>
      <c r="C1417" s="21"/>
      <c r="D1417" s="21"/>
      <c r="E1417" s="21"/>
      <c r="G1417" s="21"/>
    </row>
    <row r="1418" spans="1:7">
      <c r="A1418" s="21"/>
      <c r="B1418" s="21"/>
      <c r="C1418" s="21"/>
      <c r="D1418" s="21"/>
      <c r="E1418" s="21"/>
      <c r="G1418" s="21"/>
    </row>
    <row r="1419" spans="1:7">
      <c r="A1419" s="21"/>
      <c r="B1419" s="21"/>
      <c r="C1419" s="21"/>
      <c r="D1419" s="21"/>
      <c r="E1419" s="21"/>
      <c r="G1419" s="21"/>
    </row>
    <row r="1420" spans="1:7">
      <c r="A1420" s="21"/>
      <c r="B1420" s="21"/>
      <c r="C1420" s="21"/>
      <c r="D1420" s="21"/>
      <c r="E1420" s="21"/>
      <c r="G1420" s="21"/>
    </row>
    <row r="1421" spans="1:7">
      <c r="A1421" s="21"/>
      <c r="B1421" s="21"/>
      <c r="C1421" s="21"/>
      <c r="D1421" s="21"/>
      <c r="E1421" s="21"/>
      <c r="G1421" s="21"/>
    </row>
    <row r="1422" spans="1:7">
      <c r="A1422" s="21"/>
      <c r="B1422" s="21"/>
      <c r="C1422" s="21"/>
      <c r="D1422" s="21"/>
      <c r="E1422" s="21"/>
      <c r="G1422" s="21"/>
    </row>
    <row r="1423" spans="1:7">
      <c r="A1423" s="21"/>
      <c r="B1423" s="21"/>
      <c r="C1423" s="21"/>
      <c r="D1423" s="21"/>
      <c r="E1423" s="21"/>
      <c r="G1423" s="21"/>
    </row>
    <row r="1424" spans="1:7">
      <c r="A1424" s="21"/>
      <c r="B1424" s="21"/>
      <c r="C1424" s="21"/>
      <c r="D1424" s="21"/>
      <c r="E1424" s="21"/>
      <c r="G1424" s="21"/>
    </row>
    <row r="1425" spans="1:7">
      <c r="A1425" s="21"/>
      <c r="B1425" s="21"/>
      <c r="C1425" s="21"/>
      <c r="D1425" s="21"/>
      <c r="E1425" s="21"/>
      <c r="G1425" s="21"/>
    </row>
    <row r="1426" spans="1:7">
      <c r="A1426" s="21"/>
      <c r="B1426" s="21"/>
      <c r="C1426" s="21"/>
      <c r="D1426" s="21"/>
      <c r="E1426" s="21"/>
      <c r="G1426" s="21"/>
    </row>
    <row r="1427" spans="1:7">
      <c r="A1427" s="21"/>
      <c r="B1427" s="21"/>
      <c r="C1427" s="21"/>
      <c r="D1427" s="21"/>
      <c r="E1427" s="21"/>
      <c r="G1427" s="21"/>
    </row>
    <row r="1428" spans="1:7">
      <c r="A1428" s="21"/>
      <c r="B1428" s="21"/>
      <c r="C1428" s="21"/>
      <c r="D1428" s="21"/>
      <c r="E1428" s="21"/>
      <c r="G1428" s="21"/>
    </row>
    <row r="1429" spans="1:7">
      <c r="A1429" s="21"/>
      <c r="B1429" s="21"/>
      <c r="C1429" s="21"/>
      <c r="D1429" s="21"/>
      <c r="E1429" s="21"/>
      <c r="G1429" s="21"/>
    </row>
    <row r="1430" spans="1:7">
      <c r="A1430" s="21"/>
      <c r="B1430" s="21"/>
      <c r="C1430" s="21"/>
      <c r="D1430" s="21"/>
      <c r="E1430" s="21"/>
      <c r="G1430" s="21"/>
    </row>
    <row r="1431" spans="1:7">
      <c r="A1431" s="21"/>
      <c r="B1431" s="21"/>
      <c r="C1431" s="21"/>
      <c r="D1431" s="21"/>
      <c r="E1431" s="21"/>
      <c r="G1431" s="21"/>
    </row>
    <row r="1432" spans="1:7">
      <c r="A1432" s="21"/>
      <c r="B1432" s="21"/>
      <c r="C1432" s="21"/>
      <c r="D1432" s="21"/>
      <c r="E1432" s="21"/>
      <c r="G1432" s="21"/>
    </row>
    <row r="1433" spans="1:7">
      <c r="A1433" s="21"/>
      <c r="B1433" s="21"/>
      <c r="C1433" s="21"/>
      <c r="D1433" s="21"/>
      <c r="E1433" s="21"/>
      <c r="G1433" s="21"/>
    </row>
    <row r="1434" spans="1:7">
      <c r="A1434" s="21"/>
      <c r="B1434" s="21"/>
      <c r="C1434" s="21"/>
      <c r="D1434" s="21"/>
      <c r="E1434" s="21"/>
      <c r="G1434" s="21"/>
    </row>
    <row r="1435" spans="1:7">
      <c r="A1435" s="21"/>
      <c r="B1435" s="21"/>
      <c r="C1435" s="21"/>
      <c r="D1435" s="21"/>
      <c r="E1435" s="21"/>
      <c r="G1435" s="21"/>
    </row>
    <row r="1436" spans="1:7">
      <c r="A1436" s="21"/>
      <c r="B1436" s="21"/>
      <c r="C1436" s="21"/>
      <c r="D1436" s="21"/>
      <c r="E1436" s="21"/>
      <c r="G1436" s="21"/>
    </row>
    <row r="1437" spans="1:7">
      <c r="A1437" s="21"/>
      <c r="B1437" s="21"/>
      <c r="C1437" s="21"/>
      <c r="D1437" s="21"/>
      <c r="E1437" s="21"/>
      <c r="G1437" s="21"/>
    </row>
    <row r="1438" spans="1:7">
      <c r="A1438" s="21"/>
      <c r="B1438" s="21"/>
      <c r="C1438" s="21"/>
      <c r="D1438" s="21"/>
      <c r="E1438" s="21"/>
      <c r="G1438" s="21"/>
    </row>
    <row r="1439" spans="1:7">
      <c r="A1439" s="21"/>
      <c r="B1439" s="21"/>
      <c r="C1439" s="21"/>
      <c r="D1439" s="21"/>
      <c r="E1439" s="21"/>
      <c r="G1439" s="21"/>
    </row>
    <row r="1440" spans="1:7">
      <c r="A1440" s="21"/>
      <c r="B1440" s="21"/>
      <c r="C1440" s="21"/>
      <c r="D1440" s="21"/>
      <c r="E1440" s="21"/>
      <c r="G1440" s="21"/>
    </row>
    <row r="1441" spans="1:7">
      <c r="A1441" s="21"/>
      <c r="B1441" s="21"/>
      <c r="C1441" s="21"/>
      <c r="D1441" s="21"/>
      <c r="E1441" s="21"/>
      <c r="G1441" s="21"/>
    </row>
    <row r="1442" spans="1:7">
      <c r="A1442" s="21"/>
      <c r="B1442" s="21"/>
      <c r="C1442" s="21"/>
      <c r="D1442" s="21"/>
      <c r="E1442" s="21"/>
      <c r="G1442" s="21"/>
    </row>
    <row r="1443" spans="1:7">
      <c r="A1443" s="21"/>
      <c r="B1443" s="21"/>
      <c r="C1443" s="21"/>
      <c r="D1443" s="21"/>
      <c r="E1443" s="21"/>
      <c r="G1443" s="21"/>
    </row>
    <row r="1444" spans="1:7">
      <c r="A1444" s="21"/>
      <c r="B1444" s="21"/>
      <c r="C1444" s="21"/>
      <c r="D1444" s="21"/>
      <c r="E1444" s="21"/>
      <c r="G1444" s="21"/>
    </row>
    <row r="1445" spans="1:7">
      <c r="A1445" s="21"/>
      <c r="B1445" s="21"/>
      <c r="C1445" s="21"/>
      <c r="D1445" s="21"/>
      <c r="E1445" s="21"/>
      <c r="G1445" s="21"/>
    </row>
    <row r="1446" spans="1:7">
      <c r="A1446" s="21"/>
      <c r="B1446" s="21"/>
      <c r="C1446" s="21"/>
      <c r="D1446" s="21"/>
      <c r="E1446" s="21"/>
      <c r="G1446" s="21"/>
    </row>
    <row r="1447" spans="1:7">
      <c r="A1447" s="21"/>
      <c r="B1447" s="21"/>
      <c r="C1447" s="21"/>
      <c r="D1447" s="21"/>
      <c r="E1447" s="21"/>
      <c r="G1447" s="21"/>
    </row>
    <row r="1448" spans="1:7">
      <c r="A1448" s="21"/>
      <c r="B1448" s="21"/>
      <c r="C1448" s="21"/>
      <c r="D1448" s="21"/>
      <c r="E1448" s="21"/>
      <c r="G1448" s="21"/>
    </row>
    <row r="1449" spans="1:7">
      <c r="A1449" s="21"/>
      <c r="B1449" s="21"/>
      <c r="C1449" s="21"/>
      <c r="D1449" s="21"/>
      <c r="E1449" s="21"/>
      <c r="G1449" s="21"/>
    </row>
    <row r="1450" spans="1:7">
      <c r="A1450" s="21"/>
      <c r="B1450" s="21"/>
      <c r="C1450" s="21"/>
      <c r="D1450" s="21"/>
      <c r="E1450" s="21"/>
      <c r="G1450" s="21"/>
    </row>
    <row r="1451" spans="1:7">
      <c r="A1451" s="21"/>
      <c r="B1451" s="21"/>
      <c r="C1451" s="21"/>
      <c r="D1451" s="21"/>
      <c r="E1451" s="21"/>
      <c r="G1451" s="21"/>
    </row>
    <row r="1452" spans="1:7">
      <c r="A1452" s="21"/>
      <c r="B1452" s="21"/>
      <c r="C1452" s="21"/>
      <c r="D1452" s="21"/>
      <c r="E1452" s="21"/>
      <c r="G1452" s="21"/>
    </row>
    <row r="1453" spans="1:7">
      <c r="A1453" s="21"/>
      <c r="B1453" s="21"/>
      <c r="C1453" s="21"/>
      <c r="D1453" s="21"/>
      <c r="E1453" s="21"/>
      <c r="G1453" s="21"/>
    </row>
    <row r="1454" spans="1:7">
      <c r="A1454" s="21"/>
      <c r="B1454" s="21"/>
      <c r="C1454" s="21"/>
      <c r="D1454" s="21"/>
      <c r="E1454" s="21"/>
      <c r="G1454" s="21"/>
    </row>
    <row r="1455" spans="1:7">
      <c r="A1455" s="21"/>
      <c r="B1455" s="21"/>
      <c r="C1455" s="21"/>
      <c r="D1455" s="21"/>
      <c r="E1455" s="21"/>
      <c r="G1455" s="21"/>
    </row>
    <row r="1456" spans="1:7">
      <c r="A1456" s="21"/>
      <c r="B1456" s="21"/>
      <c r="C1456" s="21"/>
      <c r="D1456" s="21"/>
      <c r="E1456" s="21"/>
      <c r="G1456" s="21"/>
    </row>
    <row r="1457" spans="1:7">
      <c r="A1457" s="21"/>
      <c r="B1457" s="21"/>
      <c r="C1457" s="21"/>
      <c r="D1457" s="21"/>
      <c r="E1457" s="21"/>
      <c r="G1457" s="21"/>
    </row>
    <row r="1458" spans="1:7">
      <c r="A1458" s="21"/>
      <c r="B1458" s="21"/>
      <c r="C1458" s="21"/>
      <c r="D1458" s="21"/>
      <c r="E1458" s="21"/>
      <c r="G1458" s="21"/>
    </row>
    <row r="1459" spans="1:7">
      <c r="A1459" s="21"/>
      <c r="B1459" s="21"/>
      <c r="C1459" s="21"/>
      <c r="D1459" s="21"/>
      <c r="E1459" s="21"/>
      <c r="G1459" s="21"/>
    </row>
    <row r="1460" spans="1:7">
      <c r="A1460" s="21"/>
      <c r="B1460" s="21"/>
      <c r="C1460" s="21"/>
      <c r="D1460" s="21"/>
      <c r="E1460" s="21"/>
      <c r="G1460" s="21"/>
    </row>
    <row r="1461" spans="1:7">
      <c r="A1461" s="21"/>
      <c r="B1461" s="21"/>
      <c r="C1461" s="21"/>
      <c r="D1461" s="21"/>
      <c r="E1461" s="21"/>
      <c r="G1461" s="21"/>
    </row>
    <row r="1462" spans="1:7">
      <c r="A1462" s="21"/>
      <c r="B1462" s="21"/>
      <c r="C1462" s="21"/>
      <c r="D1462" s="21"/>
      <c r="E1462" s="21"/>
      <c r="G1462" s="21"/>
    </row>
    <row r="1463" spans="1:7">
      <c r="A1463" s="21"/>
      <c r="B1463" s="21"/>
      <c r="C1463" s="21"/>
      <c r="D1463" s="21"/>
      <c r="E1463" s="21"/>
      <c r="G1463" s="21"/>
    </row>
    <row r="1464" spans="1:7">
      <c r="A1464" s="21"/>
      <c r="B1464" s="21"/>
      <c r="C1464" s="21"/>
      <c r="D1464" s="21"/>
      <c r="E1464" s="21"/>
      <c r="G1464" s="21"/>
    </row>
    <row r="1465" spans="1:7">
      <c r="A1465" s="21"/>
      <c r="B1465" s="21"/>
      <c r="C1465" s="21"/>
      <c r="D1465" s="21"/>
      <c r="E1465" s="21"/>
      <c r="G1465" s="21"/>
    </row>
    <row r="1466" spans="1:7">
      <c r="A1466" s="21"/>
      <c r="B1466" s="21"/>
      <c r="C1466" s="21"/>
      <c r="D1466" s="21"/>
      <c r="E1466" s="21"/>
      <c r="G1466" s="21"/>
    </row>
    <row r="1467" spans="1:7">
      <c r="A1467" s="21"/>
      <c r="B1467" s="21"/>
      <c r="C1467" s="21"/>
      <c r="D1467" s="21"/>
      <c r="E1467" s="21"/>
      <c r="G1467" s="21"/>
    </row>
    <row r="1468" spans="1:7">
      <c r="A1468" s="21"/>
      <c r="B1468" s="21"/>
      <c r="C1468" s="21"/>
      <c r="D1468" s="21"/>
      <c r="E1468" s="21"/>
      <c r="G1468" s="21"/>
    </row>
    <row r="1469" spans="1:7">
      <c r="A1469" s="21"/>
      <c r="B1469" s="21"/>
      <c r="C1469" s="21"/>
      <c r="D1469" s="21"/>
      <c r="E1469" s="21"/>
      <c r="G1469" s="21"/>
    </row>
    <row r="1470" spans="1:7">
      <c r="A1470" s="21"/>
      <c r="B1470" s="21"/>
      <c r="C1470" s="21"/>
      <c r="D1470" s="21"/>
      <c r="E1470" s="21"/>
      <c r="G1470" s="21"/>
    </row>
    <row r="1471" spans="1:7">
      <c r="A1471" s="21"/>
      <c r="B1471" s="21"/>
      <c r="C1471" s="21"/>
      <c r="D1471" s="21"/>
      <c r="E1471" s="21"/>
      <c r="G1471" s="21"/>
    </row>
    <row r="1472" spans="1:7">
      <c r="A1472" s="21"/>
      <c r="B1472" s="21"/>
      <c r="C1472" s="21"/>
      <c r="D1472" s="21"/>
      <c r="E1472" s="21"/>
      <c r="G1472" s="21"/>
    </row>
    <row r="1473" spans="1:7">
      <c r="A1473" s="21"/>
      <c r="B1473" s="21"/>
      <c r="C1473" s="21"/>
      <c r="D1473" s="21"/>
      <c r="E1473" s="21"/>
      <c r="G1473" s="21"/>
    </row>
    <row r="1474" spans="1:7">
      <c r="A1474" s="21"/>
      <c r="B1474" s="21"/>
      <c r="C1474" s="21"/>
      <c r="D1474" s="21"/>
      <c r="E1474" s="21"/>
      <c r="G1474" s="21"/>
    </row>
    <row r="1475" spans="1:7">
      <c r="A1475" s="21"/>
      <c r="B1475" s="21"/>
      <c r="C1475" s="21"/>
      <c r="D1475" s="21"/>
      <c r="E1475" s="21"/>
      <c r="G1475" s="21"/>
    </row>
    <row r="1476" spans="1:7">
      <c r="A1476" s="21"/>
      <c r="B1476" s="21"/>
      <c r="C1476" s="21"/>
      <c r="D1476" s="21"/>
      <c r="E1476" s="21"/>
      <c r="G1476" s="21"/>
    </row>
    <row r="1477" spans="1:7">
      <c r="A1477" s="21"/>
      <c r="B1477" s="21"/>
      <c r="C1477" s="21"/>
      <c r="D1477" s="21"/>
      <c r="E1477" s="21"/>
      <c r="G1477" s="21"/>
    </row>
    <row r="1478" spans="1:7">
      <c r="A1478" s="21"/>
      <c r="B1478" s="21"/>
      <c r="C1478" s="21"/>
      <c r="D1478" s="21"/>
      <c r="E1478" s="21"/>
      <c r="G1478" s="21"/>
    </row>
    <row r="1479" spans="1:7">
      <c r="A1479" s="21"/>
      <c r="B1479" s="21"/>
      <c r="C1479" s="21"/>
      <c r="D1479" s="21"/>
      <c r="E1479" s="21"/>
      <c r="G1479" s="21"/>
    </row>
    <row r="1480" spans="1:7">
      <c r="A1480" s="21"/>
      <c r="B1480" s="21"/>
      <c r="C1480" s="21"/>
      <c r="D1480" s="21"/>
      <c r="E1480" s="21"/>
      <c r="G1480" s="21"/>
    </row>
    <row r="1481" spans="1:7">
      <c r="A1481" s="21"/>
      <c r="B1481" s="21"/>
      <c r="C1481" s="21"/>
      <c r="D1481" s="21"/>
      <c r="E1481" s="21"/>
      <c r="G1481" s="21"/>
    </row>
    <row r="1482" spans="1:7">
      <c r="A1482" s="21"/>
      <c r="B1482" s="21"/>
      <c r="C1482" s="21"/>
      <c r="D1482" s="21"/>
      <c r="E1482" s="21"/>
      <c r="G1482" s="21"/>
    </row>
    <row r="1483" spans="1:7">
      <c r="A1483" s="21"/>
      <c r="B1483" s="21"/>
      <c r="C1483" s="21"/>
      <c r="D1483" s="21"/>
      <c r="E1483" s="21"/>
      <c r="G1483" s="21"/>
    </row>
    <row r="1484" spans="1:7">
      <c r="A1484" s="21"/>
      <c r="B1484" s="21"/>
      <c r="C1484" s="21"/>
      <c r="D1484" s="21"/>
      <c r="E1484" s="21"/>
      <c r="G1484" s="21"/>
    </row>
    <row r="1485" spans="1:7">
      <c r="A1485" s="21"/>
      <c r="B1485" s="21"/>
      <c r="C1485" s="21"/>
      <c r="D1485" s="21"/>
      <c r="E1485" s="21"/>
      <c r="G1485" s="21"/>
    </row>
    <row r="1486" spans="1:7">
      <c r="A1486" s="21"/>
      <c r="B1486" s="21"/>
      <c r="C1486" s="21"/>
      <c r="D1486" s="21"/>
      <c r="E1486" s="21"/>
      <c r="G1486" s="21"/>
    </row>
    <row r="1487" spans="1:7">
      <c r="A1487" s="21"/>
      <c r="B1487" s="21"/>
      <c r="C1487" s="21"/>
      <c r="D1487" s="21"/>
      <c r="E1487" s="21"/>
      <c r="G1487" s="21"/>
    </row>
    <row r="1488" spans="1:7">
      <c r="A1488" s="21"/>
      <c r="B1488" s="21"/>
      <c r="C1488" s="21"/>
      <c r="D1488" s="21"/>
      <c r="E1488" s="21"/>
      <c r="G1488" s="21"/>
    </row>
    <row r="1489" spans="1:7">
      <c r="A1489" s="21"/>
      <c r="B1489" s="21"/>
      <c r="C1489" s="21"/>
      <c r="D1489" s="21"/>
      <c r="E1489" s="21"/>
      <c r="G1489" s="21"/>
    </row>
    <row r="1490" spans="1:7">
      <c r="A1490" s="21"/>
      <c r="B1490" s="21"/>
      <c r="C1490" s="21"/>
      <c r="D1490" s="21"/>
      <c r="E1490" s="21"/>
      <c r="G1490" s="21"/>
    </row>
    <row r="1491" spans="1:7">
      <c r="A1491" s="21"/>
      <c r="B1491" s="21"/>
      <c r="C1491" s="21"/>
      <c r="D1491" s="21"/>
      <c r="E1491" s="21"/>
      <c r="G1491" s="21"/>
    </row>
    <row r="1492" spans="1:7">
      <c r="A1492" s="21"/>
      <c r="B1492" s="21"/>
      <c r="C1492" s="21"/>
      <c r="D1492" s="21"/>
      <c r="E1492" s="21"/>
      <c r="G1492" s="21"/>
    </row>
    <row r="1493" spans="1:7">
      <c r="A1493" s="21"/>
      <c r="B1493" s="21"/>
      <c r="C1493" s="21"/>
      <c r="D1493" s="21"/>
      <c r="E1493" s="21"/>
      <c r="G1493" s="21"/>
    </row>
    <row r="1494" spans="1:7">
      <c r="A1494" s="21"/>
      <c r="B1494" s="21"/>
      <c r="C1494" s="21"/>
      <c r="D1494" s="21"/>
      <c r="E1494" s="21"/>
      <c r="G1494" s="21"/>
    </row>
    <row r="1495" spans="1:7">
      <c r="A1495" s="21"/>
      <c r="B1495" s="21"/>
      <c r="C1495" s="21"/>
      <c r="D1495" s="21"/>
      <c r="E1495" s="21"/>
      <c r="G1495" s="21"/>
    </row>
    <row r="1496" spans="1:7">
      <c r="A1496" s="21"/>
      <c r="B1496" s="21"/>
      <c r="C1496" s="21"/>
      <c r="D1496" s="21"/>
      <c r="E1496" s="21"/>
      <c r="G1496" s="21"/>
    </row>
    <row r="1497" spans="1:7">
      <c r="A1497" s="21"/>
      <c r="B1497" s="21"/>
      <c r="C1497" s="21"/>
      <c r="D1497" s="21"/>
      <c r="E1497" s="21"/>
      <c r="G1497" s="21"/>
    </row>
    <row r="1498" spans="1:7">
      <c r="A1498" s="21"/>
      <c r="B1498" s="21"/>
      <c r="C1498" s="21"/>
      <c r="D1498" s="21"/>
      <c r="E1498" s="21"/>
      <c r="G1498" s="21"/>
    </row>
    <row r="1499" spans="1:7">
      <c r="A1499" s="21"/>
      <c r="B1499" s="21"/>
      <c r="C1499" s="21"/>
      <c r="D1499" s="21"/>
      <c r="E1499" s="21"/>
      <c r="G1499" s="21"/>
    </row>
    <row r="1500" spans="1:7">
      <c r="A1500" s="21"/>
      <c r="B1500" s="21"/>
      <c r="C1500" s="21"/>
      <c r="D1500" s="21"/>
      <c r="E1500" s="21"/>
      <c r="G1500" s="21"/>
    </row>
    <row r="1501" spans="1:7">
      <c r="A1501" s="21"/>
      <c r="B1501" s="21"/>
      <c r="C1501" s="21"/>
      <c r="D1501" s="21"/>
      <c r="E1501" s="21"/>
      <c r="G1501" s="21"/>
    </row>
    <row r="1502" spans="1:7">
      <c r="A1502" s="21"/>
      <c r="B1502" s="21"/>
      <c r="C1502" s="21"/>
      <c r="D1502" s="21"/>
      <c r="E1502" s="21"/>
      <c r="G1502" s="21"/>
    </row>
    <row r="1503" spans="1:7">
      <c r="A1503" s="21"/>
      <c r="B1503" s="21"/>
      <c r="C1503" s="21"/>
      <c r="D1503" s="21"/>
      <c r="E1503" s="21"/>
      <c r="G1503" s="21"/>
    </row>
    <row r="1504" spans="1:7">
      <c r="A1504" s="21"/>
      <c r="B1504" s="21"/>
      <c r="C1504" s="21"/>
      <c r="D1504" s="21"/>
      <c r="E1504" s="21"/>
      <c r="G1504" s="21"/>
    </row>
    <row r="1505" spans="1:7">
      <c r="A1505" s="21"/>
      <c r="B1505" s="21"/>
      <c r="C1505" s="21"/>
      <c r="D1505" s="21"/>
      <c r="E1505" s="21"/>
      <c r="G1505" s="21"/>
    </row>
    <row r="1506" spans="1:7">
      <c r="A1506" s="21"/>
      <c r="B1506" s="21"/>
      <c r="C1506" s="21"/>
      <c r="D1506" s="21"/>
      <c r="E1506" s="21"/>
      <c r="G1506" s="21"/>
    </row>
    <row r="1507" spans="1:7">
      <c r="A1507" s="21"/>
      <c r="B1507" s="21"/>
      <c r="C1507" s="21"/>
      <c r="D1507" s="21"/>
      <c r="E1507" s="21"/>
      <c r="G1507" s="21"/>
    </row>
    <row r="1508" spans="1:7">
      <c r="A1508" s="21"/>
      <c r="B1508" s="21"/>
      <c r="C1508" s="21"/>
      <c r="D1508" s="21"/>
      <c r="E1508" s="21"/>
      <c r="G1508" s="21"/>
    </row>
    <row r="1509" spans="1:7">
      <c r="A1509" s="21"/>
      <c r="B1509" s="21"/>
      <c r="C1509" s="21"/>
      <c r="D1509" s="21"/>
      <c r="E1509" s="21"/>
      <c r="G1509" s="21"/>
    </row>
    <row r="1510" spans="1:7">
      <c r="A1510" s="21"/>
      <c r="B1510" s="21"/>
      <c r="C1510" s="21"/>
      <c r="D1510" s="21"/>
      <c r="E1510" s="21"/>
      <c r="G1510" s="21"/>
    </row>
    <row r="1511" spans="1:7">
      <c r="A1511" s="21"/>
      <c r="B1511" s="21"/>
      <c r="C1511" s="21"/>
      <c r="D1511" s="21"/>
      <c r="E1511" s="21"/>
      <c r="G1511" s="21"/>
    </row>
    <row r="1512" spans="1:7">
      <c r="A1512" s="21"/>
      <c r="B1512" s="21"/>
      <c r="C1512" s="21"/>
      <c r="D1512" s="21"/>
      <c r="E1512" s="21"/>
      <c r="G1512" s="21"/>
    </row>
    <row r="1513" spans="1:7">
      <c r="A1513" s="21"/>
      <c r="B1513" s="21"/>
      <c r="C1513" s="21"/>
      <c r="D1513" s="21"/>
      <c r="E1513" s="21"/>
      <c r="G1513" s="21"/>
    </row>
    <row r="1514" spans="1:7">
      <c r="A1514" s="21"/>
      <c r="B1514" s="21"/>
      <c r="C1514" s="21"/>
      <c r="D1514" s="21"/>
      <c r="E1514" s="21"/>
      <c r="G1514" s="21"/>
    </row>
    <row r="1515" spans="1:7">
      <c r="A1515" s="21"/>
      <c r="B1515" s="21"/>
      <c r="C1515" s="21"/>
      <c r="D1515" s="21"/>
      <c r="E1515" s="21"/>
      <c r="G1515" s="21"/>
    </row>
    <row r="1516" spans="1:7">
      <c r="A1516" s="21"/>
      <c r="B1516" s="21"/>
      <c r="C1516" s="21"/>
      <c r="D1516" s="21"/>
      <c r="E1516" s="21"/>
      <c r="G1516" s="21"/>
    </row>
    <row r="1517" spans="1:7">
      <c r="A1517" s="21"/>
      <c r="B1517" s="21"/>
      <c r="C1517" s="21"/>
      <c r="D1517" s="21"/>
      <c r="E1517" s="21"/>
      <c r="G1517" s="21"/>
    </row>
    <row r="1518" spans="1:7">
      <c r="A1518" s="21"/>
      <c r="B1518" s="21"/>
      <c r="C1518" s="21"/>
      <c r="D1518" s="21"/>
      <c r="E1518" s="21"/>
      <c r="G1518" s="21"/>
    </row>
    <row r="1519" spans="1:7">
      <c r="A1519" s="21"/>
      <c r="B1519" s="21"/>
      <c r="C1519" s="21"/>
      <c r="D1519" s="21"/>
      <c r="E1519" s="21"/>
      <c r="G1519" s="21"/>
    </row>
    <row r="1520" spans="1:7">
      <c r="A1520" s="21"/>
      <c r="B1520" s="21"/>
      <c r="C1520" s="21"/>
      <c r="D1520" s="21"/>
      <c r="E1520" s="21"/>
      <c r="G1520" s="21"/>
    </row>
    <row r="1521" spans="1:7">
      <c r="A1521" s="21"/>
      <c r="B1521" s="21"/>
      <c r="C1521" s="21"/>
      <c r="D1521" s="21"/>
      <c r="E1521" s="21"/>
      <c r="G1521" s="21"/>
    </row>
    <row r="1522" spans="1:7">
      <c r="A1522" s="21"/>
      <c r="B1522" s="21"/>
      <c r="C1522" s="21"/>
      <c r="D1522" s="21"/>
      <c r="E1522" s="21"/>
      <c r="G1522" s="21"/>
    </row>
    <row r="1523" spans="1:7">
      <c r="A1523" s="21"/>
      <c r="B1523" s="21"/>
      <c r="C1523" s="21"/>
      <c r="D1523" s="21"/>
      <c r="E1523" s="21"/>
      <c r="G1523" s="21"/>
    </row>
    <row r="1524" spans="1:7">
      <c r="A1524" s="21"/>
      <c r="B1524" s="21"/>
      <c r="C1524" s="21"/>
      <c r="D1524" s="21"/>
      <c r="E1524" s="21"/>
      <c r="G1524" s="21"/>
    </row>
    <row r="1525" spans="1:7">
      <c r="A1525" s="21"/>
      <c r="B1525" s="21"/>
      <c r="C1525" s="21"/>
      <c r="D1525" s="21"/>
      <c r="E1525" s="21"/>
      <c r="G1525" s="21"/>
    </row>
    <row r="1526" spans="1:7">
      <c r="A1526" s="21"/>
      <c r="B1526" s="21"/>
      <c r="C1526" s="21"/>
      <c r="D1526" s="21"/>
      <c r="E1526" s="21"/>
      <c r="G1526" s="21"/>
    </row>
    <row r="1527" spans="1:7">
      <c r="A1527" s="21"/>
      <c r="B1527" s="21"/>
      <c r="C1527" s="21"/>
      <c r="D1527" s="21"/>
      <c r="E1527" s="21"/>
      <c r="G1527" s="21"/>
    </row>
    <row r="1528" spans="1:7">
      <c r="A1528" s="21"/>
      <c r="B1528" s="21"/>
      <c r="C1528" s="21"/>
      <c r="D1528" s="21"/>
      <c r="E1528" s="21"/>
      <c r="G1528" s="21"/>
    </row>
    <row r="1529" spans="1:7">
      <c r="A1529" s="21"/>
      <c r="B1529" s="21"/>
      <c r="C1529" s="21"/>
      <c r="D1529" s="21"/>
      <c r="E1529" s="21"/>
      <c r="G1529" s="21"/>
    </row>
    <row r="1530" spans="1:7">
      <c r="A1530" s="21"/>
      <c r="B1530" s="21"/>
      <c r="C1530" s="21"/>
      <c r="D1530" s="21"/>
      <c r="E1530" s="21"/>
      <c r="G1530" s="21"/>
    </row>
    <row r="1531" spans="1:7">
      <c r="A1531" s="21"/>
      <c r="B1531" s="21"/>
      <c r="C1531" s="21"/>
      <c r="D1531" s="21"/>
      <c r="E1531" s="21"/>
      <c r="G1531" s="21"/>
    </row>
    <row r="1532" spans="1:7">
      <c r="A1532" s="21"/>
      <c r="B1532" s="21"/>
      <c r="C1532" s="21"/>
      <c r="D1532" s="21"/>
      <c r="E1532" s="21"/>
      <c r="G1532" s="21"/>
    </row>
    <row r="1533" spans="1:7">
      <c r="A1533" s="21"/>
      <c r="B1533" s="21"/>
      <c r="C1533" s="21"/>
      <c r="D1533" s="21"/>
      <c r="E1533" s="21"/>
      <c r="G1533" s="21"/>
    </row>
    <row r="1534" spans="1:7">
      <c r="A1534" s="21"/>
      <c r="B1534" s="21"/>
      <c r="C1534" s="21"/>
      <c r="D1534" s="21"/>
      <c r="E1534" s="21"/>
      <c r="G1534" s="21"/>
    </row>
    <row r="1535" spans="1:7">
      <c r="A1535" s="21"/>
      <c r="B1535" s="21"/>
      <c r="C1535" s="21"/>
      <c r="D1535" s="21"/>
      <c r="E1535" s="21"/>
      <c r="G1535" s="21"/>
    </row>
    <row r="1536" spans="1:7">
      <c r="A1536" s="21"/>
      <c r="B1536" s="21"/>
      <c r="C1536" s="21"/>
      <c r="D1536" s="21"/>
      <c r="E1536" s="21"/>
      <c r="G1536" s="21"/>
    </row>
    <row r="1537" spans="1:7">
      <c r="A1537" s="21"/>
      <c r="B1537" s="21"/>
      <c r="C1537" s="21"/>
      <c r="D1537" s="21"/>
      <c r="E1537" s="21"/>
      <c r="G1537" s="21"/>
    </row>
    <row r="1538" spans="1:7">
      <c r="A1538" s="21"/>
      <c r="B1538" s="21"/>
      <c r="C1538" s="21"/>
      <c r="D1538" s="21"/>
      <c r="E1538" s="21"/>
      <c r="G1538" s="21"/>
    </row>
    <row r="1539" spans="1:7">
      <c r="A1539" s="21"/>
      <c r="B1539" s="21"/>
      <c r="C1539" s="21"/>
      <c r="D1539" s="21"/>
      <c r="E1539" s="21"/>
      <c r="G1539" s="21"/>
    </row>
    <row r="1540" spans="1:7">
      <c r="A1540" s="21"/>
      <c r="B1540" s="21"/>
      <c r="C1540" s="21"/>
      <c r="D1540" s="21"/>
      <c r="E1540" s="21"/>
      <c r="G1540" s="21"/>
    </row>
    <row r="1541" spans="1:7">
      <c r="A1541" s="21"/>
      <c r="B1541" s="21"/>
      <c r="C1541" s="21"/>
      <c r="D1541" s="21"/>
      <c r="E1541" s="21"/>
      <c r="G1541" s="21"/>
    </row>
    <row r="1542" spans="1:7">
      <c r="A1542" s="21"/>
      <c r="B1542" s="21"/>
      <c r="C1542" s="21"/>
      <c r="D1542" s="21"/>
      <c r="E1542" s="21"/>
      <c r="G1542" s="21"/>
    </row>
    <row r="1543" spans="1:7">
      <c r="A1543" s="21"/>
      <c r="B1543" s="21"/>
      <c r="C1543" s="21"/>
      <c r="D1543" s="21"/>
      <c r="E1543" s="21"/>
      <c r="G1543" s="21"/>
    </row>
    <row r="1544" spans="1:7">
      <c r="A1544" s="21"/>
      <c r="B1544" s="21"/>
      <c r="C1544" s="21"/>
      <c r="D1544" s="21"/>
      <c r="E1544" s="21"/>
      <c r="G1544" s="21"/>
    </row>
    <row r="1545" spans="1:7">
      <c r="A1545" s="21"/>
      <c r="B1545" s="21"/>
      <c r="C1545" s="21"/>
      <c r="D1545" s="21"/>
      <c r="E1545" s="21"/>
      <c r="G1545" s="21"/>
    </row>
    <row r="1546" spans="1:7">
      <c r="A1546" s="21"/>
      <c r="B1546" s="21"/>
      <c r="C1546" s="21"/>
      <c r="D1546" s="21"/>
      <c r="E1546" s="21"/>
      <c r="G1546" s="21"/>
    </row>
    <row r="1547" spans="1:7">
      <c r="A1547" s="21"/>
      <c r="B1547" s="21"/>
      <c r="C1547" s="21"/>
      <c r="D1547" s="21"/>
      <c r="E1547" s="21"/>
      <c r="G1547" s="21"/>
    </row>
    <row r="1548" spans="1:7">
      <c r="A1548" s="21"/>
      <c r="B1548" s="21"/>
      <c r="C1548" s="21"/>
      <c r="D1548" s="21"/>
      <c r="E1548" s="21"/>
      <c r="G1548" s="21"/>
    </row>
    <row r="1549" spans="1:7">
      <c r="A1549" s="21"/>
      <c r="B1549" s="21"/>
      <c r="C1549" s="21"/>
      <c r="D1549" s="21"/>
      <c r="E1549" s="21"/>
      <c r="G1549" s="21"/>
    </row>
    <row r="1550" spans="1:7">
      <c r="A1550" s="21"/>
      <c r="B1550" s="21"/>
      <c r="C1550" s="21"/>
      <c r="D1550" s="21"/>
      <c r="E1550" s="21"/>
      <c r="G1550" s="21"/>
    </row>
    <row r="1551" spans="1:7">
      <c r="A1551" s="21"/>
      <c r="B1551" s="21"/>
      <c r="C1551" s="21"/>
      <c r="D1551" s="21"/>
      <c r="E1551" s="21"/>
      <c r="G1551" s="21"/>
    </row>
    <row r="1552" spans="1:7">
      <c r="A1552" s="21"/>
      <c r="B1552" s="21"/>
      <c r="C1552" s="21"/>
      <c r="D1552" s="21"/>
      <c r="E1552" s="21"/>
      <c r="G1552" s="21"/>
    </row>
    <row r="1553" spans="1:7">
      <c r="A1553" s="21"/>
      <c r="B1553" s="21"/>
      <c r="C1553" s="21"/>
      <c r="D1553" s="21"/>
      <c r="E1553" s="21"/>
      <c r="G1553" s="21"/>
    </row>
    <row r="1554" spans="1:7">
      <c r="A1554" s="21"/>
      <c r="B1554" s="21"/>
      <c r="C1554" s="21"/>
      <c r="D1554" s="21"/>
      <c r="E1554" s="21"/>
      <c r="G1554" s="21"/>
    </row>
    <row r="1555" spans="1:7">
      <c r="A1555" s="21"/>
      <c r="B1555" s="21"/>
      <c r="C1555" s="21"/>
      <c r="D1555" s="21"/>
      <c r="E1555" s="21"/>
      <c r="G1555" s="21"/>
    </row>
    <row r="1556" spans="1:7">
      <c r="A1556" s="21"/>
      <c r="B1556" s="21"/>
      <c r="C1556" s="21"/>
      <c r="D1556" s="21"/>
      <c r="E1556" s="21"/>
      <c r="G1556" s="21"/>
    </row>
    <row r="1557" spans="1:7">
      <c r="A1557" s="21"/>
      <c r="B1557" s="21"/>
      <c r="C1557" s="21"/>
      <c r="D1557" s="21"/>
      <c r="E1557" s="21"/>
      <c r="G1557" s="21"/>
    </row>
    <row r="1558" spans="1:7">
      <c r="A1558" s="21"/>
      <c r="B1558" s="21"/>
      <c r="C1558" s="21"/>
      <c r="D1558" s="21"/>
      <c r="E1558" s="21"/>
      <c r="G1558" s="21"/>
    </row>
    <row r="1559" spans="1:7">
      <c r="A1559" s="21"/>
      <c r="B1559" s="21"/>
      <c r="C1559" s="21"/>
      <c r="D1559" s="21"/>
      <c r="E1559" s="21"/>
      <c r="G1559" s="21"/>
    </row>
    <row r="1560" spans="1:7">
      <c r="A1560" s="21"/>
      <c r="B1560" s="21"/>
      <c r="C1560" s="21"/>
      <c r="D1560" s="21"/>
      <c r="E1560" s="21"/>
      <c r="G1560" s="21"/>
    </row>
    <row r="1561" spans="1:7">
      <c r="A1561" s="21"/>
      <c r="B1561" s="21"/>
      <c r="C1561" s="21"/>
      <c r="D1561" s="21"/>
      <c r="E1561" s="21"/>
      <c r="G1561" s="21"/>
    </row>
    <row r="1562" spans="1:7">
      <c r="A1562" s="21"/>
      <c r="B1562" s="21"/>
      <c r="C1562" s="21"/>
      <c r="D1562" s="21"/>
      <c r="E1562" s="21"/>
      <c r="G1562" s="21"/>
    </row>
    <row r="1563" spans="1:7">
      <c r="A1563" s="21"/>
      <c r="B1563" s="21"/>
      <c r="C1563" s="21"/>
      <c r="D1563" s="21"/>
      <c r="E1563" s="21"/>
      <c r="G1563" s="21"/>
    </row>
    <row r="1564" spans="1:7">
      <c r="A1564" s="21"/>
      <c r="B1564" s="21"/>
      <c r="C1564" s="21"/>
      <c r="D1564" s="21"/>
      <c r="E1564" s="21"/>
      <c r="G1564" s="21"/>
    </row>
    <row r="1565" spans="1:7">
      <c r="A1565" s="21"/>
      <c r="B1565" s="21"/>
      <c r="C1565" s="21"/>
      <c r="D1565" s="21"/>
      <c r="E1565" s="21"/>
      <c r="G1565" s="21"/>
    </row>
    <row r="1566" spans="1:7">
      <c r="A1566" s="21"/>
      <c r="B1566" s="21"/>
      <c r="C1566" s="21"/>
      <c r="D1566" s="21"/>
      <c r="E1566" s="21"/>
      <c r="G1566" s="21"/>
    </row>
    <row r="1567" spans="1:7">
      <c r="A1567" s="21"/>
      <c r="B1567" s="21"/>
      <c r="C1567" s="21"/>
      <c r="D1567" s="21"/>
      <c r="E1567" s="21"/>
      <c r="G1567" s="21"/>
    </row>
    <row r="1568" spans="1:7">
      <c r="A1568" s="21"/>
      <c r="B1568" s="21"/>
      <c r="C1568" s="21"/>
      <c r="D1568" s="21"/>
      <c r="E1568" s="21"/>
      <c r="G1568" s="21"/>
    </row>
    <row r="1569" spans="1:7">
      <c r="A1569" s="21"/>
      <c r="B1569" s="21"/>
      <c r="C1569" s="21"/>
      <c r="D1569" s="21"/>
      <c r="E1569" s="21"/>
      <c r="G1569" s="21"/>
    </row>
    <row r="1570" spans="1:7">
      <c r="A1570" s="21"/>
      <c r="B1570" s="21"/>
      <c r="C1570" s="21"/>
      <c r="D1570" s="21"/>
      <c r="E1570" s="21"/>
      <c r="G1570" s="21"/>
    </row>
    <row r="1571" spans="1:7">
      <c r="A1571" s="21"/>
      <c r="B1571" s="21"/>
      <c r="C1571" s="21"/>
      <c r="D1571" s="21"/>
      <c r="E1571" s="21"/>
      <c r="G1571" s="21"/>
    </row>
    <row r="1572" spans="1:7">
      <c r="A1572" s="21"/>
      <c r="B1572" s="21"/>
      <c r="C1572" s="21"/>
      <c r="D1572" s="21"/>
      <c r="E1572" s="21"/>
      <c r="G1572" s="21"/>
    </row>
    <row r="1573" spans="1:7">
      <c r="A1573" s="21"/>
      <c r="B1573" s="21"/>
      <c r="C1573" s="21"/>
      <c r="D1573" s="21"/>
      <c r="E1573" s="21"/>
      <c r="G1573" s="21"/>
    </row>
    <row r="1574" spans="1:7">
      <c r="A1574" s="21"/>
      <c r="B1574" s="21"/>
      <c r="C1574" s="21"/>
      <c r="D1574" s="21"/>
      <c r="E1574" s="21"/>
      <c r="G1574" s="21"/>
    </row>
    <row r="1575" spans="1:7">
      <c r="A1575" s="21"/>
      <c r="B1575" s="21"/>
      <c r="C1575" s="21"/>
      <c r="D1575" s="21"/>
      <c r="E1575" s="21"/>
      <c r="G1575" s="21"/>
    </row>
    <row r="1576" spans="1:7">
      <c r="A1576" s="21"/>
      <c r="B1576" s="21"/>
      <c r="C1576" s="21"/>
      <c r="D1576" s="21"/>
      <c r="E1576" s="21"/>
      <c r="G1576" s="21"/>
    </row>
    <row r="1577" spans="1:7">
      <c r="A1577" s="21"/>
      <c r="B1577" s="21"/>
      <c r="C1577" s="21"/>
      <c r="D1577" s="21"/>
      <c r="E1577" s="21"/>
      <c r="G1577" s="21"/>
    </row>
    <row r="1578" spans="1:7">
      <c r="A1578" s="21"/>
      <c r="B1578" s="21"/>
      <c r="C1578" s="21"/>
      <c r="D1578" s="21"/>
      <c r="E1578" s="21"/>
      <c r="G1578" s="21"/>
    </row>
    <row r="1579" spans="1:7">
      <c r="A1579" s="21"/>
      <c r="B1579" s="21"/>
      <c r="C1579" s="21"/>
      <c r="D1579" s="21"/>
      <c r="E1579" s="21"/>
      <c r="G1579" s="21"/>
    </row>
    <row r="1580" spans="1:7">
      <c r="A1580" s="21"/>
      <c r="B1580" s="21"/>
      <c r="C1580" s="21"/>
      <c r="D1580" s="21"/>
      <c r="E1580" s="21"/>
      <c r="G1580" s="21"/>
    </row>
    <row r="1581" spans="1:7">
      <c r="A1581" s="21"/>
      <c r="B1581" s="21"/>
      <c r="C1581" s="21"/>
      <c r="D1581" s="21"/>
      <c r="E1581" s="21"/>
      <c r="G1581" s="21"/>
    </row>
    <row r="1582" spans="1:7">
      <c r="A1582" s="21"/>
      <c r="B1582" s="21"/>
      <c r="C1582" s="21"/>
      <c r="D1582" s="21"/>
      <c r="E1582" s="21"/>
      <c r="G1582" s="21"/>
    </row>
    <row r="1583" spans="1:7">
      <c r="A1583" s="21"/>
      <c r="B1583" s="21"/>
      <c r="C1583" s="21"/>
      <c r="D1583" s="21"/>
      <c r="E1583" s="21"/>
      <c r="G1583" s="21"/>
    </row>
    <row r="1584" spans="1:7">
      <c r="A1584" s="21"/>
      <c r="B1584" s="21"/>
      <c r="C1584" s="21"/>
      <c r="D1584" s="21"/>
      <c r="E1584" s="21"/>
      <c r="G1584" s="21"/>
    </row>
    <row r="1585" spans="1:7">
      <c r="A1585" s="21"/>
      <c r="B1585" s="21"/>
      <c r="C1585" s="21"/>
      <c r="D1585" s="21"/>
      <c r="E1585" s="21"/>
      <c r="G1585" s="21"/>
    </row>
    <row r="1586" spans="1:7">
      <c r="A1586" s="21"/>
      <c r="B1586" s="21"/>
      <c r="C1586" s="21"/>
      <c r="D1586" s="21"/>
      <c r="E1586" s="21"/>
      <c r="G1586" s="21"/>
    </row>
    <row r="1587" spans="1:7">
      <c r="A1587" s="21"/>
      <c r="B1587" s="21"/>
      <c r="C1587" s="21"/>
      <c r="D1587" s="21"/>
      <c r="E1587" s="21"/>
      <c r="G1587" s="21"/>
    </row>
    <row r="1588" spans="1:7">
      <c r="A1588" s="21"/>
      <c r="B1588" s="21"/>
      <c r="C1588" s="21"/>
      <c r="D1588" s="21"/>
      <c r="E1588" s="21"/>
      <c r="G1588" s="21"/>
    </row>
    <row r="1589" spans="1:7">
      <c r="A1589" s="21"/>
      <c r="B1589" s="21"/>
      <c r="C1589" s="21"/>
      <c r="D1589" s="21"/>
      <c r="E1589" s="21"/>
      <c r="G1589" s="21"/>
    </row>
    <row r="1590" spans="1:7">
      <c r="A1590" s="21"/>
      <c r="B1590" s="21"/>
      <c r="C1590" s="21"/>
      <c r="D1590" s="21"/>
      <c r="E1590" s="21"/>
      <c r="G1590" s="21"/>
    </row>
    <row r="1591" spans="1:7">
      <c r="A1591" s="21"/>
      <c r="B1591" s="21"/>
      <c r="C1591" s="21"/>
      <c r="D1591" s="21"/>
      <c r="E1591" s="21"/>
      <c r="G1591" s="21"/>
    </row>
    <row r="1592" spans="1:7">
      <c r="A1592" s="21"/>
      <c r="B1592" s="21"/>
      <c r="C1592" s="21"/>
      <c r="D1592" s="21"/>
      <c r="E1592" s="21"/>
      <c r="G1592" s="21"/>
    </row>
    <row r="1593" spans="1:7">
      <c r="A1593" s="21"/>
      <c r="B1593" s="21"/>
      <c r="C1593" s="21"/>
      <c r="D1593" s="21"/>
      <c r="E1593" s="21"/>
      <c r="G1593" s="21"/>
    </row>
    <row r="1594" spans="1:7">
      <c r="A1594" s="21"/>
      <c r="B1594" s="21"/>
      <c r="C1594" s="21"/>
      <c r="D1594" s="21"/>
      <c r="E1594" s="21"/>
      <c r="G1594" s="21"/>
    </row>
    <row r="1595" spans="1:7">
      <c r="A1595" s="21"/>
      <c r="B1595" s="21"/>
      <c r="C1595" s="21"/>
      <c r="D1595" s="21"/>
      <c r="E1595" s="21"/>
      <c r="G1595" s="21"/>
    </row>
    <row r="1596" spans="1:7">
      <c r="A1596" s="21"/>
      <c r="B1596" s="21"/>
      <c r="C1596" s="21"/>
      <c r="D1596" s="21"/>
      <c r="E1596" s="21"/>
      <c r="G1596" s="21"/>
    </row>
    <row r="1597" spans="1:7">
      <c r="A1597" s="21"/>
      <c r="B1597" s="21"/>
      <c r="C1597" s="21"/>
      <c r="D1597" s="21"/>
      <c r="E1597" s="21"/>
      <c r="G1597" s="21"/>
    </row>
    <row r="1598" spans="1:7">
      <c r="A1598" s="21"/>
      <c r="B1598" s="21"/>
      <c r="C1598" s="21"/>
      <c r="D1598" s="21"/>
      <c r="E1598" s="21"/>
      <c r="G1598" s="21"/>
    </row>
    <row r="1599" spans="1:7">
      <c r="A1599" s="21"/>
      <c r="B1599" s="21"/>
      <c r="C1599" s="21"/>
      <c r="D1599" s="21"/>
      <c r="E1599" s="21"/>
      <c r="G1599" s="21"/>
    </row>
    <row r="1600" spans="1:7">
      <c r="A1600" s="21"/>
      <c r="B1600" s="21"/>
      <c r="C1600" s="21"/>
      <c r="D1600" s="21"/>
      <c r="E1600" s="21"/>
      <c r="G1600" s="21"/>
    </row>
    <row r="1601" spans="1:7">
      <c r="A1601" s="21"/>
      <c r="B1601" s="21"/>
      <c r="C1601" s="21"/>
      <c r="D1601" s="21"/>
      <c r="E1601" s="21"/>
      <c r="G1601" s="21"/>
    </row>
    <row r="1602" spans="1:7">
      <c r="A1602" s="21"/>
      <c r="B1602" s="21"/>
      <c r="C1602" s="21"/>
      <c r="D1602" s="21"/>
      <c r="E1602" s="21"/>
      <c r="G1602" s="21"/>
    </row>
    <row r="1603" spans="1:7">
      <c r="A1603" s="21"/>
      <c r="B1603" s="21"/>
      <c r="C1603" s="21"/>
      <c r="D1603" s="21"/>
      <c r="E1603" s="21"/>
      <c r="G1603" s="21"/>
    </row>
    <row r="1604" spans="1:7">
      <c r="A1604" s="21"/>
      <c r="B1604" s="21"/>
      <c r="C1604" s="21"/>
      <c r="D1604" s="21"/>
      <c r="E1604" s="21"/>
      <c r="G1604" s="21"/>
    </row>
    <row r="1605" spans="1:7">
      <c r="A1605" s="21"/>
      <c r="B1605" s="21"/>
      <c r="C1605" s="21"/>
      <c r="D1605" s="21"/>
      <c r="E1605" s="21"/>
      <c r="G1605" s="21"/>
    </row>
    <row r="1606" spans="1:7">
      <c r="A1606" s="21"/>
      <c r="B1606" s="21"/>
      <c r="C1606" s="21"/>
      <c r="D1606" s="21"/>
      <c r="E1606" s="21"/>
      <c r="G1606" s="21"/>
    </row>
    <row r="1607" spans="1:7">
      <c r="A1607" s="21"/>
      <c r="B1607" s="21"/>
      <c r="C1607" s="21"/>
      <c r="D1607" s="21"/>
      <c r="E1607" s="21"/>
      <c r="G1607" s="21"/>
    </row>
    <row r="1608" spans="1:7">
      <c r="A1608" s="21"/>
      <c r="B1608" s="21"/>
      <c r="C1608" s="21"/>
      <c r="D1608" s="21"/>
      <c r="E1608" s="21"/>
      <c r="G1608" s="21"/>
    </row>
    <row r="1609" spans="1:7">
      <c r="A1609" s="21"/>
      <c r="B1609" s="21"/>
      <c r="C1609" s="21"/>
      <c r="D1609" s="21"/>
      <c r="E1609" s="21"/>
      <c r="G1609" s="21"/>
    </row>
    <row r="1610" spans="1:7">
      <c r="A1610" s="21"/>
      <c r="B1610" s="21"/>
      <c r="C1610" s="21"/>
      <c r="D1610" s="21"/>
      <c r="E1610" s="21"/>
      <c r="G1610" s="21"/>
    </row>
    <row r="1611" spans="1:7">
      <c r="A1611" s="21"/>
      <c r="B1611" s="21"/>
      <c r="C1611" s="21"/>
      <c r="D1611" s="21"/>
      <c r="E1611" s="21"/>
      <c r="G1611" s="21"/>
    </row>
    <row r="1612" spans="1:7">
      <c r="A1612" s="21"/>
      <c r="B1612" s="21"/>
      <c r="C1612" s="21"/>
      <c r="D1612" s="21"/>
      <c r="E1612" s="21"/>
      <c r="G1612" s="21"/>
    </row>
    <row r="1613" spans="1:7">
      <c r="A1613" s="21"/>
      <c r="B1613" s="21"/>
      <c r="C1613" s="21"/>
      <c r="D1613" s="21"/>
      <c r="E1613" s="21"/>
      <c r="G1613" s="21"/>
    </row>
    <row r="1614" spans="1:7">
      <c r="A1614" s="21"/>
      <c r="B1614" s="21"/>
      <c r="C1614" s="21"/>
      <c r="D1614" s="21"/>
      <c r="E1614" s="21"/>
      <c r="G1614" s="21"/>
    </row>
    <row r="1615" spans="1:7">
      <c r="A1615" s="21"/>
      <c r="B1615" s="21"/>
      <c r="C1615" s="21"/>
      <c r="D1615" s="21"/>
      <c r="E1615" s="21"/>
      <c r="G1615" s="21"/>
    </row>
    <row r="1616" spans="1:7">
      <c r="A1616" s="21"/>
      <c r="B1616" s="21"/>
      <c r="C1616" s="21"/>
      <c r="D1616" s="21"/>
      <c r="E1616" s="21"/>
      <c r="G1616" s="21"/>
    </row>
    <row r="1617" spans="1:7">
      <c r="A1617" s="21"/>
      <c r="B1617" s="21"/>
      <c r="C1617" s="21"/>
      <c r="D1617" s="21"/>
      <c r="E1617" s="21"/>
      <c r="G1617" s="21"/>
    </row>
    <row r="1618" spans="1:7">
      <c r="A1618" s="21"/>
      <c r="B1618" s="21"/>
      <c r="C1618" s="21"/>
      <c r="D1618" s="21"/>
      <c r="E1618" s="21"/>
      <c r="G1618" s="21"/>
    </row>
    <row r="1619" spans="1:7">
      <c r="A1619" s="21"/>
      <c r="B1619" s="21"/>
      <c r="C1619" s="21"/>
      <c r="D1619" s="21"/>
      <c r="E1619" s="21"/>
      <c r="G1619" s="21"/>
    </row>
    <row r="1620" spans="1:7">
      <c r="A1620" s="21"/>
      <c r="B1620" s="21"/>
      <c r="C1620" s="21"/>
      <c r="D1620" s="21"/>
      <c r="E1620" s="21"/>
      <c r="G1620" s="21"/>
    </row>
    <row r="1621" spans="1:7">
      <c r="A1621" s="21"/>
      <c r="B1621" s="21"/>
      <c r="C1621" s="21"/>
      <c r="D1621" s="21"/>
      <c r="E1621" s="21"/>
      <c r="G1621" s="21"/>
    </row>
    <row r="1622" spans="1:7">
      <c r="A1622" s="21"/>
      <c r="B1622" s="21"/>
      <c r="C1622" s="21"/>
      <c r="D1622" s="21"/>
      <c r="E1622" s="21"/>
      <c r="G1622" s="21"/>
    </row>
    <row r="1623" spans="1:7">
      <c r="A1623" s="21"/>
      <c r="B1623" s="21"/>
      <c r="C1623" s="21"/>
      <c r="D1623" s="21"/>
      <c r="E1623" s="21"/>
      <c r="G1623" s="21"/>
    </row>
    <row r="1624" spans="1:7">
      <c r="A1624" s="21"/>
      <c r="B1624" s="21"/>
      <c r="C1624" s="21"/>
      <c r="D1624" s="21"/>
      <c r="E1624" s="21"/>
      <c r="G1624" s="21"/>
    </row>
    <row r="1625" spans="1:7">
      <c r="A1625" s="21"/>
      <c r="B1625" s="21"/>
      <c r="C1625" s="21"/>
      <c r="D1625" s="21"/>
      <c r="E1625" s="21"/>
      <c r="G1625" s="21"/>
    </row>
    <row r="1626" spans="1:7">
      <c r="A1626" s="21"/>
      <c r="B1626" s="21"/>
      <c r="C1626" s="21"/>
      <c r="D1626" s="21"/>
      <c r="E1626" s="21"/>
      <c r="G1626" s="21"/>
    </row>
    <row r="1627" spans="1:7">
      <c r="A1627" s="21"/>
      <c r="B1627" s="21"/>
      <c r="C1627" s="21"/>
      <c r="D1627" s="21"/>
      <c r="E1627" s="21"/>
      <c r="G1627" s="21"/>
    </row>
    <row r="1628" spans="1:7">
      <c r="A1628" s="21"/>
      <c r="B1628" s="21"/>
      <c r="C1628" s="21"/>
      <c r="D1628" s="21"/>
      <c r="E1628" s="21"/>
      <c r="G1628" s="21"/>
    </row>
    <row r="1629" spans="1:7">
      <c r="A1629" s="21"/>
      <c r="B1629" s="21"/>
      <c r="C1629" s="21"/>
      <c r="D1629" s="21"/>
      <c r="E1629" s="21"/>
      <c r="G1629" s="21"/>
    </row>
    <row r="1630" spans="1:7">
      <c r="A1630" s="21"/>
      <c r="B1630" s="21"/>
      <c r="C1630" s="21"/>
      <c r="D1630" s="21"/>
      <c r="E1630" s="21"/>
      <c r="G1630" s="21"/>
    </row>
    <row r="1631" spans="1:7">
      <c r="A1631" s="21"/>
      <c r="B1631" s="21"/>
      <c r="C1631" s="21"/>
      <c r="D1631" s="21"/>
      <c r="E1631" s="21"/>
      <c r="G1631" s="21"/>
    </row>
    <row r="1632" spans="1:7">
      <c r="A1632" s="21"/>
      <c r="B1632" s="21"/>
      <c r="C1632" s="21"/>
      <c r="D1632" s="21"/>
      <c r="E1632" s="21"/>
      <c r="G1632" s="21"/>
    </row>
    <row r="1633" spans="1:7">
      <c r="A1633" s="21"/>
      <c r="B1633" s="21"/>
      <c r="C1633" s="21"/>
      <c r="D1633" s="21"/>
      <c r="E1633" s="21"/>
      <c r="G1633" s="21"/>
    </row>
    <row r="1634" spans="1:7">
      <c r="A1634" s="21"/>
      <c r="B1634" s="21"/>
      <c r="C1634" s="21"/>
      <c r="D1634" s="21"/>
      <c r="E1634" s="21"/>
      <c r="G1634" s="21"/>
    </row>
    <row r="1635" spans="1:7">
      <c r="A1635" s="21"/>
      <c r="B1635" s="21"/>
      <c r="C1635" s="21"/>
      <c r="D1635" s="21"/>
      <c r="E1635" s="21"/>
      <c r="G1635" s="21"/>
    </row>
    <row r="1636" spans="1:7">
      <c r="A1636" s="21"/>
      <c r="B1636" s="21"/>
      <c r="C1636" s="21"/>
      <c r="D1636" s="21"/>
      <c r="E1636" s="21"/>
      <c r="G1636" s="21"/>
    </row>
    <row r="1637" spans="1:7">
      <c r="A1637" s="21"/>
      <c r="B1637" s="21"/>
      <c r="C1637" s="21"/>
      <c r="D1637" s="21"/>
      <c r="E1637" s="21"/>
      <c r="G1637" s="21"/>
    </row>
    <row r="1638" spans="1:7">
      <c r="A1638" s="21"/>
      <c r="B1638" s="21"/>
      <c r="C1638" s="21"/>
      <c r="D1638" s="21"/>
      <c r="E1638" s="21"/>
      <c r="G1638" s="21"/>
    </row>
    <row r="1639" spans="1:7">
      <c r="A1639" s="21"/>
      <c r="B1639" s="21"/>
      <c r="C1639" s="21"/>
      <c r="D1639" s="21"/>
      <c r="E1639" s="21"/>
      <c r="G1639" s="21"/>
    </row>
    <row r="1640" spans="1:7">
      <c r="A1640" s="21"/>
      <c r="B1640" s="21"/>
      <c r="C1640" s="21"/>
      <c r="D1640" s="21"/>
      <c r="E1640" s="21"/>
      <c r="G1640" s="21"/>
    </row>
    <row r="1641" spans="1:7">
      <c r="A1641" s="21"/>
      <c r="B1641" s="21"/>
      <c r="C1641" s="21"/>
      <c r="D1641" s="21"/>
      <c r="E1641" s="21"/>
      <c r="G1641" s="21"/>
    </row>
    <row r="1642" spans="1:7">
      <c r="A1642" s="21"/>
      <c r="B1642" s="21"/>
      <c r="C1642" s="21"/>
      <c r="D1642" s="21"/>
      <c r="E1642" s="21"/>
      <c r="G1642" s="21"/>
    </row>
    <row r="1643" spans="1:7">
      <c r="A1643" s="21"/>
      <c r="B1643" s="21"/>
      <c r="C1643" s="21"/>
      <c r="D1643" s="21"/>
      <c r="E1643" s="21"/>
      <c r="G1643" s="21"/>
    </row>
    <row r="1644" spans="1:7">
      <c r="A1644" s="21"/>
      <c r="B1644" s="21"/>
      <c r="C1644" s="21"/>
      <c r="D1644" s="21"/>
      <c r="E1644" s="21"/>
      <c r="G1644" s="21"/>
    </row>
    <row r="1645" spans="1:7">
      <c r="A1645" s="21"/>
      <c r="B1645" s="21"/>
      <c r="C1645" s="21"/>
      <c r="D1645" s="21"/>
      <c r="E1645" s="21"/>
      <c r="G1645" s="21"/>
    </row>
    <row r="1646" spans="1:7">
      <c r="A1646" s="21"/>
      <c r="B1646" s="21"/>
      <c r="C1646" s="21"/>
      <c r="D1646" s="21"/>
      <c r="E1646" s="21"/>
      <c r="G1646" s="21"/>
    </row>
    <row r="1647" spans="1:7">
      <c r="A1647" s="21"/>
      <c r="B1647" s="21"/>
      <c r="C1647" s="21"/>
      <c r="D1647" s="21"/>
      <c r="E1647" s="21"/>
      <c r="G1647" s="21"/>
    </row>
    <row r="1648" spans="1:7">
      <c r="A1648" s="21"/>
      <c r="B1648" s="21"/>
      <c r="C1648" s="21"/>
      <c r="D1648" s="21"/>
      <c r="E1648" s="21"/>
      <c r="G1648" s="21"/>
    </row>
    <row r="1649" spans="1:7">
      <c r="A1649" s="21"/>
      <c r="B1649" s="21"/>
      <c r="C1649" s="21"/>
      <c r="D1649" s="21"/>
      <c r="E1649" s="21"/>
      <c r="G1649" s="21"/>
    </row>
    <row r="1650" spans="1:7">
      <c r="A1650" s="21"/>
      <c r="B1650" s="21"/>
      <c r="C1650" s="21"/>
      <c r="D1650" s="21"/>
      <c r="E1650" s="21"/>
      <c r="G1650" s="21"/>
    </row>
    <row r="1651" spans="1:7">
      <c r="A1651" s="21"/>
      <c r="B1651" s="21"/>
      <c r="C1651" s="21"/>
      <c r="D1651" s="21"/>
      <c r="E1651" s="21"/>
      <c r="G1651" s="21"/>
    </row>
    <row r="1652" spans="1:7">
      <c r="A1652" s="21"/>
      <c r="B1652" s="21"/>
      <c r="C1652" s="21"/>
      <c r="D1652" s="21"/>
      <c r="E1652" s="21"/>
      <c r="G1652" s="21"/>
    </row>
    <row r="1653" spans="1:7">
      <c r="A1653" s="21"/>
      <c r="B1653" s="21"/>
      <c r="C1653" s="21"/>
      <c r="D1653" s="21"/>
      <c r="E1653" s="21"/>
      <c r="G1653" s="21"/>
    </row>
    <row r="1654" spans="1:7">
      <c r="A1654" s="21"/>
      <c r="B1654" s="21"/>
      <c r="C1654" s="21"/>
      <c r="D1654" s="21"/>
      <c r="E1654" s="21"/>
      <c r="G1654" s="21"/>
    </row>
    <row r="1655" spans="1:7">
      <c r="A1655" s="21"/>
      <c r="B1655" s="21"/>
      <c r="C1655" s="21"/>
      <c r="D1655" s="21"/>
      <c r="E1655" s="21"/>
      <c r="G1655" s="21"/>
    </row>
    <row r="1656" spans="1:7">
      <c r="A1656" s="21"/>
      <c r="B1656" s="21"/>
      <c r="C1656" s="21"/>
      <c r="D1656" s="21"/>
      <c r="E1656" s="21"/>
      <c r="G1656" s="21"/>
    </row>
    <row r="1657" spans="1:7">
      <c r="A1657" s="21"/>
      <c r="B1657" s="21"/>
      <c r="C1657" s="21"/>
      <c r="D1657" s="21"/>
      <c r="E1657" s="21"/>
      <c r="G1657" s="21"/>
    </row>
    <row r="1658" spans="1:7">
      <c r="A1658" s="21"/>
      <c r="B1658" s="21"/>
      <c r="C1658" s="21"/>
      <c r="D1658" s="21"/>
      <c r="E1658" s="21"/>
      <c r="G1658" s="21"/>
    </row>
    <row r="1659" spans="1:7">
      <c r="A1659" s="21"/>
      <c r="B1659" s="21"/>
      <c r="C1659" s="21"/>
      <c r="D1659" s="21"/>
      <c r="E1659" s="21"/>
      <c r="G1659" s="21"/>
    </row>
    <row r="1660" spans="1:7">
      <c r="A1660" s="21"/>
      <c r="B1660" s="21"/>
      <c r="C1660" s="21"/>
      <c r="D1660" s="21"/>
      <c r="E1660" s="21"/>
      <c r="G1660" s="21"/>
    </row>
    <row r="1661" spans="1:7">
      <c r="A1661" s="21"/>
      <c r="B1661" s="21"/>
      <c r="C1661" s="21"/>
      <c r="D1661" s="21"/>
      <c r="E1661" s="21"/>
      <c r="G1661" s="21"/>
    </row>
    <row r="1662" spans="1:7">
      <c r="A1662" s="21"/>
      <c r="B1662" s="21"/>
      <c r="C1662" s="21"/>
      <c r="D1662" s="21"/>
      <c r="E1662" s="21"/>
      <c r="G1662" s="21"/>
    </row>
    <row r="1663" spans="1:7">
      <c r="A1663" s="21"/>
      <c r="B1663" s="21"/>
      <c r="C1663" s="21"/>
      <c r="D1663" s="21"/>
      <c r="E1663" s="21"/>
      <c r="G1663" s="21"/>
    </row>
    <row r="1664" spans="1:7">
      <c r="A1664" s="21"/>
      <c r="B1664" s="21"/>
      <c r="C1664" s="21"/>
      <c r="D1664" s="21"/>
      <c r="E1664" s="21"/>
      <c r="G1664" s="21"/>
    </row>
    <row r="1665" spans="1:7">
      <c r="A1665" s="21"/>
      <c r="B1665" s="21"/>
      <c r="C1665" s="21"/>
      <c r="D1665" s="21"/>
      <c r="E1665" s="21"/>
      <c r="G1665" s="21"/>
    </row>
    <row r="1666" spans="1:7">
      <c r="A1666" s="21"/>
      <c r="B1666" s="21"/>
      <c r="C1666" s="21"/>
      <c r="D1666" s="21"/>
      <c r="E1666" s="21"/>
      <c r="G1666" s="21"/>
    </row>
    <row r="1667" spans="1:7">
      <c r="A1667" s="21"/>
      <c r="B1667" s="21"/>
      <c r="C1667" s="21"/>
      <c r="D1667" s="21"/>
      <c r="E1667" s="21"/>
      <c r="G1667" s="21"/>
    </row>
    <row r="1668" spans="1:7">
      <c r="A1668" s="21"/>
      <c r="B1668" s="21"/>
      <c r="C1668" s="21"/>
      <c r="D1668" s="21"/>
      <c r="E1668" s="21"/>
      <c r="G1668" s="21"/>
    </row>
    <row r="1669" spans="1:7">
      <c r="A1669" s="21"/>
      <c r="B1669" s="21"/>
      <c r="C1669" s="21"/>
      <c r="D1669" s="21"/>
      <c r="E1669" s="21"/>
      <c r="G1669" s="21"/>
    </row>
    <row r="1670" spans="1:7">
      <c r="A1670" s="21"/>
      <c r="B1670" s="21"/>
      <c r="C1670" s="21"/>
      <c r="D1670" s="21"/>
      <c r="E1670" s="21"/>
      <c r="G1670" s="21"/>
    </row>
    <row r="1671" spans="1:7">
      <c r="A1671" s="21"/>
      <c r="B1671" s="21"/>
      <c r="C1671" s="21"/>
      <c r="D1671" s="21"/>
      <c r="E1671" s="21"/>
      <c r="G1671" s="21"/>
    </row>
    <row r="1672" spans="1:7">
      <c r="A1672" s="21"/>
      <c r="B1672" s="21"/>
      <c r="C1672" s="21"/>
      <c r="D1672" s="21"/>
      <c r="E1672" s="21"/>
      <c r="G1672" s="21"/>
    </row>
    <row r="1673" spans="1:7">
      <c r="A1673" s="21"/>
      <c r="B1673" s="21"/>
      <c r="C1673" s="21"/>
      <c r="D1673" s="21"/>
      <c r="E1673" s="21"/>
      <c r="G1673" s="21"/>
    </row>
    <row r="1674" spans="1:7">
      <c r="A1674" s="21"/>
      <c r="B1674" s="21"/>
      <c r="C1674" s="21"/>
      <c r="D1674" s="21"/>
      <c r="E1674" s="21"/>
      <c r="G1674" s="21"/>
    </row>
    <row r="1675" spans="1:7">
      <c r="A1675" s="21"/>
      <c r="B1675" s="21"/>
      <c r="C1675" s="21"/>
      <c r="D1675" s="21"/>
      <c r="E1675" s="21"/>
      <c r="G1675" s="21"/>
    </row>
    <row r="1676" spans="1:7">
      <c r="A1676" s="21"/>
      <c r="B1676" s="21"/>
      <c r="C1676" s="21"/>
      <c r="D1676" s="21"/>
      <c r="E1676" s="21"/>
      <c r="G1676" s="21"/>
    </row>
    <row r="1677" spans="1:7">
      <c r="A1677" s="21"/>
      <c r="B1677" s="21"/>
      <c r="C1677" s="21"/>
      <c r="D1677" s="21"/>
      <c r="E1677" s="21"/>
      <c r="G1677" s="21"/>
    </row>
    <row r="1678" spans="1:7">
      <c r="A1678" s="21"/>
      <c r="B1678" s="21"/>
      <c r="C1678" s="21"/>
      <c r="D1678" s="21"/>
      <c r="E1678" s="21"/>
      <c r="G1678" s="21"/>
    </row>
    <row r="1679" spans="1:7">
      <c r="A1679" s="21"/>
      <c r="B1679" s="21"/>
      <c r="C1679" s="21"/>
      <c r="D1679" s="21"/>
      <c r="E1679" s="21"/>
      <c r="G1679" s="21"/>
    </row>
    <row r="1680" spans="1:7">
      <c r="A1680" s="21"/>
      <c r="B1680" s="21"/>
      <c r="C1680" s="21"/>
      <c r="D1680" s="21"/>
      <c r="E1680" s="21"/>
      <c r="G1680" s="21"/>
    </row>
    <row r="1681" spans="1:7">
      <c r="A1681" s="21"/>
      <c r="B1681" s="21"/>
      <c r="C1681" s="21"/>
      <c r="D1681" s="21"/>
      <c r="E1681" s="21"/>
      <c r="G1681" s="21"/>
    </row>
    <row r="1682" spans="1:7">
      <c r="A1682" s="21"/>
      <c r="B1682" s="21"/>
      <c r="C1682" s="21"/>
      <c r="D1682" s="21"/>
      <c r="E1682" s="21"/>
      <c r="G1682" s="21"/>
    </row>
    <row r="1683" spans="1:7">
      <c r="A1683" s="21"/>
      <c r="B1683" s="21"/>
      <c r="C1683" s="21"/>
      <c r="D1683" s="21"/>
      <c r="E1683" s="21"/>
      <c r="G1683" s="21"/>
    </row>
    <row r="1684" spans="1:7">
      <c r="A1684" s="21"/>
      <c r="B1684" s="21"/>
      <c r="C1684" s="21"/>
      <c r="D1684" s="21"/>
      <c r="E1684" s="21"/>
      <c r="G1684" s="21"/>
    </row>
    <row r="1685" spans="1:7">
      <c r="A1685" s="21"/>
      <c r="B1685" s="21"/>
      <c r="C1685" s="21"/>
      <c r="D1685" s="21"/>
      <c r="E1685" s="21"/>
      <c r="G1685" s="21"/>
    </row>
    <row r="1686" spans="1:7">
      <c r="A1686" s="21"/>
      <c r="B1686" s="21"/>
      <c r="C1686" s="21"/>
      <c r="D1686" s="21"/>
      <c r="E1686" s="21"/>
      <c r="G1686" s="21"/>
    </row>
    <row r="1687" spans="1:7">
      <c r="A1687" s="21"/>
      <c r="B1687" s="21"/>
      <c r="C1687" s="21"/>
      <c r="D1687" s="21"/>
      <c r="E1687" s="21"/>
      <c r="G1687" s="21"/>
    </row>
    <row r="1688" spans="1:7">
      <c r="A1688" s="21"/>
      <c r="B1688" s="21"/>
      <c r="C1688" s="21"/>
      <c r="D1688" s="21"/>
      <c r="E1688" s="21"/>
      <c r="G1688" s="21"/>
    </row>
    <row r="1689" spans="1:7">
      <c r="A1689" s="21"/>
      <c r="B1689" s="21"/>
      <c r="C1689" s="21"/>
      <c r="D1689" s="21"/>
      <c r="E1689" s="21"/>
      <c r="G1689" s="21"/>
    </row>
    <row r="1690" spans="1:7">
      <c r="A1690" s="21"/>
      <c r="B1690" s="21"/>
      <c r="C1690" s="21"/>
      <c r="D1690" s="21"/>
      <c r="E1690" s="21"/>
      <c r="G1690" s="21"/>
    </row>
    <row r="1691" spans="1:7">
      <c r="A1691" s="21"/>
      <c r="B1691" s="21"/>
      <c r="C1691" s="21"/>
      <c r="D1691" s="21"/>
      <c r="E1691" s="21"/>
      <c r="G1691" s="21"/>
    </row>
    <row r="1692" spans="1:7">
      <c r="A1692" s="21"/>
      <c r="B1692" s="21"/>
      <c r="C1692" s="21"/>
      <c r="D1692" s="21"/>
      <c r="E1692" s="21"/>
      <c r="G1692" s="21"/>
    </row>
    <row r="1693" spans="1:7">
      <c r="A1693" s="21"/>
      <c r="B1693" s="21"/>
      <c r="C1693" s="21"/>
      <c r="D1693" s="21"/>
      <c r="E1693" s="21"/>
      <c r="G1693" s="21"/>
    </row>
    <row r="1694" spans="1:7">
      <c r="A1694" s="21"/>
      <c r="B1694" s="21"/>
      <c r="C1694" s="21"/>
      <c r="D1694" s="21"/>
      <c r="E1694" s="21"/>
      <c r="G1694" s="21"/>
    </row>
    <row r="1695" spans="1:7">
      <c r="A1695" s="21"/>
      <c r="B1695" s="21"/>
      <c r="C1695" s="21"/>
      <c r="D1695" s="21"/>
      <c r="E1695" s="21"/>
      <c r="G1695" s="21"/>
    </row>
    <row r="1696" spans="1:7">
      <c r="A1696" s="21"/>
      <c r="B1696" s="21"/>
      <c r="C1696" s="21"/>
      <c r="D1696" s="21"/>
      <c r="E1696" s="21"/>
      <c r="G1696" s="21"/>
    </row>
    <row r="1697" spans="1:7">
      <c r="A1697" s="21"/>
      <c r="B1697" s="21"/>
      <c r="C1697" s="21"/>
      <c r="D1697" s="21"/>
      <c r="E1697" s="21"/>
      <c r="G1697" s="21"/>
    </row>
    <row r="1698" spans="1:7">
      <c r="A1698" s="21"/>
      <c r="B1698" s="21"/>
      <c r="C1698" s="21"/>
      <c r="D1698" s="21"/>
      <c r="E1698" s="21"/>
      <c r="G1698" s="21"/>
    </row>
    <row r="1699" spans="1:7">
      <c r="A1699" s="21"/>
      <c r="B1699" s="21"/>
      <c r="C1699" s="21"/>
      <c r="D1699" s="21"/>
      <c r="E1699" s="21"/>
      <c r="G1699" s="21"/>
    </row>
    <row r="1700" spans="1:7">
      <c r="A1700" s="21"/>
      <c r="B1700" s="21"/>
      <c r="C1700" s="21"/>
      <c r="D1700" s="21"/>
      <c r="E1700" s="21"/>
      <c r="G1700" s="21"/>
    </row>
    <row r="1701" spans="1:7">
      <c r="A1701" s="21"/>
      <c r="B1701" s="21"/>
      <c r="C1701" s="21"/>
      <c r="D1701" s="21"/>
      <c r="E1701" s="21"/>
      <c r="G1701" s="21"/>
    </row>
    <row r="1702" spans="1:7">
      <c r="A1702" s="21"/>
      <c r="B1702" s="21"/>
      <c r="C1702" s="21"/>
      <c r="D1702" s="21"/>
      <c r="E1702" s="21"/>
      <c r="G1702" s="21"/>
    </row>
    <row r="1703" spans="1:7">
      <c r="A1703" s="21"/>
      <c r="B1703" s="21"/>
      <c r="C1703" s="21"/>
      <c r="D1703" s="21"/>
      <c r="E1703" s="21"/>
      <c r="G1703" s="21"/>
    </row>
    <row r="1704" spans="1:7">
      <c r="A1704" s="21"/>
      <c r="B1704" s="21"/>
      <c r="C1704" s="21"/>
      <c r="D1704" s="21"/>
      <c r="E1704" s="21"/>
      <c r="G1704" s="21"/>
    </row>
    <row r="1705" spans="1:7">
      <c r="A1705" s="21"/>
      <c r="B1705" s="21"/>
      <c r="C1705" s="21"/>
      <c r="D1705" s="21"/>
      <c r="E1705" s="21"/>
      <c r="G1705" s="21"/>
    </row>
    <row r="1706" spans="1:7">
      <c r="A1706" s="21"/>
      <c r="B1706" s="21"/>
      <c r="C1706" s="21"/>
      <c r="D1706" s="21"/>
      <c r="E1706" s="21"/>
      <c r="G1706" s="21"/>
    </row>
    <row r="1707" spans="1:7">
      <c r="A1707" s="21"/>
      <c r="B1707" s="21"/>
      <c r="C1707" s="21"/>
      <c r="D1707" s="21"/>
      <c r="E1707" s="21"/>
      <c r="G1707" s="21"/>
    </row>
    <row r="1708" spans="1:7">
      <c r="A1708" s="21"/>
      <c r="B1708" s="21"/>
      <c r="C1708" s="21"/>
      <c r="D1708" s="21"/>
      <c r="E1708" s="21"/>
      <c r="G1708" s="21"/>
    </row>
    <row r="1709" spans="1:7">
      <c r="A1709" s="21"/>
      <c r="B1709" s="21"/>
      <c r="C1709" s="21"/>
      <c r="D1709" s="21"/>
      <c r="E1709" s="21"/>
      <c r="G1709" s="21"/>
    </row>
    <row r="1710" spans="1:7">
      <c r="A1710" s="21"/>
      <c r="B1710" s="21"/>
      <c r="C1710" s="21"/>
      <c r="D1710" s="21"/>
      <c r="E1710" s="21"/>
      <c r="G1710" s="21"/>
    </row>
    <row r="1711" spans="1:7">
      <c r="A1711" s="21"/>
      <c r="B1711" s="21"/>
      <c r="C1711" s="21"/>
      <c r="D1711" s="21"/>
      <c r="E1711" s="21"/>
      <c r="G1711" s="21"/>
    </row>
    <row r="1712" spans="1:7">
      <c r="A1712" s="21"/>
      <c r="B1712" s="21"/>
      <c r="C1712" s="21"/>
      <c r="D1712" s="21"/>
      <c r="E1712" s="21"/>
      <c r="G1712" s="21"/>
    </row>
    <row r="1713" spans="1:7">
      <c r="A1713" s="21"/>
      <c r="B1713" s="21"/>
      <c r="C1713" s="21"/>
      <c r="D1713" s="21"/>
      <c r="E1713" s="21"/>
      <c r="G1713" s="21"/>
    </row>
    <row r="1714" spans="1:7">
      <c r="A1714" s="21"/>
      <c r="B1714" s="21"/>
      <c r="C1714" s="21"/>
      <c r="D1714" s="21"/>
      <c r="E1714" s="21"/>
      <c r="G1714" s="21"/>
    </row>
    <row r="1715" spans="1:7">
      <c r="A1715" s="21"/>
      <c r="B1715" s="21"/>
      <c r="C1715" s="21"/>
      <c r="D1715" s="21"/>
      <c r="E1715" s="21"/>
      <c r="G1715" s="21"/>
    </row>
    <row r="1716" spans="1:7">
      <c r="A1716" s="21"/>
      <c r="B1716" s="21"/>
      <c r="C1716" s="21"/>
      <c r="D1716" s="21"/>
      <c r="E1716" s="21"/>
      <c r="G1716" s="21"/>
    </row>
    <row r="1717" spans="1:7">
      <c r="A1717" s="21"/>
      <c r="B1717" s="21"/>
      <c r="C1717" s="21"/>
      <c r="D1717" s="21"/>
      <c r="E1717" s="21"/>
      <c r="G1717" s="21"/>
    </row>
    <row r="1718" spans="1:7">
      <c r="A1718" s="21"/>
      <c r="B1718" s="21"/>
      <c r="C1718" s="21"/>
      <c r="D1718" s="21"/>
      <c r="E1718" s="21"/>
      <c r="G1718" s="21"/>
    </row>
    <row r="1719" spans="1:7">
      <c r="A1719" s="21"/>
      <c r="B1719" s="21"/>
      <c r="C1719" s="21"/>
      <c r="D1719" s="21"/>
      <c r="E1719" s="21"/>
      <c r="G1719" s="21"/>
    </row>
    <row r="1720" spans="1:7">
      <c r="A1720" s="21"/>
      <c r="B1720" s="21"/>
      <c r="C1720" s="21"/>
      <c r="D1720" s="21"/>
      <c r="E1720" s="21"/>
      <c r="G1720" s="21"/>
    </row>
    <row r="1721" spans="1:7">
      <c r="A1721" s="21"/>
      <c r="B1721" s="21"/>
      <c r="C1721" s="21"/>
      <c r="D1721" s="21"/>
      <c r="E1721" s="21"/>
      <c r="G1721" s="21"/>
    </row>
    <row r="1722" spans="1:7">
      <c r="A1722" s="21"/>
      <c r="B1722" s="21"/>
      <c r="C1722" s="21"/>
      <c r="D1722" s="21"/>
      <c r="E1722" s="21"/>
      <c r="G1722" s="21"/>
    </row>
    <row r="1723" spans="1:7">
      <c r="A1723" s="21"/>
      <c r="B1723" s="21"/>
      <c r="C1723" s="21"/>
      <c r="D1723" s="21"/>
      <c r="E1723" s="21"/>
      <c r="G1723" s="21"/>
    </row>
    <row r="1724" spans="1:7">
      <c r="A1724" s="21"/>
      <c r="B1724" s="21"/>
      <c r="C1724" s="21"/>
      <c r="D1724" s="21"/>
      <c r="E1724" s="21"/>
      <c r="G1724" s="21"/>
    </row>
    <row r="1725" spans="1:7">
      <c r="A1725" s="21"/>
      <c r="B1725" s="21"/>
      <c r="C1725" s="21"/>
      <c r="D1725" s="21"/>
      <c r="E1725" s="21"/>
      <c r="G1725" s="21"/>
    </row>
    <row r="1726" spans="1:7">
      <c r="A1726" s="21"/>
      <c r="B1726" s="21"/>
      <c r="C1726" s="21"/>
      <c r="D1726" s="21"/>
      <c r="E1726" s="21"/>
      <c r="G1726" s="21"/>
    </row>
    <row r="1727" spans="1:7">
      <c r="A1727" s="21"/>
      <c r="B1727" s="21"/>
      <c r="C1727" s="21"/>
      <c r="D1727" s="21"/>
      <c r="E1727" s="21"/>
      <c r="G1727" s="21"/>
    </row>
    <row r="1728" spans="1:7">
      <c r="A1728" s="21"/>
      <c r="B1728" s="21"/>
      <c r="C1728" s="21"/>
      <c r="D1728" s="21"/>
      <c r="E1728" s="21"/>
      <c r="G1728" s="21"/>
    </row>
    <row r="1729" spans="1:7">
      <c r="A1729" s="21"/>
      <c r="B1729" s="21"/>
      <c r="C1729" s="21"/>
      <c r="D1729" s="21"/>
      <c r="E1729" s="21"/>
      <c r="G1729" s="21"/>
    </row>
    <row r="1730" spans="1:7">
      <c r="A1730" s="21"/>
      <c r="B1730" s="21"/>
      <c r="C1730" s="21"/>
      <c r="D1730" s="21"/>
      <c r="E1730" s="21"/>
      <c r="G1730" s="21"/>
    </row>
    <row r="1731" spans="1:7">
      <c r="A1731" s="21"/>
      <c r="B1731" s="21"/>
      <c r="C1731" s="21"/>
      <c r="D1731" s="21"/>
      <c r="E1731" s="21"/>
      <c r="G1731" s="21"/>
    </row>
    <row r="1732" spans="1:7">
      <c r="A1732" s="21"/>
      <c r="B1732" s="21"/>
      <c r="C1732" s="21"/>
      <c r="D1732" s="21"/>
      <c r="E1732" s="21"/>
      <c r="G1732" s="21"/>
    </row>
    <row r="1733" spans="1:7">
      <c r="A1733" s="21"/>
      <c r="B1733" s="21"/>
      <c r="C1733" s="21"/>
      <c r="D1733" s="21"/>
      <c r="E1733" s="21"/>
      <c r="G1733" s="21"/>
    </row>
    <row r="1734" spans="1:7">
      <c r="A1734" s="21"/>
      <c r="B1734" s="21"/>
      <c r="C1734" s="21"/>
      <c r="D1734" s="21"/>
      <c r="E1734" s="21"/>
      <c r="G1734" s="21"/>
    </row>
    <row r="1735" spans="1:7">
      <c r="A1735" s="21"/>
      <c r="B1735" s="21"/>
      <c r="C1735" s="21"/>
      <c r="D1735" s="21"/>
      <c r="E1735" s="21"/>
      <c r="G1735" s="21"/>
    </row>
    <row r="1736" spans="1:7">
      <c r="A1736" s="21"/>
      <c r="B1736" s="21"/>
      <c r="C1736" s="21"/>
      <c r="D1736" s="21"/>
      <c r="E1736" s="21"/>
      <c r="G1736" s="21"/>
    </row>
    <row r="1737" spans="1:7">
      <c r="A1737" s="21"/>
      <c r="B1737" s="21"/>
      <c r="C1737" s="21"/>
      <c r="D1737" s="21"/>
      <c r="E1737" s="21"/>
      <c r="G1737" s="21"/>
    </row>
    <row r="1738" spans="1:7">
      <c r="A1738" s="21"/>
      <c r="B1738" s="21"/>
      <c r="C1738" s="21"/>
      <c r="D1738" s="21"/>
      <c r="E1738" s="21"/>
      <c r="G1738" s="21"/>
    </row>
    <row r="1739" spans="1:7">
      <c r="A1739" s="21"/>
      <c r="B1739" s="21"/>
      <c r="C1739" s="21"/>
      <c r="D1739" s="21"/>
      <c r="E1739" s="21"/>
      <c r="G1739" s="21"/>
    </row>
    <row r="1740" spans="1:7">
      <c r="A1740" s="21"/>
      <c r="B1740" s="21"/>
      <c r="C1740" s="21"/>
      <c r="D1740" s="21"/>
      <c r="E1740" s="21"/>
      <c r="G1740" s="21"/>
    </row>
    <row r="1741" spans="1:7">
      <c r="A1741" s="21"/>
      <c r="B1741" s="21"/>
      <c r="C1741" s="21"/>
      <c r="D1741" s="21"/>
      <c r="E1741" s="21"/>
      <c r="G1741" s="21"/>
    </row>
    <row r="1742" spans="1:7">
      <c r="A1742" s="21"/>
      <c r="B1742" s="21"/>
      <c r="C1742" s="21"/>
      <c r="D1742" s="21"/>
      <c r="E1742" s="21"/>
      <c r="G1742" s="21"/>
    </row>
    <row r="1743" spans="1:7">
      <c r="A1743" s="21"/>
      <c r="B1743" s="21"/>
      <c r="C1743" s="21"/>
      <c r="D1743" s="21"/>
      <c r="E1743" s="21"/>
      <c r="G1743" s="21"/>
    </row>
    <row r="1744" spans="1:7">
      <c r="A1744" s="21"/>
      <c r="B1744" s="21"/>
      <c r="C1744" s="21"/>
      <c r="D1744" s="21"/>
      <c r="E1744" s="21"/>
      <c r="G1744" s="21"/>
    </row>
    <row r="1745" spans="1:7">
      <c r="A1745" s="21"/>
      <c r="B1745" s="21"/>
      <c r="C1745" s="21"/>
      <c r="D1745" s="21"/>
      <c r="E1745" s="21"/>
      <c r="G1745" s="21"/>
    </row>
    <row r="1746" spans="1:7">
      <c r="A1746" s="21"/>
      <c r="B1746" s="21"/>
      <c r="C1746" s="21"/>
      <c r="D1746" s="21"/>
      <c r="E1746" s="21"/>
      <c r="G1746" s="21"/>
    </row>
    <row r="1747" spans="1:7">
      <c r="A1747" s="21"/>
      <c r="B1747" s="21"/>
      <c r="C1747" s="21"/>
      <c r="D1747" s="21"/>
      <c r="E1747" s="21"/>
      <c r="G1747" s="21"/>
    </row>
    <row r="1748" spans="1:7">
      <c r="A1748" s="21"/>
      <c r="B1748" s="21"/>
      <c r="C1748" s="21"/>
      <c r="D1748" s="21"/>
      <c r="E1748" s="21"/>
      <c r="G1748" s="21"/>
    </row>
    <row r="1749" spans="1:7">
      <c r="A1749" s="21"/>
      <c r="B1749" s="21"/>
      <c r="C1749" s="21"/>
      <c r="D1749" s="21"/>
      <c r="E1749" s="21"/>
      <c r="G1749" s="21"/>
    </row>
    <row r="1750" spans="1:7">
      <c r="A1750" s="21"/>
      <c r="B1750" s="21"/>
      <c r="C1750" s="21"/>
      <c r="D1750" s="21"/>
      <c r="E1750" s="21"/>
      <c r="G1750" s="21"/>
    </row>
    <row r="1751" spans="1:7">
      <c r="A1751" s="21"/>
      <c r="B1751" s="21"/>
      <c r="C1751" s="21"/>
      <c r="D1751" s="21"/>
      <c r="E1751" s="21"/>
      <c r="G1751" s="21"/>
    </row>
    <row r="1752" spans="1:7">
      <c r="A1752" s="21"/>
      <c r="B1752" s="21"/>
      <c r="C1752" s="21"/>
      <c r="D1752" s="21"/>
      <c r="E1752" s="21"/>
      <c r="G1752" s="21"/>
    </row>
    <row r="1753" spans="1:7">
      <c r="A1753" s="21"/>
      <c r="B1753" s="21"/>
      <c r="C1753" s="21"/>
      <c r="D1753" s="21"/>
      <c r="E1753" s="21"/>
      <c r="G1753" s="21"/>
    </row>
    <row r="1754" spans="1:7">
      <c r="A1754" s="21"/>
      <c r="B1754" s="21"/>
      <c r="C1754" s="21"/>
      <c r="D1754" s="21"/>
      <c r="E1754" s="21"/>
      <c r="G1754" s="21"/>
    </row>
    <row r="1755" spans="1:7">
      <c r="A1755" s="21"/>
      <c r="B1755" s="21"/>
      <c r="C1755" s="21"/>
      <c r="D1755" s="21"/>
      <c r="E1755" s="21"/>
      <c r="G1755" s="21"/>
    </row>
    <row r="1756" spans="1:7">
      <c r="A1756" s="21"/>
      <c r="B1756" s="21"/>
      <c r="C1756" s="21"/>
      <c r="D1756" s="21"/>
      <c r="E1756" s="21"/>
      <c r="G1756" s="21"/>
    </row>
    <row r="1757" spans="1:7">
      <c r="A1757" s="21"/>
      <c r="B1757" s="21"/>
      <c r="C1757" s="21"/>
      <c r="D1757" s="21"/>
      <c r="E1757" s="21"/>
      <c r="G1757" s="21"/>
    </row>
    <row r="1758" spans="1:7">
      <c r="A1758" s="21"/>
      <c r="B1758" s="21"/>
      <c r="C1758" s="21"/>
      <c r="D1758" s="21"/>
      <c r="E1758" s="21"/>
      <c r="G1758" s="21"/>
    </row>
    <row r="1759" spans="1:7">
      <c r="A1759" s="21"/>
      <c r="B1759" s="21"/>
      <c r="C1759" s="21"/>
      <c r="D1759" s="21"/>
      <c r="E1759" s="21"/>
      <c r="G1759" s="21"/>
    </row>
    <row r="1760" spans="1:7">
      <c r="A1760" s="21"/>
      <c r="B1760" s="21"/>
      <c r="C1760" s="21"/>
      <c r="D1760" s="21"/>
      <c r="E1760" s="21"/>
      <c r="G1760" s="21"/>
    </row>
    <row r="1761" spans="1:7">
      <c r="A1761" s="21"/>
      <c r="B1761" s="21"/>
      <c r="C1761" s="21"/>
      <c r="D1761" s="21"/>
      <c r="E1761" s="21"/>
      <c r="G1761" s="21"/>
    </row>
    <row r="1762" spans="1:7">
      <c r="A1762" s="21"/>
      <c r="B1762" s="21"/>
      <c r="C1762" s="21"/>
      <c r="D1762" s="21"/>
      <c r="E1762" s="21"/>
      <c r="G1762" s="21"/>
    </row>
    <row r="1763" spans="1:7">
      <c r="A1763" s="21"/>
      <c r="B1763" s="21"/>
      <c r="C1763" s="21"/>
      <c r="D1763" s="21"/>
      <c r="E1763" s="21"/>
      <c r="G1763" s="21"/>
    </row>
    <row r="1764" spans="1:7">
      <c r="A1764" s="21"/>
      <c r="B1764" s="21"/>
      <c r="C1764" s="21"/>
      <c r="D1764" s="21"/>
      <c r="E1764" s="21"/>
      <c r="G1764" s="21"/>
    </row>
    <row r="1765" spans="1:7">
      <c r="A1765" s="21"/>
      <c r="B1765" s="21"/>
      <c r="C1765" s="21"/>
      <c r="D1765" s="21"/>
      <c r="E1765" s="21"/>
      <c r="G1765" s="21"/>
    </row>
    <row r="1766" spans="1:7">
      <c r="A1766" s="21"/>
      <c r="B1766" s="21"/>
      <c r="C1766" s="21"/>
      <c r="D1766" s="21"/>
      <c r="E1766" s="21"/>
      <c r="G1766" s="21"/>
    </row>
    <row r="1767" spans="1:7">
      <c r="A1767" s="21"/>
      <c r="B1767" s="21"/>
      <c r="C1767" s="21"/>
      <c r="D1767" s="21"/>
      <c r="E1767" s="21"/>
      <c r="G1767" s="21"/>
    </row>
    <row r="1768" spans="1:7">
      <c r="A1768" s="21"/>
      <c r="B1768" s="21"/>
      <c r="C1768" s="21"/>
      <c r="D1768" s="21"/>
      <c r="E1768" s="21"/>
      <c r="G1768" s="21"/>
    </row>
    <row r="1769" spans="1:7">
      <c r="A1769" s="21"/>
      <c r="B1769" s="21"/>
      <c r="C1769" s="21"/>
      <c r="D1769" s="21"/>
      <c r="E1769" s="21"/>
      <c r="G1769" s="21"/>
    </row>
    <row r="1770" spans="1:7">
      <c r="A1770" s="21"/>
      <c r="B1770" s="21"/>
      <c r="C1770" s="21"/>
      <c r="D1770" s="21"/>
      <c r="E1770" s="21"/>
      <c r="G1770" s="21"/>
    </row>
    <row r="1771" spans="1:7">
      <c r="A1771" s="21"/>
      <c r="B1771" s="21"/>
      <c r="C1771" s="21"/>
      <c r="D1771" s="21"/>
      <c r="E1771" s="21"/>
      <c r="G1771" s="21"/>
    </row>
    <row r="1772" spans="1:7">
      <c r="A1772" s="21"/>
      <c r="B1772" s="21"/>
      <c r="C1772" s="21"/>
      <c r="D1772" s="21"/>
      <c r="E1772" s="21"/>
      <c r="G1772" s="21"/>
    </row>
    <row r="1773" spans="1:7">
      <c r="A1773" s="21"/>
      <c r="B1773" s="21"/>
      <c r="C1773" s="21"/>
      <c r="D1773" s="21"/>
      <c r="E1773" s="21"/>
      <c r="G1773" s="21"/>
    </row>
    <row r="1774" spans="1:7">
      <c r="A1774" s="21"/>
      <c r="B1774" s="21"/>
      <c r="C1774" s="21"/>
      <c r="D1774" s="21"/>
      <c r="E1774" s="21"/>
      <c r="G1774" s="21"/>
    </row>
    <row r="1775" spans="1:7">
      <c r="A1775" s="21"/>
      <c r="B1775" s="21"/>
      <c r="C1775" s="21"/>
      <c r="D1775" s="21"/>
      <c r="E1775" s="21"/>
      <c r="G1775" s="21"/>
    </row>
    <row r="1776" spans="1:7">
      <c r="A1776" s="21"/>
      <c r="B1776" s="21"/>
      <c r="C1776" s="21"/>
      <c r="D1776" s="21"/>
      <c r="E1776" s="21"/>
      <c r="G1776" s="21"/>
    </row>
    <row r="1777" spans="1:7">
      <c r="A1777" s="21"/>
      <c r="B1777" s="21"/>
      <c r="C1777" s="21"/>
      <c r="D1777" s="21"/>
      <c r="E1777" s="21"/>
      <c r="G1777" s="21"/>
    </row>
    <row r="1778" spans="1:7">
      <c r="A1778" s="21"/>
      <c r="B1778" s="21"/>
      <c r="C1778" s="21"/>
      <c r="D1778" s="21"/>
      <c r="E1778" s="21"/>
      <c r="G1778" s="21"/>
    </row>
    <row r="1779" spans="1:7">
      <c r="A1779" s="21"/>
      <c r="B1779" s="21"/>
      <c r="C1779" s="21"/>
      <c r="D1779" s="21"/>
      <c r="E1779" s="21"/>
      <c r="G1779" s="21"/>
    </row>
    <row r="1780" spans="1:7">
      <c r="A1780" s="21"/>
      <c r="B1780" s="21"/>
      <c r="C1780" s="21"/>
      <c r="D1780" s="21"/>
      <c r="E1780" s="21"/>
      <c r="G1780" s="21"/>
    </row>
    <row r="1781" spans="1:7">
      <c r="A1781" s="21"/>
      <c r="B1781" s="21"/>
      <c r="C1781" s="21"/>
      <c r="D1781" s="21"/>
      <c r="E1781" s="21"/>
      <c r="G1781" s="21"/>
    </row>
    <row r="1782" spans="1:7">
      <c r="A1782" s="21"/>
      <c r="B1782" s="21"/>
      <c r="C1782" s="21"/>
      <c r="D1782" s="21"/>
      <c r="E1782" s="21"/>
      <c r="G1782" s="21"/>
    </row>
    <row r="1783" spans="1:7">
      <c r="A1783" s="21"/>
      <c r="B1783" s="21"/>
      <c r="C1783" s="21"/>
      <c r="D1783" s="21"/>
      <c r="E1783" s="21"/>
      <c r="G1783" s="21"/>
    </row>
    <row r="1784" spans="1:7">
      <c r="A1784" s="21"/>
      <c r="B1784" s="21"/>
      <c r="C1784" s="21"/>
      <c r="D1784" s="21"/>
      <c r="E1784" s="21"/>
      <c r="G1784" s="21"/>
    </row>
    <row r="1785" spans="1:7">
      <c r="A1785" s="21"/>
      <c r="B1785" s="21"/>
      <c r="C1785" s="21"/>
      <c r="D1785" s="21"/>
      <c r="E1785" s="21"/>
      <c r="G1785" s="21"/>
    </row>
    <row r="1786" spans="1:7">
      <c r="A1786" s="21"/>
      <c r="B1786" s="21"/>
      <c r="C1786" s="21"/>
      <c r="D1786" s="21"/>
      <c r="E1786" s="21"/>
      <c r="G1786" s="21"/>
    </row>
    <row r="1787" spans="1:7">
      <c r="A1787" s="21"/>
      <c r="B1787" s="21"/>
      <c r="C1787" s="21"/>
      <c r="D1787" s="21"/>
      <c r="E1787" s="21"/>
      <c r="G1787" s="21"/>
    </row>
    <row r="1788" spans="1:7">
      <c r="A1788" s="21"/>
      <c r="B1788" s="21"/>
      <c r="C1788" s="21"/>
      <c r="D1788" s="21"/>
      <c r="E1788" s="21"/>
      <c r="G1788" s="21"/>
    </row>
    <row r="1789" spans="1:7">
      <c r="A1789" s="21"/>
      <c r="B1789" s="21"/>
      <c r="C1789" s="21"/>
      <c r="D1789" s="21"/>
      <c r="E1789" s="21"/>
      <c r="G1789" s="21"/>
    </row>
    <row r="1790" spans="1:7">
      <c r="A1790" s="21"/>
      <c r="B1790" s="21"/>
      <c r="C1790" s="21"/>
      <c r="D1790" s="21"/>
      <c r="E1790" s="21"/>
      <c r="G1790" s="21"/>
    </row>
    <row r="1791" spans="1:7">
      <c r="A1791" s="21"/>
      <c r="B1791" s="21"/>
      <c r="C1791" s="21"/>
      <c r="D1791" s="21"/>
      <c r="E1791" s="21"/>
      <c r="G1791" s="21"/>
    </row>
    <row r="1792" spans="1:7">
      <c r="A1792" s="21"/>
      <c r="B1792" s="21"/>
      <c r="C1792" s="21"/>
      <c r="D1792" s="21"/>
      <c r="E1792" s="21"/>
      <c r="G1792" s="21"/>
    </row>
    <row r="1793" spans="1:7">
      <c r="A1793" s="21"/>
      <c r="B1793" s="21"/>
      <c r="C1793" s="21"/>
      <c r="D1793" s="21"/>
      <c r="E1793" s="21"/>
      <c r="G1793" s="21"/>
    </row>
    <row r="1794" spans="1:7">
      <c r="A1794" s="21"/>
      <c r="B1794" s="21"/>
      <c r="C1794" s="21"/>
      <c r="D1794" s="21"/>
      <c r="E1794" s="21"/>
      <c r="G1794" s="21"/>
    </row>
    <row r="1795" spans="1:7">
      <c r="A1795" s="21"/>
      <c r="B1795" s="21"/>
      <c r="C1795" s="21"/>
      <c r="D1795" s="21"/>
      <c r="E1795" s="21"/>
      <c r="G1795" s="21"/>
    </row>
    <row r="1796" spans="1:7">
      <c r="A1796" s="21"/>
      <c r="B1796" s="21"/>
      <c r="C1796" s="21"/>
      <c r="D1796" s="21"/>
      <c r="E1796" s="21"/>
      <c r="G1796" s="21"/>
    </row>
    <row r="1797" spans="1:7">
      <c r="A1797" s="21"/>
      <c r="B1797" s="21"/>
      <c r="C1797" s="21"/>
      <c r="D1797" s="21"/>
      <c r="E1797" s="21"/>
      <c r="G1797" s="21"/>
    </row>
    <row r="1798" spans="1:7">
      <c r="A1798" s="21"/>
      <c r="B1798" s="21"/>
      <c r="C1798" s="21"/>
      <c r="D1798" s="21"/>
      <c r="E1798" s="21"/>
      <c r="G1798" s="21"/>
    </row>
    <row r="1799" spans="1:7">
      <c r="A1799" s="21"/>
      <c r="B1799" s="21"/>
      <c r="C1799" s="21"/>
      <c r="D1799" s="21"/>
      <c r="E1799" s="21"/>
      <c r="G1799" s="21"/>
    </row>
    <row r="1800" spans="1:7">
      <c r="A1800" s="21"/>
      <c r="B1800" s="21"/>
      <c r="C1800" s="21"/>
      <c r="D1800" s="21"/>
      <c r="E1800" s="21"/>
      <c r="G1800" s="21"/>
    </row>
    <row r="1801" spans="1:7">
      <c r="A1801" s="21"/>
      <c r="B1801" s="21"/>
      <c r="C1801" s="21"/>
      <c r="D1801" s="21"/>
      <c r="E1801" s="21"/>
      <c r="G1801" s="21"/>
    </row>
    <row r="1802" spans="1:7">
      <c r="A1802" s="21"/>
      <c r="B1802" s="21"/>
      <c r="C1802" s="21"/>
      <c r="D1802" s="21"/>
      <c r="E1802" s="21"/>
      <c r="G1802" s="21"/>
    </row>
    <row r="1803" spans="1:7">
      <c r="A1803" s="21"/>
      <c r="B1803" s="21"/>
      <c r="C1803" s="21"/>
      <c r="D1803" s="21"/>
      <c r="E1803" s="21"/>
      <c r="G1803" s="21"/>
    </row>
    <row r="1804" spans="1:7">
      <c r="A1804" s="21"/>
      <c r="B1804" s="21"/>
      <c r="C1804" s="21"/>
      <c r="D1804" s="21"/>
      <c r="E1804" s="21"/>
      <c r="G1804" s="21"/>
    </row>
    <row r="1805" spans="1:7">
      <c r="A1805" s="21"/>
      <c r="B1805" s="21"/>
      <c r="C1805" s="21"/>
      <c r="D1805" s="21"/>
      <c r="E1805" s="21"/>
      <c r="G1805" s="21"/>
    </row>
    <row r="1806" spans="1:7">
      <c r="A1806" s="21"/>
      <c r="B1806" s="21"/>
      <c r="C1806" s="21"/>
      <c r="D1806" s="21"/>
      <c r="E1806" s="21"/>
      <c r="G1806" s="21"/>
    </row>
    <row r="1807" spans="1:7">
      <c r="A1807" s="21"/>
      <c r="B1807" s="21"/>
      <c r="C1807" s="21"/>
      <c r="D1807" s="21"/>
      <c r="E1807" s="21"/>
      <c r="G1807" s="21"/>
    </row>
    <row r="1808" spans="1:7">
      <c r="A1808" s="21"/>
      <c r="B1808" s="21"/>
      <c r="C1808" s="21"/>
      <c r="D1808" s="21"/>
      <c r="E1808" s="21"/>
      <c r="G1808" s="21"/>
    </row>
    <row r="1809" spans="1:7">
      <c r="A1809" s="21"/>
      <c r="B1809" s="21"/>
      <c r="C1809" s="21"/>
      <c r="D1809" s="21"/>
      <c r="E1809" s="21"/>
      <c r="G1809" s="21"/>
    </row>
    <row r="1810" spans="1:7">
      <c r="A1810" s="21"/>
      <c r="B1810" s="21"/>
      <c r="C1810" s="21"/>
      <c r="D1810" s="21"/>
      <c r="E1810" s="21"/>
      <c r="G1810" s="21"/>
    </row>
    <row r="1811" spans="1:7">
      <c r="A1811" s="21"/>
      <c r="B1811" s="21"/>
      <c r="C1811" s="21"/>
      <c r="D1811" s="21"/>
      <c r="E1811" s="21"/>
      <c r="G1811" s="21"/>
    </row>
    <row r="1812" spans="1:7">
      <c r="A1812" s="21"/>
      <c r="B1812" s="21"/>
      <c r="C1812" s="21"/>
      <c r="D1812" s="21"/>
      <c r="E1812" s="21"/>
      <c r="G1812" s="21"/>
    </row>
    <row r="1813" spans="1:7">
      <c r="A1813" s="21"/>
      <c r="B1813" s="21"/>
      <c r="C1813" s="21"/>
      <c r="D1813" s="21"/>
      <c r="E1813" s="21"/>
      <c r="G1813" s="21"/>
    </row>
    <row r="1814" spans="1:7">
      <c r="A1814" s="21"/>
      <c r="B1814" s="21"/>
      <c r="C1814" s="21"/>
      <c r="D1814" s="21"/>
      <c r="E1814" s="21"/>
      <c r="G1814" s="21"/>
    </row>
    <row r="1815" spans="1:7">
      <c r="A1815" s="21"/>
      <c r="B1815" s="21"/>
      <c r="C1815" s="21"/>
      <c r="D1815" s="21"/>
      <c r="E1815" s="21"/>
      <c r="G1815" s="21"/>
    </row>
    <row r="1816" spans="1:7">
      <c r="A1816" s="21"/>
      <c r="B1816" s="21"/>
      <c r="C1816" s="21"/>
      <c r="D1816" s="21"/>
      <c r="E1816" s="21"/>
      <c r="G1816" s="21"/>
    </row>
    <row r="1817" spans="1:7">
      <c r="A1817" s="21"/>
      <c r="B1817" s="21"/>
      <c r="C1817" s="21"/>
      <c r="D1817" s="21"/>
      <c r="E1817" s="21"/>
      <c r="G1817" s="21"/>
    </row>
    <row r="1818" spans="1:7">
      <c r="A1818" s="21"/>
      <c r="B1818" s="21"/>
      <c r="C1818" s="21"/>
      <c r="D1818" s="21"/>
      <c r="E1818" s="21"/>
      <c r="G1818" s="21"/>
    </row>
    <row r="1819" spans="1:7">
      <c r="A1819" s="21"/>
      <c r="B1819" s="21"/>
      <c r="C1819" s="21"/>
      <c r="D1819" s="21"/>
      <c r="E1819" s="21"/>
      <c r="G1819" s="21"/>
    </row>
    <row r="1820" spans="1:7">
      <c r="A1820" s="21"/>
      <c r="B1820" s="21"/>
      <c r="C1820" s="21"/>
      <c r="D1820" s="21"/>
      <c r="E1820" s="21"/>
      <c r="G1820" s="21"/>
    </row>
    <row r="1821" spans="1:7">
      <c r="A1821" s="21"/>
      <c r="B1821" s="21"/>
      <c r="C1821" s="21"/>
      <c r="D1821" s="21"/>
      <c r="E1821" s="21"/>
      <c r="G1821" s="21"/>
    </row>
    <row r="1822" spans="1:7">
      <c r="A1822" s="21"/>
      <c r="B1822" s="21"/>
      <c r="C1822" s="21"/>
      <c r="D1822" s="21"/>
      <c r="E1822" s="21"/>
      <c r="G1822" s="21"/>
    </row>
    <row r="1823" spans="1:7">
      <c r="A1823" s="21"/>
      <c r="B1823" s="21"/>
      <c r="C1823" s="21"/>
      <c r="D1823" s="21"/>
      <c r="E1823" s="21"/>
      <c r="G1823" s="21"/>
    </row>
    <row r="1824" spans="1:7">
      <c r="A1824" s="21"/>
      <c r="B1824" s="21"/>
      <c r="C1824" s="21"/>
      <c r="D1824" s="21"/>
      <c r="E1824" s="21"/>
      <c r="G1824" s="21"/>
    </row>
    <row r="1825" spans="1:7">
      <c r="A1825" s="21"/>
      <c r="B1825" s="21"/>
      <c r="C1825" s="21"/>
      <c r="D1825" s="21"/>
      <c r="E1825" s="21"/>
      <c r="G1825" s="21"/>
    </row>
    <row r="1826" spans="1:7">
      <c r="A1826" s="21"/>
      <c r="B1826" s="21"/>
      <c r="C1826" s="21"/>
      <c r="D1826" s="21"/>
      <c r="E1826" s="21"/>
      <c r="G1826" s="21"/>
    </row>
    <row r="1827" spans="1:7">
      <c r="A1827" s="21"/>
      <c r="B1827" s="21"/>
      <c r="C1827" s="21"/>
      <c r="D1827" s="21"/>
      <c r="E1827" s="21"/>
      <c r="G1827" s="21"/>
    </row>
    <row r="1828" spans="1:7">
      <c r="A1828" s="21"/>
      <c r="B1828" s="21"/>
      <c r="C1828" s="21"/>
      <c r="D1828" s="21"/>
      <c r="E1828" s="21"/>
      <c r="G1828" s="21"/>
    </row>
    <row r="1829" spans="1:7">
      <c r="A1829" s="21"/>
      <c r="B1829" s="21"/>
      <c r="C1829" s="21"/>
      <c r="D1829" s="21"/>
      <c r="E1829" s="21"/>
      <c r="G1829" s="21"/>
    </row>
    <row r="1830" spans="1:7">
      <c r="A1830" s="21"/>
      <c r="B1830" s="21"/>
      <c r="C1830" s="21"/>
      <c r="D1830" s="21"/>
      <c r="E1830" s="21"/>
      <c r="G1830" s="21"/>
    </row>
    <row r="1831" spans="1:7">
      <c r="A1831" s="21"/>
      <c r="B1831" s="21"/>
      <c r="C1831" s="21"/>
      <c r="D1831" s="21"/>
      <c r="E1831" s="21"/>
      <c r="G1831" s="21"/>
    </row>
    <row r="1832" spans="1:7">
      <c r="A1832" s="21"/>
      <c r="B1832" s="21"/>
      <c r="C1832" s="21"/>
      <c r="D1832" s="21"/>
      <c r="E1832" s="21"/>
      <c r="G1832" s="21"/>
    </row>
    <row r="1833" spans="1:7">
      <c r="A1833" s="21"/>
      <c r="B1833" s="21"/>
      <c r="C1833" s="21"/>
      <c r="D1833" s="21"/>
      <c r="E1833" s="21"/>
      <c r="G1833" s="21"/>
    </row>
    <row r="1834" spans="1:7">
      <c r="A1834" s="21"/>
      <c r="B1834" s="21"/>
      <c r="C1834" s="21"/>
      <c r="D1834" s="21"/>
      <c r="E1834" s="21"/>
      <c r="G1834" s="21"/>
    </row>
    <row r="1835" spans="1:7">
      <c r="A1835" s="21"/>
      <c r="B1835" s="21"/>
      <c r="C1835" s="21"/>
      <c r="D1835" s="21"/>
      <c r="E1835" s="21"/>
      <c r="G1835" s="21"/>
    </row>
  </sheetData>
  <mergeCells count="4">
    <mergeCell ref="AC8:AI8"/>
    <mergeCell ref="AC24:AI24"/>
    <mergeCell ref="AC66:AI66"/>
    <mergeCell ref="AC80:AI80"/>
  </mergeCells>
  <pageMargins left="0.70866141732283472" right="0.70866141732283472" top="0.74803149606299213" bottom="0.74803149606299213" header="0.31496062992125984" footer="0.31496062992125984"/>
  <pageSetup scale="83" fitToHeight="5" orientation="portrait" r:id="rId2"/>
  <headerFooter>
    <oddFooter>&amp;L&amp;A&amp;R&amp;P/&amp;N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46">
    <tabColor rgb="FFFFC000"/>
    <pageSetUpPr fitToPage="1"/>
  </sheetPr>
  <dimension ref="A1:I4465"/>
  <sheetViews>
    <sheetView zoomScale="85" zoomScaleNormal="85" workbookViewId="0">
      <selection activeCell="J28" sqref="J28"/>
    </sheetView>
  </sheetViews>
  <sheetFormatPr baseColWidth="10" defaultRowHeight="15"/>
  <cols>
    <col min="1" max="1" width="13.5703125" style="42" bestFit="1" customWidth="1"/>
    <col min="2" max="2" width="10.7109375" style="42" bestFit="1" customWidth="1"/>
    <col min="3" max="3" width="33.85546875" style="42" customWidth="1"/>
    <col min="4" max="4" width="18.140625" customWidth="1"/>
    <col min="5" max="5" width="11" style="1" customWidth="1"/>
    <col min="6" max="6" width="12.140625" style="1" customWidth="1"/>
    <col min="7" max="7" width="17.140625" style="1" customWidth="1"/>
    <col min="8" max="8" width="18.5703125" style="1" customWidth="1"/>
    <col min="9" max="9" width="18.5703125" customWidth="1"/>
  </cols>
  <sheetData>
    <row r="1" spans="1:9">
      <c r="A1"/>
      <c r="B1"/>
    </row>
    <row r="2" spans="1:9">
      <c r="A2"/>
      <c r="B2"/>
    </row>
    <row r="3" spans="1:9">
      <c r="A3"/>
      <c r="B3"/>
      <c r="E3"/>
      <c r="F3"/>
      <c r="G3"/>
      <c r="H3"/>
    </row>
    <row r="4" spans="1:9" s="42" customFormat="1">
      <c r="A4" s="246" t="s">
        <v>606</v>
      </c>
      <c r="B4" s="4">
        <v>19</v>
      </c>
      <c r="C4"/>
      <c r="D4"/>
      <c r="E4"/>
      <c r="F4"/>
      <c r="G4"/>
      <c r="H4"/>
      <c r="I4"/>
    </row>
    <row r="5" spans="1:9" s="42" customFormat="1">
      <c r="A5" s="246" t="s">
        <v>638</v>
      </c>
      <c r="B5" t="s">
        <v>1316</v>
      </c>
      <c r="C5"/>
      <c r="D5"/>
      <c r="E5"/>
      <c r="F5"/>
      <c r="G5"/>
      <c r="H5"/>
      <c r="I5"/>
    </row>
    <row r="6" spans="1:9">
      <c r="A6"/>
      <c r="B6"/>
      <c r="C6"/>
      <c r="E6"/>
      <c r="F6"/>
      <c r="G6"/>
      <c r="H6"/>
    </row>
    <row r="7" spans="1:9">
      <c r="D7" s="240" t="s">
        <v>636</v>
      </c>
      <c r="H7"/>
    </row>
    <row r="8" spans="1:9">
      <c r="A8" s="246" t="s">
        <v>608</v>
      </c>
      <c r="B8" s="246" t="s">
        <v>0</v>
      </c>
      <c r="C8" s="246" t="s">
        <v>1</v>
      </c>
      <c r="D8" t="s">
        <v>1525</v>
      </c>
      <c r="E8" s="97" t="s">
        <v>640</v>
      </c>
      <c r="F8" s="97" t="s">
        <v>641</v>
      </c>
      <c r="G8" t="s">
        <v>1537</v>
      </c>
      <c r="H8"/>
    </row>
    <row r="9" spans="1:9">
      <c r="A9" t="s">
        <v>619</v>
      </c>
      <c r="B9">
        <v>38</v>
      </c>
      <c r="C9" t="s">
        <v>506</v>
      </c>
      <c r="D9" s="1">
        <v>8000000000</v>
      </c>
      <c r="F9" s="1">
        <v>350000000</v>
      </c>
      <c r="G9" s="1">
        <v>8350000000</v>
      </c>
      <c r="H9"/>
    </row>
    <row r="10" spans="1:9">
      <c r="A10" s="42" t="s">
        <v>635</v>
      </c>
      <c r="D10" s="1">
        <v>8000000000</v>
      </c>
      <c r="F10" s="1">
        <v>350000000</v>
      </c>
      <c r="G10" s="1">
        <v>8350000000</v>
      </c>
      <c r="H10"/>
    </row>
    <row r="11" spans="1:9">
      <c r="A11"/>
      <c r="B11"/>
      <c r="C11"/>
      <c r="E11"/>
      <c r="F11"/>
      <c r="G11"/>
      <c r="H11"/>
    </row>
    <row r="12" spans="1:9">
      <c r="A12"/>
      <c r="B12"/>
      <c r="C12"/>
      <c r="E12"/>
      <c r="F12"/>
      <c r="G12"/>
      <c r="H12"/>
    </row>
    <row r="13" spans="1:9">
      <c r="A13"/>
      <c r="B13"/>
      <c r="C13"/>
      <c r="E13"/>
      <c r="F13"/>
      <c r="G13"/>
      <c r="H13"/>
    </row>
    <row r="14" spans="1:9">
      <c r="A14"/>
      <c r="B14"/>
      <c r="C14"/>
      <c r="E14"/>
      <c r="F14"/>
      <c r="G14"/>
      <c r="H14"/>
    </row>
    <row r="15" spans="1:9">
      <c r="A15"/>
      <c r="B15"/>
      <c r="C15"/>
      <c r="E15"/>
      <c r="F15"/>
      <c r="G15"/>
      <c r="H15"/>
    </row>
    <row r="16" spans="1:9">
      <c r="A16"/>
      <c r="B16"/>
      <c r="C16"/>
      <c r="E16"/>
      <c r="F16"/>
      <c r="G16"/>
      <c r="H16"/>
    </row>
    <row r="17" spans="1:8">
      <c r="A17"/>
      <c r="B17"/>
      <c r="C17"/>
      <c r="E17"/>
      <c r="F17"/>
      <c r="G17"/>
      <c r="H17"/>
    </row>
    <row r="18" spans="1:8">
      <c r="A18"/>
      <c r="B18"/>
      <c r="C18"/>
      <c r="E18"/>
      <c r="F18"/>
      <c r="G18"/>
      <c r="H18"/>
    </row>
    <row r="19" spans="1:8">
      <c r="A19"/>
      <c r="B19"/>
      <c r="C19"/>
      <c r="E19"/>
      <c r="F19"/>
      <c r="G19"/>
      <c r="H19"/>
    </row>
    <row r="20" spans="1:8">
      <c r="A20"/>
      <c r="B20"/>
      <c r="C20"/>
      <c r="E20"/>
      <c r="F20"/>
      <c r="G20"/>
      <c r="H20"/>
    </row>
    <row r="21" spans="1:8">
      <c r="A21"/>
      <c r="B21"/>
      <c r="C21"/>
      <c r="E21"/>
      <c r="F21"/>
      <c r="G21"/>
      <c r="H21"/>
    </row>
    <row r="22" spans="1:8">
      <c r="A22"/>
      <c r="B22"/>
      <c r="C22"/>
      <c r="E22"/>
      <c r="F22"/>
      <c r="G22"/>
      <c r="H22"/>
    </row>
    <row r="23" spans="1:8">
      <c r="A23"/>
      <c r="B23"/>
      <c r="C23"/>
      <c r="E23"/>
      <c r="F23"/>
      <c r="G23"/>
      <c r="H23"/>
    </row>
    <row r="24" spans="1:8">
      <c r="A24"/>
      <c r="B24"/>
      <c r="C24"/>
      <c r="E24"/>
      <c r="F24"/>
      <c r="G24"/>
      <c r="H24"/>
    </row>
    <row r="25" spans="1:8">
      <c r="A25"/>
      <c r="B25"/>
      <c r="C25"/>
      <c r="E25"/>
      <c r="F25"/>
      <c r="G25"/>
      <c r="H25"/>
    </row>
    <row r="26" spans="1:8">
      <c r="A26"/>
      <c r="B26"/>
      <c r="C26"/>
      <c r="E26"/>
      <c r="F26"/>
      <c r="G26"/>
      <c r="H26"/>
    </row>
    <row r="27" spans="1:8">
      <c r="A27"/>
      <c r="B27"/>
      <c r="C27"/>
      <c r="E27"/>
      <c r="F27"/>
      <c r="G27"/>
      <c r="H27"/>
    </row>
    <row r="28" spans="1:8">
      <c r="A28"/>
      <c r="B28"/>
      <c r="C28"/>
      <c r="E28"/>
      <c r="F28"/>
      <c r="G28"/>
      <c r="H28"/>
    </row>
    <row r="29" spans="1:8">
      <c r="A29"/>
      <c r="B29"/>
      <c r="C29"/>
      <c r="E29"/>
      <c r="F29"/>
      <c r="G29"/>
      <c r="H29"/>
    </row>
    <row r="30" spans="1:8">
      <c r="A30"/>
      <c r="B30"/>
      <c r="C30"/>
      <c r="E30"/>
      <c r="F30"/>
      <c r="G30"/>
      <c r="H30"/>
    </row>
    <row r="31" spans="1:8">
      <c r="A31"/>
      <c r="B31"/>
      <c r="C31"/>
      <c r="E31"/>
      <c r="F31"/>
      <c r="G31"/>
      <c r="H31"/>
    </row>
    <row r="32" spans="1:8">
      <c r="A32"/>
      <c r="B32"/>
      <c r="C32"/>
      <c r="E32"/>
      <c r="F32"/>
      <c r="G32"/>
      <c r="H32"/>
    </row>
    <row r="33" spans="1:8">
      <c r="A33"/>
      <c r="B33"/>
      <c r="C33"/>
      <c r="E33"/>
      <c r="F33"/>
      <c r="G33"/>
      <c r="H33"/>
    </row>
    <row r="34" spans="1:8">
      <c r="A34"/>
      <c r="B34"/>
      <c r="C34"/>
      <c r="E34"/>
      <c r="F34"/>
      <c r="G34"/>
      <c r="H34"/>
    </row>
    <row r="35" spans="1:8">
      <c r="A35"/>
      <c r="B35"/>
      <c r="C35"/>
      <c r="E35"/>
      <c r="F35"/>
      <c r="G35"/>
      <c r="H35"/>
    </row>
    <row r="36" spans="1:8">
      <c r="A36"/>
      <c r="B36"/>
      <c r="C36"/>
      <c r="E36"/>
      <c r="F36"/>
      <c r="G36"/>
      <c r="H36"/>
    </row>
    <row r="37" spans="1:8">
      <c r="A37"/>
      <c r="B37"/>
      <c r="C37"/>
      <c r="E37"/>
      <c r="F37"/>
      <c r="G37"/>
      <c r="H37"/>
    </row>
    <row r="38" spans="1:8">
      <c r="A38"/>
      <c r="B38"/>
      <c r="C38"/>
      <c r="E38"/>
      <c r="F38"/>
      <c r="G38"/>
      <c r="H38"/>
    </row>
    <row r="39" spans="1:8">
      <c r="A39"/>
      <c r="B39"/>
      <c r="C39"/>
      <c r="E39"/>
      <c r="F39"/>
      <c r="G39"/>
      <c r="H39"/>
    </row>
    <row r="40" spans="1:8">
      <c r="A40"/>
      <c r="B40"/>
      <c r="C40"/>
      <c r="E40"/>
      <c r="F40"/>
      <c r="G40"/>
      <c r="H40"/>
    </row>
    <row r="41" spans="1:8">
      <c r="A41"/>
      <c r="B41"/>
      <c r="C41"/>
      <c r="E41"/>
      <c r="F41"/>
      <c r="G41"/>
      <c r="H41"/>
    </row>
    <row r="42" spans="1:8">
      <c r="A42"/>
      <c r="B42"/>
      <c r="C42"/>
      <c r="E42"/>
      <c r="F42"/>
      <c r="G42"/>
      <c r="H42"/>
    </row>
    <row r="43" spans="1:8">
      <c r="A43"/>
      <c r="B43"/>
      <c r="C43"/>
      <c r="E43"/>
      <c r="F43"/>
      <c r="G43"/>
      <c r="H43"/>
    </row>
    <row r="44" spans="1:8">
      <c r="A44"/>
      <c r="B44"/>
      <c r="C44"/>
      <c r="E44"/>
      <c r="F44"/>
      <c r="G44"/>
      <c r="H44"/>
    </row>
    <row r="45" spans="1:8">
      <c r="A45"/>
      <c r="B45"/>
      <c r="C45"/>
      <c r="E45"/>
      <c r="F45"/>
      <c r="G45"/>
      <c r="H45"/>
    </row>
    <row r="46" spans="1:8">
      <c r="A46"/>
      <c r="B46"/>
      <c r="C46"/>
      <c r="E46"/>
      <c r="F46"/>
      <c r="G46"/>
      <c r="H46"/>
    </row>
    <row r="47" spans="1:8">
      <c r="A47"/>
      <c r="B47"/>
      <c r="C47"/>
      <c r="E47"/>
      <c r="F47"/>
      <c r="G47"/>
      <c r="H47"/>
    </row>
    <row r="48" spans="1:8">
      <c r="A48"/>
      <c r="B48"/>
      <c r="C48"/>
      <c r="E48"/>
      <c r="F48"/>
      <c r="G48"/>
      <c r="H48"/>
    </row>
    <row r="49" spans="1:8">
      <c r="A49"/>
      <c r="B49"/>
      <c r="C49"/>
      <c r="E49"/>
      <c r="F49"/>
      <c r="G49"/>
      <c r="H49"/>
    </row>
    <row r="50" spans="1:8">
      <c r="A50"/>
      <c r="B50"/>
      <c r="C50"/>
      <c r="E50"/>
      <c r="F50"/>
      <c r="G50"/>
      <c r="H50"/>
    </row>
    <row r="51" spans="1:8">
      <c r="A51"/>
      <c r="B51"/>
      <c r="C51"/>
      <c r="E51"/>
      <c r="F51"/>
      <c r="G51"/>
      <c r="H51"/>
    </row>
    <row r="52" spans="1:8">
      <c r="A52"/>
      <c r="B52"/>
      <c r="C52"/>
      <c r="E52"/>
      <c r="F52"/>
      <c r="G52"/>
      <c r="H52"/>
    </row>
    <row r="53" spans="1:8">
      <c r="A53"/>
      <c r="B53"/>
      <c r="C53"/>
      <c r="E53"/>
      <c r="F53"/>
      <c r="G53"/>
      <c r="H53"/>
    </row>
    <row r="54" spans="1:8">
      <c r="A54"/>
      <c r="B54"/>
      <c r="C54"/>
      <c r="E54"/>
      <c r="F54"/>
      <c r="G54"/>
      <c r="H54"/>
    </row>
    <row r="55" spans="1:8">
      <c r="A55"/>
      <c r="B55"/>
      <c r="C55"/>
      <c r="E55"/>
      <c r="F55"/>
      <c r="G55"/>
      <c r="H55"/>
    </row>
    <row r="56" spans="1:8">
      <c r="A56"/>
      <c r="B56"/>
      <c r="C56"/>
      <c r="E56"/>
      <c r="F56"/>
      <c r="G56"/>
      <c r="H56"/>
    </row>
    <row r="57" spans="1:8">
      <c r="A57"/>
      <c r="B57"/>
      <c r="C57"/>
      <c r="E57"/>
      <c r="F57"/>
      <c r="G57"/>
      <c r="H57"/>
    </row>
    <row r="58" spans="1:8">
      <c r="A58"/>
      <c r="B58"/>
      <c r="C58"/>
      <c r="E58"/>
      <c r="F58"/>
      <c r="G58"/>
      <c r="H58"/>
    </row>
    <row r="59" spans="1:8">
      <c r="A59"/>
      <c r="B59"/>
      <c r="C59"/>
      <c r="E59"/>
      <c r="F59"/>
      <c r="G59"/>
      <c r="H59"/>
    </row>
    <row r="60" spans="1:8">
      <c r="A60"/>
      <c r="B60"/>
      <c r="C60"/>
      <c r="E60"/>
      <c r="F60"/>
      <c r="G60"/>
      <c r="H60"/>
    </row>
    <row r="61" spans="1:8">
      <c r="A61"/>
      <c r="B61"/>
      <c r="C61"/>
      <c r="E61"/>
      <c r="F61"/>
      <c r="G61"/>
      <c r="H61"/>
    </row>
    <row r="62" spans="1:8">
      <c r="A62"/>
      <c r="B62"/>
      <c r="C62"/>
      <c r="E62"/>
      <c r="F62"/>
      <c r="G62"/>
      <c r="H62"/>
    </row>
    <row r="63" spans="1:8">
      <c r="A63"/>
      <c r="B63"/>
      <c r="C63"/>
      <c r="E63"/>
      <c r="F63"/>
      <c r="G63"/>
      <c r="H63"/>
    </row>
    <row r="64" spans="1:8">
      <c r="A64"/>
      <c r="B64"/>
      <c r="C64"/>
      <c r="E64"/>
      <c r="F64"/>
      <c r="G64"/>
      <c r="H64"/>
    </row>
    <row r="65" spans="1:8">
      <c r="A65"/>
      <c r="B65"/>
      <c r="C65"/>
      <c r="E65"/>
      <c r="F65"/>
      <c r="G65"/>
      <c r="H65"/>
    </row>
    <row r="66" spans="1:8">
      <c r="A66"/>
      <c r="B66"/>
      <c r="C66"/>
      <c r="E66"/>
      <c r="F66"/>
      <c r="G66"/>
      <c r="H66"/>
    </row>
    <row r="67" spans="1:8">
      <c r="A67"/>
      <c r="B67"/>
      <c r="C67"/>
      <c r="E67"/>
      <c r="F67"/>
      <c r="G67"/>
      <c r="H67"/>
    </row>
    <row r="68" spans="1:8">
      <c r="A68"/>
      <c r="B68"/>
      <c r="C68"/>
      <c r="E68"/>
      <c r="F68"/>
      <c r="G68"/>
      <c r="H68"/>
    </row>
    <row r="69" spans="1:8">
      <c r="A69"/>
      <c r="B69"/>
      <c r="C69"/>
      <c r="E69"/>
      <c r="F69"/>
      <c r="G69"/>
      <c r="H69"/>
    </row>
    <row r="70" spans="1:8">
      <c r="A70"/>
      <c r="B70"/>
      <c r="C70"/>
      <c r="E70"/>
      <c r="F70"/>
      <c r="G70"/>
      <c r="H70"/>
    </row>
    <row r="71" spans="1:8">
      <c r="A71"/>
      <c r="B71"/>
      <c r="C71"/>
      <c r="E71"/>
      <c r="F71"/>
      <c r="G71"/>
      <c r="H71"/>
    </row>
    <row r="72" spans="1:8">
      <c r="A72"/>
      <c r="B72"/>
      <c r="C72"/>
      <c r="E72"/>
      <c r="F72"/>
      <c r="G72"/>
      <c r="H72"/>
    </row>
    <row r="73" spans="1:8">
      <c r="A73"/>
      <c r="B73"/>
      <c r="C73"/>
      <c r="E73"/>
      <c r="F73"/>
      <c r="G73"/>
      <c r="H73"/>
    </row>
    <row r="74" spans="1:8">
      <c r="A74"/>
      <c r="B74"/>
      <c r="C74"/>
      <c r="E74"/>
      <c r="F74"/>
      <c r="G74"/>
      <c r="H74"/>
    </row>
    <row r="75" spans="1:8">
      <c r="A75"/>
      <c r="B75"/>
      <c r="C75"/>
      <c r="E75"/>
      <c r="F75"/>
      <c r="G75"/>
      <c r="H75"/>
    </row>
    <row r="76" spans="1:8">
      <c r="A76"/>
      <c r="B76"/>
      <c r="C76"/>
      <c r="E76"/>
      <c r="F76"/>
      <c r="G76"/>
      <c r="H76"/>
    </row>
    <row r="77" spans="1:8">
      <c r="A77"/>
      <c r="B77"/>
      <c r="C77"/>
      <c r="E77"/>
      <c r="F77"/>
      <c r="G77"/>
      <c r="H77"/>
    </row>
    <row r="78" spans="1:8">
      <c r="A78"/>
      <c r="B78"/>
      <c r="C78"/>
      <c r="E78"/>
      <c r="F78"/>
      <c r="G78"/>
      <c r="H78"/>
    </row>
    <row r="79" spans="1:8">
      <c r="A79"/>
      <c r="B79"/>
      <c r="C79"/>
      <c r="E79"/>
      <c r="F79"/>
      <c r="G79"/>
      <c r="H79"/>
    </row>
    <row r="80" spans="1:8">
      <c r="A80"/>
      <c r="B80"/>
      <c r="C80"/>
      <c r="E80"/>
      <c r="F80"/>
      <c r="G80"/>
      <c r="H80"/>
    </row>
    <row r="81" spans="1:8">
      <c r="A81"/>
      <c r="B81"/>
      <c r="C81"/>
      <c r="E81"/>
      <c r="F81"/>
      <c r="G81"/>
      <c r="H81"/>
    </row>
    <row r="82" spans="1:8">
      <c r="A82"/>
      <c r="B82"/>
      <c r="C82"/>
      <c r="E82"/>
      <c r="F82"/>
      <c r="G82"/>
      <c r="H82"/>
    </row>
    <row r="83" spans="1:8">
      <c r="A83"/>
      <c r="B83"/>
      <c r="C83"/>
      <c r="E83"/>
      <c r="F83"/>
      <c r="G83"/>
      <c r="H83"/>
    </row>
    <row r="84" spans="1:8">
      <c r="A84"/>
      <c r="B84"/>
      <c r="C84"/>
      <c r="E84"/>
      <c r="F84"/>
      <c r="G84"/>
      <c r="H84"/>
    </row>
    <row r="85" spans="1:8">
      <c r="A85"/>
      <c r="B85"/>
      <c r="C85"/>
      <c r="E85"/>
      <c r="F85"/>
      <c r="G85"/>
      <c r="H85"/>
    </row>
    <row r="86" spans="1:8">
      <c r="A86"/>
      <c r="B86"/>
      <c r="C86"/>
      <c r="E86"/>
      <c r="F86"/>
      <c r="G86"/>
      <c r="H86"/>
    </row>
    <row r="87" spans="1:8">
      <c r="A87"/>
      <c r="B87"/>
      <c r="C87"/>
      <c r="E87"/>
      <c r="F87"/>
      <c r="G87"/>
      <c r="H87"/>
    </row>
    <row r="88" spans="1:8">
      <c r="A88"/>
      <c r="B88"/>
      <c r="C88"/>
      <c r="E88"/>
      <c r="F88"/>
      <c r="G88"/>
      <c r="H88"/>
    </row>
    <row r="89" spans="1:8">
      <c r="A89"/>
      <c r="B89"/>
      <c r="C89"/>
      <c r="E89"/>
      <c r="F89"/>
      <c r="G89"/>
      <c r="H89"/>
    </row>
    <row r="90" spans="1:8">
      <c r="A90"/>
      <c r="B90"/>
      <c r="C90"/>
      <c r="E90"/>
      <c r="F90"/>
      <c r="G90"/>
      <c r="H90"/>
    </row>
    <row r="91" spans="1:8">
      <c r="A91"/>
      <c r="B91"/>
      <c r="C91"/>
      <c r="E91"/>
      <c r="F91"/>
      <c r="G91"/>
      <c r="H91"/>
    </row>
    <row r="92" spans="1:8">
      <c r="A92"/>
      <c r="B92"/>
      <c r="C92"/>
      <c r="E92"/>
      <c r="F92"/>
      <c r="G92"/>
      <c r="H92"/>
    </row>
    <row r="93" spans="1:8">
      <c r="A93"/>
      <c r="B93"/>
      <c r="C93"/>
      <c r="E93"/>
      <c r="F93"/>
      <c r="G93"/>
      <c r="H93"/>
    </row>
    <row r="94" spans="1:8">
      <c r="A94"/>
      <c r="B94"/>
      <c r="C94"/>
      <c r="E94"/>
      <c r="F94"/>
      <c r="G94"/>
      <c r="H94"/>
    </row>
    <row r="95" spans="1:8">
      <c r="A95"/>
      <c r="B95"/>
      <c r="C95"/>
      <c r="E95"/>
      <c r="F95"/>
      <c r="G95"/>
      <c r="H95"/>
    </row>
    <row r="96" spans="1:8">
      <c r="A96"/>
      <c r="B96"/>
      <c r="C96"/>
      <c r="E96"/>
      <c r="F96"/>
      <c r="G96"/>
      <c r="H96"/>
    </row>
    <row r="97" spans="1:8">
      <c r="A97"/>
      <c r="B97"/>
      <c r="C97"/>
      <c r="E97"/>
      <c r="F97"/>
      <c r="G97"/>
      <c r="H97"/>
    </row>
    <row r="98" spans="1:8">
      <c r="A98"/>
      <c r="B98"/>
      <c r="C98"/>
      <c r="E98"/>
      <c r="F98"/>
      <c r="G98"/>
      <c r="H98"/>
    </row>
    <row r="99" spans="1:8">
      <c r="A99"/>
      <c r="B99"/>
      <c r="C99"/>
      <c r="E99"/>
      <c r="F99"/>
      <c r="G99"/>
      <c r="H99"/>
    </row>
    <row r="100" spans="1:8">
      <c r="A100"/>
      <c r="B100"/>
      <c r="C100"/>
      <c r="E100"/>
      <c r="F100"/>
      <c r="G100"/>
      <c r="H100"/>
    </row>
    <row r="101" spans="1:8">
      <c r="A101"/>
      <c r="B101"/>
      <c r="C101"/>
      <c r="E101"/>
      <c r="F101"/>
      <c r="G101"/>
      <c r="H101"/>
    </row>
    <row r="102" spans="1:8">
      <c r="A102"/>
      <c r="B102"/>
      <c r="C102"/>
      <c r="E102"/>
      <c r="F102"/>
      <c r="G102"/>
      <c r="H102"/>
    </row>
    <row r="103" spans="1:8">
      <c r="A103"/>
      <c r="B103"/>
      <c r="C103"/>
      <c r="E103"/>
      <c r="F103"/>
      <c r="G103"/>
      <c r="H103"/>
    </row>
    <row r="104" spans="1:8">
      <c r="A104"/>
      <c r="B104"/>
      <c r="C104"/>
      <c r="E104"/>
      <c r="F104"/>
      <c r="G104"/>
      <c r="H104"/>
    </row>
    <row r="105" spans="1:8">
      <c r="A105"/>
      <c r="B105"/>
      <c r="C105"/>
      <c r="E105"/>
      <c r="F105"/>
      <c r="G105"/>
      <c r="H105"/>
    </row>
    <row r="106" spans="1:8">
      <c r="A106"/>
      <c r="B106"/>
      <c r="C106"/>
      <c r="E106"/>
      <c r="F106"/>
      <c r="G106"/>
      <c r="H106"/>
    </row>
    <row r="107" spans="1:8">
      <c r="A107"/>
      <c r="B107"/>
      <c r="C107"/>
      <c r="E107"/>
      <c r="F107"/>
      <c r="G107"/>
      <c r="H107"/>
    </row>
    <row r="108" spans="1:8">
      <c r="A108"/>
      <c r="B108"/>
      <c r="C108"/>
      <c r="E108"/>
      <c r="F108"/>
      <c r="G108"/>
      <c r="H108"/>
    </row>
    <row r="109" spans="1:8">
      <c r="A109"/>
      <c r="B109"/>
      <c r="C109"/>
      <c r="E109"/>
      <c r="F109"/>
      <c r="G109"/>
      <c r="H109"/>
    </row>
    <row r="110" spans="1:8">
      <c r="A110"/>
      <c r="B110"/>
      <c r="C110"/>
      <c r="E110"/>
      <c r="F110"/>
      <c r="G110"/>
      <c r="H110"/>
    </row>
    <row r="111" spans="1:8">
      <c r="A111"/>
      <c r="B111"/>
      <c r="C111"/>
      <c r="E111"/>
      <c r="F111"/>
      <c r="G111"/>
      <c r="H111"/>
    </row>
    <row r="112" spans="1:8">
      <c r="A112"/>
      <c r="B112"/>
      <c r="C112"/>
      <c r="E112"/>
      <c r="F112"/>
      <c r="G112"/>
      <c r="H112"/>
    </row>
    <row r="113" spans="1:8">
      <c r="A113"/>
      <c r="B113"/>
      <c r="C113"/>
      <c r="E113"/>
      <c r="F113"/>
      <c r="G113"/>
      <c r="H113"/>
    </row>
    <row r="114" spans="1:8">
      <c r="A114"/>
      <c r="B114"/>
      <c r="C114"/>
      <c r="E114"/>
      <c r="F114"/>
      <c r="G114"/>
      <c r="H114"/>
    </row>
    <row r="115" spans="1:8">
      <c r="A115"/>
      <c r="B115"/>
      <c r="C115"/>
      <c r="E115"/>
      <c r="F115"/>
      <c r="G115"/>
      <c r="H115"/>
    </row>
    <row r="116" spans="1:8">
      <c r="A116"/>
      <c r="B116"/>
      <c r="C116"/>
      <c r="E116"/>
      <c r="F116"/>
      <c r="G116"/>
      <c r="H116"/>
    </row>
    <row r="117" spans="1:8">
      <c r="A117"/>
      <c r="B117"/>
      <c r="C117"/>
      <c r="E117"/>
      <c r="F117"/>
      <c r="G117"/>
      <c r="H117"/>
    </row>
    <row r="118" spans="1:8">
      <c r="A118"/>
      <c r="B118"/>
      <c r="C118"/>
      <c r="E118"/>
      <c r="F118"/>
      <c r="G118"/>
      <c r="H118"/>
    </row>
    <row r="119" spans="1:8">
      <c r="A119"/>
      <c r="B119"/>
      <c r="C119"/>
      <c r="E119"/>
      <c r="F119"/>
      <c r="G119"/>
      <c r="H119"/>
    </row>
    <row r="120" spans="1:8">
      <c r="A120"/>
      <c r="B120"/>
      <c r="C120"/>
      <c r="E120"/>
      <c r="F120"/>
      <c r="G120"/>
      <c r="H120"/>
    </row>
    <row r="121" spans="1:8">
      <c r="A121"/>
      <c r="B121"/>
      <c r="C121"/>
      <c r="E121"/>
      <c r="F121"/>
      <c r="G121"/>
      <c r="H121"/>
    </row>
    <row r="122" spans="1:8">
      <c r="A122"/>
      <c r="B122"/>
      <c r="C122"/>
      <c r="E122"/>
      <c r="F122"/>
      <c r="G122"/>
      <c r="H122"/>
    </row>
    <row r="123" spans="1:8">
      <c r="A123"/>
      <c r="B123"/>
      <c r="C123"/>
      <c r="E123"/>
      <c r="F123"/>
      <c r="G123"/>
      <c r="H123"/>
    </row>
    <row r="124" spans="1:8">
      <c r="A124"/>
      <c r="B124"/>
      <c r="C124"/>
      <c r="E124"/>
      <c r="F124"/>
      <c r="G124"/>
      <c r="H124"/>
    </row>
    <row r="125" spans="1:8">
      <c r="A125"/>
      <c r="B125"/>
      <c r="C125"/>
      <c r="E125"/>
      <c r="F125"/>
      <c r="G125"/>
      <c r="H125"/>
    </row>
    <row r="126" spans="1:8">
      <c r="A126"/>
      <c r="B126"/>
      <c r="C126"/>
      <c r="E126"/>
      <c r="F126"/>
      <c r="G126"/>
      <c r="H126"/>
    </row>
    <row r="127" spans="1:8">
      <c r="A127"/>
      <c r="B127"/>
      <c r="C127"/>
      <c r="E127"/>
      <c r="F127"/>
      <c r="G127"/>
      <c r="H127"/>
    </row>
    <row r="128" spans="1:8">
      <c r="A128"/>
      <c r="B128"/>
      <c r="C128"/>
      <c r="E128"/>
      <c r="F128"/>
      <c r="G128"/>
      <c r="H128"/>
    </row>
    <row r="129" spans="1:8">
      <c r="A129"/>
      <c r="B129"/>
      <c r="C129"/>
      <c r="E129"/>
      <c r="F129"/>
      <c r="G129"/>
      <c r="H129"/>
    </row>
    <row r="130" spans="1:8">
      <c r="A130"/>
      <c r="B130"/>
      <c r="C130"/>
      <c r="E130"/>
      <c r="F130"/>
      <c r="G130"/>
      <c r="H130"/>
    </row>
    <row r="131" spans="1:8">
      <c r="A131"/>
      <c r="B131"/>
      <c r="C131"/>
      <c r="E131"/>
      <c r="F131"/>
      <c r="G131"/>
      <c r="H131"/>
    </row>
    <row r="132" spans="1:8">
      <c r="A132"/>
      <c r="B132"/>
      <c r="C132"/>
      <c r="E132"/>
      <c r="F132"/>
      <c r="G132"/>
      <c r="H132"/>
    </row>
    <row r="133" spans="1:8">
      <c r="A133"/>
      <c r="B133"/>
      <c r="C133"/>
      <c r="E133"/>
      <c r="F133"/>
      <c r="G133"/>
      <c r="H133"/>
    </row>
    <row r="134" spans="1:8">
      <c r="A134"/>
      <c r="B134"/>
      <c r="C134"/>
      <c r="E134"/>
      <c r="F134"/>
      <c r="G134"/>
      <c r="H134"/>
    </row>
    <row r="135" spans="1:8">
      <c r="A135"/>
      <c r="B135"/>
      <c r="C135"/>
      <c r="E135"/>
      <c r="F135"/>
      <c r="G135"/>
      <c r="H135"/>
    </row>
    <row r="136" spans="1:8">
      <c r="A136"/>
      <c r="B136"/>
      <c r="C136"/>
      <c r="E136"/>
      <c r="F136"/>
      <c r="G136"/>
      <c r="H136"/>
    </row>
    <row r="137" spans="1:8">
      <c r="A137"/>
      <c r="B137"/>
      <c r="C137"/>
      <c r="E137"/>
      <c r="F137"/>
      <c r="G137"/>
      <c r="H137"/>
    </row>
    <row r="138" spans="1:8">
      <c r="A138"/>
      <c r="B138"/>
      <c r="C138"/>
      <c r="E138"/>
      <c r="F138"/>
      <c r="G138"/>
      <c r="H138"/>
    </row>
    <row r="139" spans="1:8">
      <c r="A139"/>
      <c r="B139"/>
      <c r="C139"/>
      <c r="E139"/>
      <c r="F139"/>
      <c r="G139"/>
      <c r="H139"/>
    </row>
    <row r="140" spans="1:8">
      <c r="A140"/>
      <c r="B140"/>
      <c r="C140"/>
      <c r="E140"/>
      <c r="F140"/>
      <c r="G140"/>
      <c r="H140"/>
    </row>
    <row r="141" spans="1:8">
      <c r="A141"/>
      <c r="B141"/>
      <c r="C141"/>
      <c r="E141"/>
      <c r="F141"/>
      <c r="G141"/>
      <c r="H141"/>
    </row>
    <row r="142" spans="1:8">
      <c r="A142"/>
      <c r="B142"/>
      <c r="C142"/>
      <c r="E142"/>
      <c r="F142"/>
      <c r="G142"/>
      <c r="H142"/>
    </row>
    <row r="143" spans="1:8">
      <c r="A143"/>
      <c r="B143"/>
      <c r="C143"/>
      <c r="E143"/>
      <c r="F143"/>
      <c r="G143"/>
      <c r="H143"/>
    </row>
    <row r="144" spans="1:8">
      <c r="A144"/>
      <c r="B144"/>
      <c r="C144"/>
      <c r="E144"/>
      <c r="F144"/>
      <c r="G144"/>
      <c r="H144"/>
    </row>
    <row r="145" spans="1:8">
      <c r="A145"/>
      <c r="B145"/>
      <c r="C145"/>
      <c r="E145"/>
      <c r="F145"/>
      <c r="G145"/>
      <c r="H145"/>
    </row>
    <row r="146" spans="1:8">
      <c r="A146"/>
      <c r="B146"/>
      <c r="C146"/>
      <c r="E146"/>
      <c r="F146"/>
      <c r="G146"/>
      <c r="H146"/>
    </row>
    <row r="147" spans="1:8">
      <c r="A147"/>
      <c r="B147"/>
      <c r="C147"/>
      <c r="E147"/>
      <c r="F147"/>
      <c r="G147"/>
      <c r="H147"/>
    </row>
    <row r="148" spans="1:8">
      <c r="A148"/>
      <c r="B148"/>
      <c r="C148"/>
      <c r="E148"/>
      <c r="F148"/>
      <c r="G148"/>
      <c r="H148"/>
    </row>
    <row r="149" spans="1:8">
      <c r="A149"/>
      <c r="B149"/>
      <c r="C149"/>
      <c r="E149"/>
      <c r="F149"/>
      <c r="G149"/>
      <c r="H149"/>
    </row>
    <row r="150" spans="1:8">
      <c r="A150"/>
      <c r="B150"/>
      <c r="C150"/>
      <c r="E150"/>
      <c r="F150"/>
      <c r="G150"/>
      <c r="H150"/>
    </row>
    <row r="151" spans="1:8">
      <c r="A151"/>
      <c r="B151"/>
      <c r="C151"/>
      <c r="E151"/>
      <c r="F151"/>
      <c r="G151"/>
      <c r="H151"/>
    </row>
    <row r="152" spans="1:8">
      <c r="A152"/>
      <c r="B152"/>
      <c r="C152"/>
      <c r="E152"/>
      <c r="F152"/>
      <c r="G152"/>
      <c r="H152"/>
    </row>
    <row r="153" spans="1:8">
      <c r="A153"/>
      <c r="B153"/>
      <c r="C153"/>
      <c r="E153"/>
      <c r="F153"/>
      <c r="G153"/>
      <c r="H153"/>
    </row>
    <row r="154" spans="1:8">
      <c r="A154"/>
      <c r="B154"/>
      <c r="C154"/>
      <c r="E154"/>
      <c r="F154"/>
      <c r="G154"/>
      <c r="H154"/>
    </row>
    <row r="155" spans="1:8">
      <c r="A155"/>
      <c r="B155"/>
      <c r="C155"/>
      <c r="E155"/>
      <c r="F155"/>
      <c r="G155"/>
      <c r="H155"/>
    </row>
    <row r="156" spans="1:8">
      <c r="A156"/>
      <c r="B156"/>
      <c r="C156"/>
      <c r="E156"/>
      <c r="F156"/>
      <c r="G156"/>
      <c r="H156"/>
    </row>
    <row r="157" spans="1:8">
      <c r="A157"/>
      <c r="B157"/>
      <c r="C157"/>
      <c r="E157"/>
      <c r="F157"/>
      <c r="G157"/>
      <c r="H157"/>
    </row>
    <row r="158" spans="1:8">
      <c r="A158"/>
      <c r="B158"/>
      <c r="C158"/>
      <c r="E158"/>
      <c r="F158"/>
      <c r="G158"/>
      <c r="H158"/>
    </row>
    <row r="159" spans="1:8">
      <c r="A159"/>
      <c r="B159"/>
      <c r="C159"/>
      <c r="E159"/>
      <c r="F159"/>
      <c r="G159"/>
      <c r="H159"/>
    </row>
    <row r="160" spans="1:8">
      <c r="A160"/>
      <c r="B160"/>
      <c r="C160"/>
      <c r="E160"/>
      <c r="F160"/>
      <c r="G160"/>
      <c r="H160"/>
    </row>
    <row r="161" spans="1:8">
      <c r="A161"/>
      <c r="B161"/>
      <c r="C161"/>
      <c r="E161"/>
      <c r="F161"/>
      <c r="G161"/>
      <c r="H161"/>
    </row>
    <row r="162" spans="1:8">
      <c r="A162"/>
      <c r="B162"/>
      <c r="C162"/>
      <c r="E162"/>
      <c r="F162"/>
      <c r="G162"/>
      <c r="H162"/>
    </row>
    <row r="163" spans="1:8">
      <c r="A163"/>
      <c r="B163"/>
      <c r="C163"/>
      <c r="E163"/>
      <c r="F163"/>
      <c r="G163"/>
      <c r="H163"/>
    </row>
    <row r="164" spans="1:8">
      <c r="A164"/>
      <c r="B164"/>
      <c r="C164"/>
      <c r="E164"/>
      <c r="F164"/>
      <c r="G164"/>
      <c r="H164"/>
    </row>
    <row r="165" spans="1:8">
      <c r="A165"/>
      <c r="B165"/>
      <c r="C165"/>
      <c r="E165"/>
      <c r="F165"/>
      <c r="G165"/>
      <c r="H165"/>
    </row>
    <row r="166" spans="1:8">
      <c r="A166"/>
      <c r="B166"/>
      <c r="C166"/>
      <c r="E166"/>
      <c r="F166"/>
      <c r="G166"/>
      <c r="H166"/>
    </row>
    <row r="167" spans="1:8">
      <c r="A167"/>
      <c r="B167"/>
      <c r="C167"/>
      <c r="E167"/>
      <c r="F167"/>
      <c r="G167"/>
      <c r="H167"/>
    </row>
    <row r="168" spans="1:8">
      <c r="A168"/>
      <c r="B168"/>
      <c r="C168"/>
      <c r="E168"/>
      <c r="F168"/>
      <c r="G168"/>
      <c r="H168"/>
    </row>
    <row r="169" spans="1:8">
      <c r="A169"/>
      <c r="B169"/>
      <c r="C169"/>
      <c r="E169"/>
      <c r="F169"/>
      <c r="G169"/>
      <c r="H169"/>
    </row>
    <row r="170" spans="1:8">
      <c r="A170"/>
      <c r="B170"/>
      <c r="C170"/>
      <c r="E170"/>
      <c r="F170"/>
      <c r="G170"/>
      <c r="H170"/>
    </row>
    <row r="171" spans="1:8">
      <c r="A171"/>
      <c r="B171"/>
      <c r="C171"/>
      <c r="E171"/>
      <c r="F171"/>
      <c r="G171"/>
      <c r="H171"/>
    </row>
    <row r="172" spans="1:8">
      <c r="A172"/>
      <c r="B172"/>
      <c r="C172"/>
      <c r="E172"/>
      <c r="F172"/>
      <c r="G172"/>
      <c r="H172"/>
    </row>
    <row r="173" spans="1:8">
      <c r="A173"/>
      <c r="B173"/>
      <c r="C173"/>
      <c r="E173"/>
      <c r="F173"/>
      <c r="G173"/>
      <c r="H173"/>
    </row>
    <row r="174" spans="1:8">
      <c r="A174"/>
      <c r="B174"/>
      <c r="C174"/>
      <c r="E174"/>
      <c r="F174"/>
      <c r="G174"/>
      <c r="H174"/>
    </row>
    <row r="175" spans="1:8">
      <c r="A175"/>
      <c r="B175"/>
      <c r="C175"/>
      <c r="E175"/>
      <c r="F175"/>
      <c r="G175"/>
      <c r="H175"/>
    </row>
    <row r="176" spans="1:8">
      <c r="A176"/>
      <c r="B176"/>
      <c r="C176"/>
      <c r="E176"/>
      <c r="F176"/>
      <c r="G176"/>
      <c r="H176"/>
    </row>
    <row r="177" spans="1:8">
      <c r="A177"/>
      <c r="B177"/>
      <c r="C177"/>
      <c r="E177"/>
      <c r="F177"/>
      <c r="G177"/>
      <c r="H177"/>
    </row>
    <row r="178" spans="1:8">
      <c r="A178"/>
      <c r="B178"/>
      <c r="C178"/>
      <c r="E178"/>
      <c r="F178"/>
      <c r="G178"/>
      <c r="H178"/>
    </row>
    <row r="179" spans="1:8">
      <c r="A179"/>
      <c r="B179"/>
      <c r="C179"/>
      <c r="E179"/>
      <c r="F179"/>
      <c r="G179"/>
      <c r="H179"/>
    </row>
    <row r="180" spans="1:8">
      <c r="A180"/>
      <c r="B180"/>
      <c r="C180"/>
      <c r="E180"/>
      <c r="F180"/>
      <c r="G180"/>
      <c r="H180"/>
    </row>
    <row r="181" spans="1:8">
      <c r="A181"/>
      <c r="B181"/>
      <c r="C181"/>
      <c r="E181"/>
      <c r="F181"/>
      <c r="G181"/>
      <c r="H181"/>
    </row>
    <row r="182" spans="1:8">
      <c r="A182"/>
      <c r="B182"/>
      <c r="C182"/>
      <c r="E182"/>
      <c r="F182"/>
      <c r="G182"/>
      <c r="H182"/>
    </row>
    <row r="183" spans="1:8">
      <c r="A183"/>
      <c r="B183"/>
      <c r="C183"/>
      <c r="E183"/>
      <c r="F183"/>
      <c r="G183"/>
      <c r="H183"/>
    </row>
    <row r="184" spans="1:8">
      <c r="A184"/>
      <c r="B184"/>
      <c r="C184"/>
      <c r="E184"/>
      <c r="F184"/>
      <c r="G184"/>
      <c r="H184"/>
    </row>
    <row r="185" spans="1:8">
      <c r="A185"/>
      <c r="B185"/>
      <c r="C185"/>
      <c r="E185"/>
      <c r="F185"/>
      <c r="G185"/>
      <c r="H185"/>
    </row>
    <row r="186" spans="1:8">
      <c r="A186"/>
      <c r="B186"/>
      <c r="C186"/>
      <c r="E186"/>
      <c r="F186"/>
      <c r="G186"/>
      <c r="H186"/>
    </row>
    <row r="187" spans="1:8">
      <c r="A187"/>
      <c r="B187"/>
      <c r="C187"/>
      <c r="E187"/>
      <c r="F187"/>
      <c r="G187"/>
      <c r="H187"/>
    </row>
    <row r="188" spans="1:8">
      <c r="A188"/>
      <c r="B188"/>
      <c r="C188"/>
      <c r="E188"/>
      <c r="F188"/>
      <c r="G188"/>
      <c r="H188"/>
    </row>
    <row r="189" spans="1:8">
      <c r="A189"/>
      <c r="B189"/>
      <c r="C189"/>
      <c r="E189"/>
      <c r="F189"/>
      <c r="G189"/>
      <c r="H189"/>
    </row>
    <row r="190" spans="1:8">
      <c r="A190"/>
      <c r="B190"/>
      <c r="C190"/>
      <c r="E190"/>
      <c r="F190"/>
      <c r="G190"/>
      <c r="H190"/>
    </row>
    <row r="191" spans="1:8">
      <c r="A191"/>
      <c r="B191"/>
      <c r="C191"/>
      <c r="E191"/>
      <c r="F191"/>
      <c r="G191"/>
      <c r="H191"/>
    </row>
    <row r="192" spans="1:8">
      <c r="A192"/>
      <c r="B192"/>
      <c r="C192"/>
      <c r="E192"/>
      <c r="F192"/>
      <c r="G192"/>
      <c r="H192"/>
    </row>
    <row r="193" spans="1:8">
      <c r="A193"/>
      <c r="B193"/>
      <c r="C193"/>
      <c r="E193"/>
      <c r="F193"/>
      <c r="G193"/>
      <c r="H193"/>
    </row>
    <row r="194" spans="1:8">
      <c r="A194"/>
      <c r="B194"/>
      <c r="C194"/>
      <c r="E194"/>
      <c r="F194"/>
      <c r="G194"/>
      <c r="H194"/>
    </row>
    <row r="195" spans="1:8">
      <c r="A195"/>
      <c r="B195"/>
      <c r="C195"/>
      <c r="E195"/>
      <c r="F195"/>
      <c r="G195"/>
      <c r="H195"/>
    </row>
    <row r="196" spans="1:8">
      <c r="A196"/>
      <c r="B196"/>
      <c r="C196"/>
      <c r="E196"/>
      <c r="F196"/>
      <c r="G196"/>
      <c r="H196"/>
    </row>
    <row r="197" spans="1:8">
      <c r="A197"/>
      <c r="B197"/>
      <c r="C197"/>
      <c r="E197"/>
      <c r="F197"/>
      <c r="G197"/>
      <c r="H197"/>
    </row>
    <row r="198" spans="1:8">
      <c r="A198"/>
      <c r="B198"/>
      <c r="C198"/>
      <c r="E198"/>
      <c r="F198"/>
      <c r="G198"/>
      <c r="H198"/>
    </row>
    <row r="199" spans="1:8">
      <c r="A199"/>
      <c r="B199"/>
      <c r="C199"/>
      <c r="E199"/>
      <c r="F199"/>
      <c r="G199"/>
      <c r="H199"/>
    </row>
    <row r="200" spans="1:8">
      <c r="A200"/>
      <c r="B200"/>
      <c r="C200"/>
      <c r="E200"/>
      <c r="F200"/>
      <c r="G200"/>
      <c r="H200"/>
    </row>
    <row r="201" spans="1:8">
      <c r="A201"/>
      <c r="B201"/>
      <c r="C201"/>
      <c r="E201"/>
      <c r="F201"/>
      <c r="G201"/>
      <c r="H201"/>
    </row>
    <row r="202" spans="1:8">
      <c r="A202"/>
      <c r="B202"/>
      <c r="C202"/>
      <c r="E202"/>
      <c r="F202"/>
      <c r="G202"/>
      <c r="H202"/>
    </row>
    <row r="203" spans="1:8">
      <c r="A203"/>
      <c r="B203"/>
      <c r="C203"/>
      <c r="E203"/>
      <c r="F203"/>
      <c r="G203"/>
      <c r="H203"/>
    </row>
    <row r="204" spans="1:8">
      <c r="A204"/>
      <c r="B204"/>
      <c r="C204"/>
      <c r="E204"/>
      <c r="F204"/>
      <c r="G204"/>
      <c r="H204"/>
    </row>
    <row r="205" spans="1:8">
      <c r="A205"/>
      <c r="B205"/>
      <c r="C205"/>
      <c r="E205"/>
      <c r="F205"/>
      <c r="G205"/>
      <c r="H205"/>
    </row>
    <row r="206" spans="1:8">
      <c r="A206"/>
      <c r="B206"/>
      <c r="C206"/>
      <c r="E206"/>
      <c r="F206"/>
      <c r="G206"/>
      <c r="H206"/>
    </row>
    <row r="207" spans="1:8">
      <c r="A207"/>
      <c r="B207"/>
      <c r="C207"/>
      <c r="E207"/>
      <c r="F207"/>
      <c r="G207"/>
      <c r="H207"/>
    </row>
    <row r="208" spans="1:8">
      <c r="A208"/>
      <c r="B208"/>
      <c r="C208"/>
      <c r="E208"/>
      <c r="F208"/>
      <c r="G208"/>
      <c r="H208"/>
    </row>
    <row r="209" spans="1:8">
      <c r="A209"/>
      <c r="B209"/>
      <c r="C209"/>
      <c r="E209"/>
      <c r="F209"/>
      <c r="G209"/>
      <c r="H209"/>
    </row>
    <row r="210" spans="1:8">
      <c r="A210"/>
      <c r="B210"/>
      <c r="C210"/>
      <c r="E210"/>
      <c r="F210"/>
      <c r="G210"/>
      <c r="H210"/>
    </row>
    <row r="211" spans="1:8">
      <c r="A211"/>
      <c r="B211"/>
      <c r="C211"/>
      <c r="E211"/>
      <c r="F211"/>
      <c r="G211"/>
      <c r="H211"/>
    </row>
    <row r="212" spans="1:8">
      <c r="A212"/>
      <c r="B212"/>
      <c r="C212"/>
      <c r="E212"/>
      <c r="F212"/>
      <c r="G212"/>
      <c r="H212"/>
    </row>
    <row r="213" spans="1:8">
      <c r="A213"/>
      <c r="B213"/>
      <c r="C213"/>
      <c r="E213"/>
      <c r="F213"/>
      <c r="G213"/>
      <c r="H213"/>
    </row>
    <row r="214" spans="1:8">
      <c r="A214"/>
      <c r="B214"/>
      <c r="C214"/>
      <c r="E214"/>
      <c r="F214"/>
      <c r="G214"/>
      <c r="H214"/>
    </row>
    <row r="215" spans="1:8">
      <c r="A215"/>
      <c r="B215"/>
      <c r="C215"/>
      <c r="E215"/>
      <c r="F215"/>
      <c r="G215"/>
      <c r="H215"/>
    </row>
    <row r="216" spans="1:8">
      <c r="A216"/>
      <c r="B216"/>
      <c r="C216"/>
      <c r="E216"/>
      <c r="F216"/>
      <c r="G216"/>
      <c r="H216"/>
    </row>
    <row r="217" spans="1:8">
      <c r="A217"/>
      <c r="B217"/>
      <c r="C217"/>
      <c r="E217"/>
      <c r="F217"/>
      <c r="G217"/>
      <c r="H217"/>
    </row>
    <row r="218" spans="1:8">
      <c r="A218"/>
      <c r="B218"/>
      <c r="C218"/>
      <c r="E218"/>
      <c r="F218"/>
      <c r="G218"/>
      <c r="H218"/>
    </row>
    <row r="219" spans="1:8">
      <c r="A219"/>
      <c r="B219"/>
      <c r="C219"/>
      <c r="E219"/>
      <c r="F219"/>
      <c r="G219"/>
      <c r="H219"/>
    </row>
    <row r="220" spans="1:8">
      <c r="A220"/>
      <c r="B220"/>
      <c r="C220"/>
      <c r="E220"/>
      <c r="F220"/>
      <c r="G220"/>
      <c r="H220"/>
    </row>
    <row r="221" spans="1:8">
      <c r="A221"/>
      <c r="B221"/>
      <c r="C221"/>
      <c r="E221"/>
      <c r="F221"/>
      <c r="G221"/>
      <c r="H221"/>
    </row>
    <row r="222" spans="1:8">
      <c r="A222"/>
      <c r="B222"/>
      <c r="C222"/>
      <c r="E222"/>
      <c r="F222"/>
      <c r="G222"/>
      <c r="H222"/>
    </row>
    <row r="223" spans="1:8">
      <c r="A223"/>
      <c r="B223"/>
      <c r="C223"/>
      <c r="E223"/>
      <c r="F223"/>
      <c r="G223"/>
      <c r="H223"/>
    </row>
    <row r="224" spans="1:8">
      <c r="A224"/>
      <c r="B224"/>
      <c r="C224"/>
      <c r="E224"/>
      <c r="F224"/>
      <c r="G224"/>
      <c r="H224"/>
    </row>
    <row r="225" spans="1:8">
      <c r="A225"/>
      <c r="B225"/>
      <c r="C225"/>
      <c r="E225"/>
      <c r="F225"/>
      <c r="G225"/>
      <c r="H225"/>
    </row>
    <row r="226" spans="1:8">
      <c r="A226"/>
      <c r="B226"/>
      <c r="C226"/>
      <c r="E226"/>
      <c r="F226"/>
      <c r="G226"/>
      <c r="H226"/>
    </row>
    <row r="227" spans="1:8">
      <c r="A227"/>
      <c r="B227"/>
      <c r="C227"/>
      <c r="E227"/>
      <c r="F227"/>
      <c r="G227"/>
      <c r="H227"/>
    </row>
    <row r="228" spans="1:8">
      <c r="A228"/>
      <c r="B228"/>
      <c r="C228"/>
      <c r="E228"/>
      <c r="F228"/>
      <c r="G228"/>
      <c r="H228"/>
    </row>
    <row r="229" spans="1:8">
      <c r="A229"/>
      <c r="B229"/>
      <c r="C229"/>
      <c r="E229"/>
      <c r="F229"/>
      <c r="G229"/>
      <c r="H229"/>
    </row>
    <row r="230" spans="1:8">
      <c r="A230"/>
      <c r="B230"/>
      <c r="C230"/>
      <c r="E230"/>
      <c r="F230"/>
      <c r="G230"/>
      <c r="H230"/>
    </row>
    <row r="231" spans="1:8">
      <c r="A231"/>
      <c r="B231"/>
      <c r="C231"/>
      <c r="E231"/>
      <c r="F231"/>
      <c r="G231"/>
      <c r="H231"/>
    </row>
    <row r="232" spans="1:8">
      <c r="A232"/>
      <c r="B232"/>
      <c r="C232"/>
      <c r="E232"/>
      <c r="F232"/>
      <c r="G232"/>
      <c r="H232"/>
    </row>
    <row r="233" spans="1:8">
      <c r="A233"/>
      <c r="B233"/>
      <c r="C233"/>
      <c r="E233"/>
      <c r="F233"/>
      <c r="G233"/>
      <c r="H233"/>
    </row>
    <row r="234" spans="1:8">
      <c r="A234"/>
      <c r="B234"/>
      <c r="C234"/>
      <c r="E234"/>
      <c r="F234"/>
      <c r="G234"/>
      <c r="H234"/>
    </row>
    <row r="235" spans="1:8">
      <c r="A235"/>
      <c r="B235"/>
      <c r="C235"/>
      <c r="E235"/>
      <c r="F235"/>
      <c r="G235"/>
      <c r="H235"/>
    </row>
    <row r="236" spans="1:8">
      <c r="A236"/>
      <c r="B236"/>
      <c r="C236"/>
      <c r="E236"/>
      <c r="F236"/>
      <c r="G236"/>
      <c r="H236"/>
    </row>
    <row r="237" spans="1:8">
      <c r="A237"/>
      <c r="B237"/>
      <c r="C237"/>
      <c r="E237"/>
      <c r="F237"/>
      <c r="G237"/>
      <c r="H237"/>
    </row>
    <row r="238" spans="1:8">
      <c r="A238"/>
      <c r="B238"/>
      <c r="C238"/>
      <c r="E238"/>
      <c r="F238"/>
      <c r="G238"/>
      <c r="H238"/>
    </row>
    <row r="239" spans="1:8">
      <c r="A239"/>
      <c r="B239"/>
      <c r="C239"/>
      <c r="E239"/>
      <c r="F239"/>
      <c r="G239"/>
      <c r="H239"/>
    </row>
    <row r="240" spans="1:8">
      <c r="A240"/>
      <c r="B240"/>
      <c r="C240"/>
      <c r="E240"/>
      <c r="F240"/>
      <c r="G240"/>
      <c r="H240"/>
    </row>
    <row r="241" spans="1:8">
      <c r="A241"/>
      <c r="B241"/>
      <c r="C241"/>
      <c r="E241"/>
      <c r="F241"/>
      <c r="G241"/>
      <c r="H241"/>
    </row>
    <row r="242" spans="1:8">
      <c r="A242"/>
      <c r="B242"/>
      <c r="C242"/>
      <c r="E242"/>
      <c r="F242"/>
      <c r="G242"/>
      <c r="H242"/>
    </row>
    <row r="243" spans="1:8">
      <c r="A243"/>
      <c r="B243"/>
      <c r="C243"/>
      <c r="E243"/>
      <c r="F243"/>
      <c r="G243"/>
      <c r="H243"/>
    </row>
    <row r="244" spans="1:8">
      <c r="A244"/>
      <c r="B244"/>
      <c r="C244"/>
      <c r="E244"/>
      <c r="F244"/>
      <c r="G244"/>
      <c r="H244"/>
    </row>
    <row r="245" spans="1:8">
      <c r="A245"/>
      <c r="B245"/>
      <c r="C245"/>
      <c r="E245"/>
      <c r="F245"/>
      <c r="G245"/>
      <c r="H245"/>
    </row>
    <row r="246" spans="1:8">
      <c r="A246"/>
      <c r="B246"/>
      <c r="C246"/>
      <c r="E246"/>
      <c r="F246"/>
      <c r="G246"/>
      <c r="H246"/>
    </row>
    <row r="247" spans="1:8">
      <c r="A247"/>
      <c r="B247"/>
      <c r="C247"/>
      <c r="E247"/>
      <c r="F247"/>
      <c r="G247"/>
      <c r="H247"/>
    </row>
    <row r="248" spans="1:8">
      <c r="A248"/>
      <c r="B248"/>
      <c r="C248"/>
      <c r="E248"/>
      <c r="F248"/>
      <c r="G248"/>
      <c r="H248"/>
    </row>
    <row r="249" spans="1:8">
      <c r="A249"/>
      <c r="B249"/>
      <c r="C249"/>
      <c r="E249"/>
      <c r="F249"/>
      <c r="G249"/>
      <c r="H249"/>
    </row>
    <row r="250" spans="1:8">
      <c r="A250"/>
      <c r="B250"/>
      <c r="C250"/>
      <c r="E250"/>
      <c r="F250"/>
      <c r="G250"/>
      <c r="H250"/>
    </row>
    <row r="251" spans="1:8">
      <c r="A251"/>
      <c r="B251"/>
      <c r="C251"/>
      <c r="E251"/>
      <c r="F251"/>
      <c r="G251"/>
      <c r="H251"/>
    </row>
    <row r="252" spans="1:8">
      <c r="A252"/>
      <c r="B252"/>
      <c r="C252"/>
      <c r="E252"/>
      <c r="F252"/>
      <c r="G252"/>
      <c r="H252"/>
    </row>
    <row r="253" spans="1:8">
      <c r="A253"/>
      <c r="B253"/>
      <c r="C253"/>
      <c r="E253"/>
      <c r="F253"/>
      <c r="G253"/>
      <c r="H253"/>
    </row>
    <row r="254" spans="1:8">
      <c r="A254"/>
      <c r="B254"/>
      <c r="C254"/>
      <c r="E254"/>
      <c r="F254"/>
      <c r="G254"/>
      <c r="H254"/>
    </row>
    <row r="255" spans="1:8">
      <c r="A255"/>
      <c r="B255"/>
      <c r="C255"/>
      <c r="E255"/>
      <c r="F255"/>
      <c r="G255"/>
      <c r="H255"/>
    </row>
    <row r="256" spans="1:8">
      <c r="A256"/>
      <c r="B256"/>
      <c r="C256"/>
      <c r="E256"/>
      <c r="F256"/>
      <c r="G256"/>
      <c r="H256"/>
    </row>
    <row r="257" spans="1:8">
      <c r="A257"/>
      <c r="B257"/>
      <c r="C257"/>
      <c r="E257"/>
      <c r="F257"/>
      <c r="G257"/>
      <c r="H257"/>
    </row>
    <row r="258" spans="1:8">
      <c r="A258"/>
      <c r="B258"/>
      <c r="C258"/>
      <c r="E258"/>
      <c r="F258"/>
      <c r="G258"/>
      <c r="H258"/>
    </row>
    <row r="259" spans="1:8">
      <c r="A259"/>
      <c r="B259"/>
      <c r="C259"/>
      <c r="E259"/>
      <c r="F259"/>
      <c r="G259"/>
      <c r="H259"/>
    </row>
    <row r="260" spans="1:8">
      <c r="A260"/>
      <c r="B260"/>
      <c r="C260"/>
      <c r="E260"/>
      <c r="F260"/>
      <c r="G260"/>
      <c r="H260"/>
    </row>
    <row r="261" spans="1:8">
      <c r="A261"/>
      <c r="B261"/>
      <c r="C261"/>
      <c r="E261"/>
      <c r="F261"/>
      <c r="G261"/>
      <c r="H261"/>
    </row>
    <row r="262" spans="1:8">
      <c r="A262"/>
      <c r="B262"/>
      <c r="C262"/>
      <c r="E262"/>
      <c r="F262"/>
      <c r="G262"/>
      <c r="H262"/>
    </row>
    <row r="263" spans="1:8">
      <c r="A263"/>
      <c r="B263"/>
      <c r="C263"/>
      <c r="E263"/>
      <c r="F263"/>
      <c r="G263"/>
      <c r="H263"/>
    </row>
    <row r="264" spans="1:8">
      <c r="A264"/>
      <c r="B264"/>
      <c r="C264"/>
      <c r="E264"/>
      <c r="F264"/>
      <c r="G264"/>
      <c r="H264"/>
    </row>
    <row r="265" spans="1:8">
      <c r="A265"/>
      <c r="B265"/>
      <c r="C265"/>
      <c r="E265"/>
      <c r="F265"/>
      <c r="G265"/>
      <c r="H265"/>
    </row>
    <row r="266" spans="1:8">
      <c r="A266"/>
      <c r="B266"/>
      <c r="C266"/>
      <c r="E266"/>
      <c r="F266"/>
      <c r="G266"/>
      <c r="H266"/>
    </row>
    <row r="267" spans="1:8">
      <c r="A267"/>
      <c r="B267"/>
      <c r="C267"/>
      <c r="E267"/>
      <c r="F267"/>
      <c r="G267"/>
      <c r="H267"/>
    </row>
    <row r="268" spans="1:8">
      <c r="A268"/>
      <c r="B268"/>
      <c r="C268"/>
      <c r="E268"/>
      <c r="F268"/>
      <c r="G268"/>
      <c r="H268"/>
    </row>
    <row r="269" spans="1:8">
      <c r="A269"/>
      <c r="B269"/>
      <c r="C269"/>
      <c r="E269"/>
      <c r="F269"/>
      <c r="G269"/>
      <c r="H269"/>
    </row>
    <row r="270" spans="1:8">
      <c r="A270"/>
      <c r="B270"/>
      <c r="C270"/>
      <c r="E270"/>
      <c r="F270"/>
      <c r="G270"/>
      <c r="H270"/>
    </row>
    <row r="271" spans="1:8">
      <c r="A271"/>
      <c r="B271"/>
      <c r="C271"/>
      <c r="E271"/>
      <c r="F271"/>
      <c r="G271"/>
      <c r="H271"/>
    </row>
    <row r="272" spans="1:8">
      <c r="A272"/>
      <c r="B272"/>
      <c r="C272"/>
      <c r="E272"/>
      <c r="F272"/>
      <c r="G272"/>
      <c r="H272"/>
    </row>
    <row r="273" spans="1:8">
      <c r="A273"/>
      <c r="B273"/>
      <c r="C273"/>
      <c r="E273"/>
      <c r="F273"/>
      <c r="G273"/>
      <c r="H273"/>
    </row>
    <row r="274" spans="1:8">
      <c r="A274"/>
      <c r="B274"/>
      <c r="C274"/>
      <c r="E274"/>
      <c r="F274"/>
      <c r="G274"/>
      <c r="H274"/>
    </row>
    <row r="275" spans="1:8">
      <c r="A275"/>
      <c r="B275"/>
      <c r="C275"/>
      <c r="E275"/>
      <c r="F275"/>
      <c r="G275"/>
      <c r="H275"/>
    </row>
    <row r="276" spans="1:8">
      <c r="A276"/>
      <c r="B276"/>
      <c r="C276"/>
      <c r="E276"/>
      <c r="F276"/>
      <c r="G276"/>
      <c r="H276"/>
    </row>
    <row r="277" spans="1:8">
      <c r="A277"/>
      <c r="B277"/>
      <c r="C277"/>
      <c r="E277"/>
      <c r="F277"/>
      <c r="G277"/>
      <c r="H277"/>
    </row>
    <row r="278" spans="1:8">
      <c r="A278"/>
      <c r="B278"/>
      <c r="C278"/>
      <c r="E278"/>
      <c r="F278"/>
      <c r="G278"/>
      <c r="H278"/>
    </row>
    <row r="279" spans="1:8">
      <c r="A279"/>
      <c r="B279"/>
      <c r="C279"/>
      <c r="E279"/>
      <c r="F279"/>
      <c r="G279"/>
      <c r="H279"/>
    </row>
    <row r="280" spans="1:8">
      <c r="A280"/>
      <c r="B280"/>
      <c r="C280"/>
      <c r="E280"/>
      <c r="F280"/>
      <c r="G280"/>
      <c r="H280"/>
    </row>
    <row r="281" spans="1:8">
      <c r="A281"/>
      <c r="B281"/>
      <c r="C281"/>
      <c r="E281"/>
      <c r="F281"/>
      <c r="G281"/>
      <c r="H281"/>
    </row>
    <row r="282" spans="1:8">
      <c r="A282"/>
      <c r="B282"/>
      <c r="C282"/>
      <c r="E282"/>
      <c r="F282"/>
      <c r="G282"/>
      <c r="H282"/>
    </row>
    <row r="283" spans="1:8">
      <c r="A283"/>
      <c r="B283"/>
      <c r="C283"/>
      <c r="E283"/>
      <c r="F283"/>
      <c r="G283"/>
      <c r="H283"/>
    </row>
    <row r="284" spans="1:8">
      <c r="A284"/>
      <c r="B284"/>
      <c r="C284"/>
      <c r="E284"/>
      <c r="F284"/>
      <c r="G284"/>
      <c r="H284"/>
    </row>
    <row r="285" spans="1:8">
      <c r="A285"/>
      <c r="B285"/>
      <c r="C285"/>
      <c r="E285"/>
      <c r="F285"/>
      <c r="G285"/>
      <c r="H285"/>
    </row>
    <row r="286" spans="1:8">
      <c r="A286"/>
      <c r="B286"/>
      <c r="C286"/>
      <c r="E286"/>
      <c r="F286"/>
      <c r="G286"/>
      <c r="H286"/>
    </row>
    <row r="287" spans="1:8">
      <c r="A287"/>
      <c r="B287"/>
      <c r="C287"/>
      <c r="E287"/>
      <c r="F287"/>
      <c r="G287"/>
      <c r="H287"/>
    </row>
    <row r="288" spans="1:8">
      <c r="A288"/>
      <c r="B288"/>
      <c r="C288"/>
      <c r="E288"/>
      <c r="F288"/>
      <c r="G288"/>
      <c r="H288"/>
    </row>
    <row r="289" spans="1:8">
      <c r="A289"/>
      <c r="B289"/>
      <c r="C289"/>
      <c r="E289"/>
      <c r="F289"/>
      <c r="G289"/>
      <c r="H289"/>
    </row>
    <row r="290" spans="1:8">
      <c r="A290"/>
      <c r="B290"/>
      <c r="C290"/>
      <c r="E290"/>
      <c r="F290"/>
      <c r="G290"/>
      <c r="H290"/>
    </row>
    <row r="291" spans="1:8">
      <c r="A291"/>
      <c r="B291"/>
      <c r="C291"/>
      <c r="E291"/>
      <c r="F291"/>
      <c r="G291"/>
      <c r="H291"/>
    </row>
    <row r="292" spans="1:8">
      <c r="A292"/>
      <c r="B292"/>
      <c r="C292"/>
      <c r="E292"/>
      <c r="F292"/>
      <c r="G292"/>
      <c r="H292"/>
    </row>
    <row r="293" spans="1:8">
      <c r="A293"/>
      <c r="B293"/>
      <c r="C293"/>
      <c r="E293"/>
      <c r="F293"/>
      <c r="G293"/>
      <c r="H293"/>
    </row>
    <row r="294" spans="1:8">
      <c r="A294"/>
      <c r="B294"/>
      <c r="C294"/>
      <c r="E294"/>
      <c r="F294"/>
      <c r="G294"/>
      <c r="H294"/>
    </row>
    <row r="295" spans="1:8">
      <c r="A295"/>
      <c r="B295"/>
      <c r="C295"/>
      <c r="E295"/>
      <c r="F295"/>
      <c r="G295"/>
      <c r="H295"/>
    </row>
    <row r="296" spans="1:8">
      <c r="A296"/>
      <c r="B296"/>
      <c r="C296"/>
      <c r="E296"/>
      <c r="F296"/>
      <c r="G296"/>
      <c r="H296"/>
    </row>
    <row r="297" spans="1:8">
      <c r="A297"/>
      <c r="B297"/>
      <c r="C297"/>
      <c r="E297"/>
      <c r="F297"/>
      <c r="G297"/>
      <c r="H297"/>
    </row>
    <row r="298" spans="1:8">
      <c r="A298"/>
      <c r="B298"/>
      <c r="C298"/>
      <c r="E298"/>
      <c r="F298"/>
      <c r="G298"/>
      <c r="H298"/>
    </row>
    <row r="299" spans="1:8">
      <c r="A299"/>
      <c r="B299"/>
      <c r="C299"/>
      <c r="E299"/>
      <c r="F299"/>
      <c r="G299"/>
      <c r="H299"/>
    </row>
    <row r="300" spans="1:8">
      <c r="A300"/>
      <c r="B300"/>
      <c r="C300"/>
      <c r="E300"/>
      <c r="F300"/>
      <c r="G300"/>
      <c r="H300"/>
    </row>
    <row r="301" spans="1:8">
      <c r="A301"/>
      <c r="B301"/>
      <c r="C301"/>
      <c r="E301"/>
      <c r="F301"/>
      <c r="G301"/>
      <c r="H301"/>
    </row>
    <row r="302" spans="1:8">
      <c r="A302"/>
      <c r="B302"/>
      <c r="C302"/>
      <c r="E302"/>
      <c r="F302"/>
      <c r="G302"/>
      <c r="H302"/>
    </row>
    <row r="303" spans="1:8">
      <c r="A303"/>
      <c r="B303"/>
      <c r="C303"/>
      <c r="E303"/>
      <c r="F303"/>
      <c r="G303"/>
      <c r="H303"/>
    </row>
    <row r="304" spans="1:8">
      <c r="A304"/>
      <c r="B304"/>
      <c r="C304"/>
      <c r="E304"/>
      <c r="F304"/>
      <c r="G304"/>
      <c r="H304"/>
    </row>
    <row r="305" spans="1:8">
      <c r="A305"/>
      <c r="B305"/>
      <c r="C305"/>
      <c r="E305"/>
      <c r="F305"/>
      <c r="G305"/>
      <c r="H305"/>
    </row>
    <row r="306" spans="1:8">
      <c r="A306"/>
      <c r="B306"/>
      <c r="C306"/>
      <c r="E306"/>
      <c r="F306"/>
      <c r="G306"/>
      <c r="H306"/>
    </row>
    <row r="307" spans="1:8">
      <c r="A307"/>
      <c r="B307"/>
      <c r="C307"/>
      <c r="E307"/>
      <c r="F307"/>
      <c r="G307"/>
      <c r="H307"/>
    </row>
    <row r="308" spans="1:8">
      <c r="A308"/>
      <c r="B308"/>
      <c r="C308"/>
      <c r="E308"/>
      <c r="F308"/>
      <c r="G308"/>
      <c r="H308"/>
    </row>
    <row r="309" spans="1:8">
      <c r="A309"/>
      <c r="B309"/>
      <c r="C309"/>
      <c r="E309"/>
      <c r="F309"/>
      <c r="G309"/>
      <c r="H309"/>
    </row>
    <row r="310" spans="1:8">
      <c r="A310"/>
      <c r="B310"/>
      <c r="C310"/>
      <c r="E310"/>
      <c r="F310"/>
      <c r="G310"/>
      <c r="H310"/>
    </row>
    <row r="311" spans="1:8">
      <c r="A311"/>
      <c r="B311"/>
      <c r="C311"/>
      <c r="E311"/>
      <c r="F311"/>
      <c r="G311"/>
      <c r="H311"/>
    </row>
    <row r="312" spans="1:8">
      <c r="A312"/>
      <c r="B312"/>
      <c r="C312"/>
      <c r="E312"/>
      <c r="F312"/>
      <c r="G312"/>
      <c r="H312"/>
    </row>
    <row r="313" spans="1:8">
      <c r="A313"/>
      <c r="B313"/>
      <c r="C313"/>
      <c r="E313"/>
      <c r="F313"/>
      <c r="G313"/>
      <c r="H313"/>
    </row>
    <row r="314" spans="1:8">
      <c r="A314"/>
      <c r="B314"/>
      <c r="C314"/>
      <c r="E314"/>
      <c r="F314"/>
      <c r="G314"/>
      <c r="H314"/>
    </row>
    <row r="315" spans="1:8">
      <c r="A315"/>
      <c r="B315"/>
      <c r="C315"/>
      <c r="E315"/>
      <c r="F315"/>
      <c r="G315"/>
      <c r="H315"/>
    </row>
    <row r="316" spans="1:8">
      <c r="A316"/>
      <c r="B316"/>
      <c r="C316"/>
      <c r="E316"/>
      <c r="F316"/>
      <c r="G316"/>
      <c r="H316"/>
    </row>
    <row r="317" spans="1:8">
      <c r="A317"/>
      <c r="B317"/>
      <c r="C317"/>
      <c r="E317"/>
      <c r="F317"/>
      <c r="G317"/>
      <c r="H317"/>
    </row>
    <row r="318" spans="1:8">
      <c r="A318"/>
      <c r="B318"/>
      <c r="C318"/>
      <c r="E318"/>
      <c r="F318"/>
      <c r="G318"/>
      <c r="H318"/>
    </row>
    <row r="319" spans="1:8">
      <c r="A319"/>
      <c r="B319"/>
      <c r="C319"/>
      <c r="E319"/>
      <c r="F319"/>
      <c r="G319"/>
      <c r="H319"/>
    </row>
    <row r="320" spans="1:8">
      <c r="A320"/>
      <c r="B320"/>
      <c r="C320"/>
      <c r="E320"/>
      <c r="F320"/>
      <c r="G320"/>
      <c r="H320"/>
    </row>
    <row r="321" spans="1:8">
      <c r="A321"/>
      <c r="B321"/>
      <c r="C321"/>
      <c r="E321"/>
      <c r="F321"/>
      <c r="G321"/>
      <c r="H321"/>
    </row>
    <row r="322" spans="1:8">
      <c r="A322"/>
      <c r="B322"/>
      <c r="C322"/>
      <c r="E322"/>
      <c r="F322"/>
      <c r="G322"/>
      <c r="H322"/>
    </row>
    <row r="323" spans="1:8">
      <c r="A323"/>
      <c r="B323"/>
      <c r="C323"/>
      <c r="E323"/>
      <c r="F323"/>
      <c r="G323"/>
      <c r="H323"/>
    </row>
    <row r="324" spans="1:8">
      <c r="A324"/>
      <c r="B324"/>
      <c r="C324"/>
      <c r="E324"/>
      <c r="F324"/>
      <c r="G324"/>
      <c r="H324"/>
    </row>
    <row r="325" spans="1:8">
      <c r="A325"/>
      <c r="B325"/>
      <c r="C325"/>
      <c r="E325"/>
      <c r="F325"/>
      <c r="G325"/>
      <c r="H325"/>
    </row>
    <row r="326" spans="1:8">
      <c r="A326"/>
      <c r="B326"/>
      <c r="C326"/>
      <c r="E326"/>
      <c r="F326"/>
      <c r="G326"/>
      <c r="H326"/>
    </row>
    <row r="327" spans="1:8">
      <c r="A327"/>
      <c r="B327"/>
      <c r="C327"/>
      <c r="E327"/>
      <c r="F327"/>
      <c r="G327"/>
      <c r="H327"/>
    </row>
    <row r="328" spans="1:8">
      <c r="A328"/>
      <c r="B328"/>
      <c r="C328"/>
      <c r="E328"/>
      <c r="F328"/>
      <c r="G328"/>
      <c r="H328"/>
    </row>
    <row r="329" spans="1:8">
      <c r="A329"/>
      <c r="B329"/>
      <c r="C329"/>
      <c r="E329"/>
      <c r="F329"/>
      <c r="G329"/>
      <c r="H329"/>
    </row>
    <row r="330" spans="1:8">
      <c r="A330"/>
      <c r="B330"/>
      <c r="C330"/>
      <c r="E330"/>
      <c r="F330"/>
      <c r="G330"/>
      <c r="H330"/>
    </row>
    <row r="331" spans="1:8">
      <c r="A331"/>
      <c r="B331"/>
      <c r="C331"/>
      <c r="E331"/>
      <c r="F331"/>
      <c r="G331"/>
      <c r="H331"/>
    </row>
    <row r="332" spans="1:8">
      <c r="A332"/>
      <c r="B332"/>
      <c r="C332"/>
      <c r="E332"/>
      <c r="F332"/>
      <c r="G332"/>
      <c r="H332"/>
    </row>
    <row r="333" spans="1:8">
      <c r="A333"/>
      <c r="B333"/>
      <c r="C333"/>
      <c r="E333"/>
      <c r="F333"/>
      <c r="G333"/>
      <c r="H333"/>
    </row>
    <row r="334" spans="1:8">
      <c r="A334"/>
      <c r="B334"/>
      <c r="C334"/>
      <c r="E334"/>
      <c r="F334"/>
      <c r="G334"/>
      <c r="H334"/>
    </row>
    <row r="335" spans="1:8">
      <c r="A335"/>
      <c r="B335"/>
      <c r="C335"/>
      <c r="E335"/>
      <c r="F335"/>
      <c r="G335"/>
      <c r="H335"/>
    </row>
    <row r="336" spans="1:8">
      <c r="A336"/>
      <c r="B336"/>
      <c r="C336"/>
      <c r="E336"/>
      <c r="F336"/>
      <c r="G336"/>
      <c r="H336"/>
    </row>
    <row r="337" spans="1:8">
      <c r="A337"/>
      <c r="B337"/>
      <c r="C337"/>
      <c r="E337"/>
      <c r="F337"/>
      <c r="G337"/>
      <c r="H337"/>
    </row>
    <row r="338" spans="1:8">
      <c r="A338"/>
      <c r="B338"/>
      <c r="C338"/>
      <c r="E338"/>
      <c r="F338"/>
      <c r="G338"/>
      <c r="H338"/>
    </row>
    <row r="339" spans="1:8">
      <c r="A339"/>
      <c r="B339"/>
      <c r="C339"/>
      <c r="E339"/>
      <c r="F339"/>
      <c r="G339"/>
      <c r="H339"/>
    </row>
    <row r="340" spans="1:8">
      <c r="A340"/>
      <c r="B340"/>
      <c r="C340"/>
      <c r="E340"/>
      <c r="F340"/>
      <c r="G340"/>
      <c r="H340"/>
    </row>
    <row r="341" spans="1:8">
      <c r="A341"/>
      <c r="B341"/>
      <c r="C341"/>
      <c r="E341"/>
      <c r="F341"/>
      <c r="G341"/>
      <c r="H341"/>
    </row>
    <row r="342" spans="1:8">
      <c r="A342"/>
      <c r="B342"/>
      <c r="C342"/>
      <c r="E342"/>
      <c r="F342"/>
      <c r="G342"/>
      <c r="H342"/>
    </row>
    <row r="343" spans="1:8">
      <c r="A343"/>
      <c r="B343"/>
      <c r="C343"/>
      <c r="E343"/>
      <c r="F343"/>
      <c r="G343"/>
      <c r="H343"/>
    </row>
    <row r="344" spans="1:8">
      <c r="A344"/>
      <c r="B344"/>
      <c r="C344"/>
      <c r="E344"/>
      <c r="F344"/>
      <c r="G344"/>
      <c r="H344"/>
    </row>
    <row r="345" spans="1:8">
      <c r="A345"/>
      <c r="B345"/>
      <c r="C345"/>
      <c r="E345"/>
      <c r="F345"/>
      <c r="G345"/>
      <c r="H345"/>
    </row>
    <row r="346" spans="1:8">
      <c r="A346"/>
      <c r="B346"/>
      <c r="C346"/>
      <c r="E346"/>
      <c r="F346"/>
      <c r="G346"/>
      <c r="H346"/>
    </row>
    <row r="347" spans="1:8">
      <c r="A347"/>
      <c r="B347"/>
      <c r="C347"/>
      <c r="E347"/>
      <c r="F347"/>
      <c r="G347"/>
      <c r="H347"/>
    </row>
    <row r="348" spans="1:8">
      <c r="A348"/>
      <c r="B348"/>
      <c r="C348"/>
      <c r="E348"/>
      <c r="F348"/>
      <c r="G348"/>
      <c r="H348"/>
    </row>
    <row r="349" spans="1:8">
      <c r="A349"/>
      <c r="B349"/>
      <c r="C349"/>
      <c r="E349"/>
      <c r="F349"/>
      <c r="G349"/>
      <c r="H349"/>
    </row>
    <row r="350" spans="1:8">
      <c r="A350"/>
      <c r="B350"/>
      <c r="C350"/>
      <c r="E350"/>
      <c r="F350"/>
      <c r="G350"/>
      <c r="H350"/>
    </row>
    <row r="351" spans="1:8">
      <c r="A351"/>
      <c r="B351"/>
      <c r="C351"/>
      <c r="E351"/>
      <c r="F351"/>
      <c r="G351"/>
      <c r="H351"/>
    </row>
    <row r="352" spans="1:8">
      <c r="A352"/>
      <c r="B352"/>
      <c r="C352"/>
      <c r="E352"/>
      <c r="F352"/>
      <c r="G352"/>
      <c r="H352"/>
    </row>
    <row r="353" spans="1:8">
      <c r="A353"/>
      <c r="B353"/>
      <c r="C353"/>
      <c r="E353"/>
      <c r="F353"/>
      <c r="G353"/>
      <c r="H353"/>
    </row>
    <row r="354" spans="1:8">
      <c r="A354"/>
      <c r="B354"/>
      <c r="C354"/>
      <c r="E354"/>
      <c r="F354"/>
      <c r="G354"/>
      <c r="H354"/>
    </row>
    <row r="355" spans="1:8">
      <c r="A355"/>
      <c r="B355"/>
      <c r="C355"/>
      <c r="E355"/>
      <c r="F355"/>
      <c r="G355"/>
      <c r="H355"/>
    </row>
    <row r="356" spans="1:8">
      <c r="A356"/>
      <c r="B356"/>
      <c r="C356"/>
      <c r="E356"/>
      <c r="F356"/>
      <c r="G356"/>
      <c r="H356"/>
    </row>
    <row r="357" spans="1:8">
      <c r="A357"/>
      <c r="B357"/>
      <c r="C357"/>
      <c r="E357"/>
      <c r="F357"/>
      <c r="G357"/>
      <c r="H357"/>
    </row>
    <row r="358" spans="1:8">
      <c r="A358"/>
      <c r="B358"/>
      <c r="C358"/>
      <c r="E358"/>
      <c r="F358"/>
      <c r="G358"/>
      <c r="H358"/>
    </row>
    <row r="359" spans="1:8">
      <c r="A359"/>
      <c r="B359"/>
      <c r="C359"/>
      <c r="E359"/>
      <c r="F359"/>
      <c r="G359"/>
      <c r="H359"/>
    </row>
    <row r="360" spans="1:8">
      <c r="A360"/>
      <c r="B360"/>
      <c r="C360"/>
      <c r="E360"/>
      <c r="F360"/>
      <c r="G360"/>
      <c r="H360"/>
    </row>
    <row r="361" spans="1:8">
      <c r="A361"/>
      <c r="B361"/>
      <c r="C361"/>
      <c r="E361"/>
      <c r="F361"/>
      <c r="G361"/>
      <c r="H361"/>
    </row>
    <row r="362" spans="1:8">
      <c r="A362"/>
      <c r="B362"/>
      <c r="C362"/>
      <c r="E362"/>
      <c r="F362"/>
      <c r="G362"/>
      <c r="H362"/>
    </row>
    <row r="363" spans="1:8">
      <c r="A363"/>
      <c r="B363"/>
      <c r="C363"/>
      <c r="E363"/>
      <c r="F363"/>
      <c r="G363"/>
      <c r="H363"/>
    </row>
    <row r="364" spans="1:8">
      <c r="A364"/>
      <c r="B364"/>
      <c r="C364"/>
      <c r="E364"/>
      <c r="F364"/>
      <c r="G364"/>
      <c r="H364"/>
    </row>
    <row r="365" spans="1:8">
      <c r="A365"/>
      <c r="B365"/>
      <c r="C365"/>
      <c r="E365"/>
      <c r="F365"/>
      <c r="G365"/>
      <c r="H365"/>
    </row>
    <row r="366" spans="1:8">
      <c r="A366"/>
      <c r="B366"/>
      <c r="C366"/>
      <c r="E366"/>
      <c r="F366"/>
      <c r="G366"/>
      <c r="H366"/>
    </row>
    <row r="367" spans="1:8">
      <c r="A367"/>
      <c r="B367"/>
      <c r="C367"/>
      <c r="E367"/>
      <c r="F367"/>
      <c r="G367"/>
      <c r="H367"/>
    </row>
    <row r="368" spans="1:8">
      <c r="A368"/>
      <c r="B368"/>
      <c r="C368"/>
      <c r="E368"/>
      <c r="F368"/>
      <c r="G368"/>
      <c r="H368"/>
    </row>
    <row r="369" spans="1:8">
      <c r="A369"/>
      <c r="B369"/>
      <c r="C369"/>
      <c r="E369"/>
      <c r="F369"/>
      <c r="G369"/>
      <c r="H369"/>
    </row>
    <row r="370" spans="1:8">
      <c r="A370"/>
      <c r="B370"/>
      <c r="C370"/>
      <c r="E370"/>
      <c r="F370"/>
      <c r="G370"/>
      <c r="H370"/>
    </row>
    <row r="371" spans="1:8">
      <c r="A371"/>
      <c r="B371"/>
      <c r="C371"/>
      <c r="E371"/>
      <c r="F371"/>
      <c r="G371"/>
      <c r="H371"/>
    </row>
    <row r="372" spans="1:8">
      <c r="A372"/>
      <c r="B372"/>
      <c r="C372"/>
      <c r="E372"/>
      <c r="F372"/>
      <c r="G372"/>
      <c r="H372"/>
    </row>
    <row r="373" spans="1:8">
      <c r="A373"/>
      <c r="B373"/>
      <c r="C373"/>
      <c r="E373"/>
      <c r="F373"/>
      <c r="G373"/>
      <c r="H373"/>
    </row>
    <row r="374" spans="1:8">
      <c r="A374"/>
      <c r="B374"/>
      <c r="C374"/>
      <c r="E374"/>
      <c r="F374"/>
      <c r="G374"/>
      <c r="H374"/>
    </row>
    <row r="375" spans="1:8">
      <c r="A375"/>
      <c r="B375"/>
      <c r="C375"/>
      <c r="E375"/>
      <c r="F375"/>
      <c r="G375"/>
      <c r="H375"/>
    </row>
    <row r="376" spans="1:8">
      <c r="A376"/>
      <c r="B376"/>
      <c r="C376"/>
      <c r="E376"/>
      <c r="F376"/>
      <c r="G376"/>
      <c r="H376"/>
    </row>
    <row r="377" spans="1:8">
      <c r="A377"/>
      <c r="B377"/>
      <c r="C377"/>
      <c r="E377"/>
      <c r="F377"/>
      <c r="G377"/>
      <c r="H377"/>
    </row>
    <row r="378" spans="1:8">
      <c r="A378"/>
      <c r="B378"/>
      <c r="C378"/>
      <c r="E378"/>
      <c r="F378"/>
      <c r="G378"/>
      <c r="H378"/>
    </row>
    <row r="379" spans="1:8">
      <c r="A379"/>
      <c r="B379"/>
      <c r="C379"/>
      <c r="E379"/>
      <c r="F379"/>
      <c r="G379"/>
      <c r="H379"/>
    </row>
    <row r="380" spans="1:8">
      <c r="A380"/>
      <c r="B380"/>
      <c r="C380"/>
      <c r="E380"/>
      <c r="F380"/>
      <c r="G380"/>
      <c r="H380"/>
    </row>
    <row r="381" spans="1:8">
      <c r="A381"/>
      <c r="B381"/>
      <c r="C381"/>
      <c r="E381"/>
      <c r="F381"/>
      <c r="G381"/>
      <c r="H381"/>
    </row>
    <row r="382" spans="1:8">
      <c r="A382"/>
      <c r="B382"/>
      <c r="C382"/>
      <c r="E382"/>
      <c r="F382"/>
      <c r="G382"/>
      <c r="H382"/>
    </row>
    <row r="383" spans="1:8">
      <c r="A383"/>
      <c r="B383"/>
      <c r="C383"/>
      <c r="E383"/>
      <c r="F383"/>
      <c r="G383"/>
      <c r="H383"/>
    </row>
    <row r="384" spans="1:8">
      <c r="A384"/>
      <c r="B384"/>
      <c r="C384"/>
      <c r="E384"/>
      <c r="F384"/>
      <c r="G384"/>
      <c r="H384"/>
    </row>
    <row r="385" spans="1:8">
      <c r="A385"/>
      <c r="B385"/>
      <c r="C385"/>
      <c r="E385"/>
      <c r="F385"/>
      <c r="G385"/>
      <c r="H385"/>
    </row>
    <row r="386" spans="1:8">
      <c r="A386"/>
      <c r="B386"/>
      <c r="C386"/>
      <c r="E386"/>
      <c r="F386"/>
      <c r="G386"/>
      <c r="H386"/>
    </row>
    <row r="387" spans="1:8">
      <c r="A387"/>
      <c r="B387"/>
      <c r="C387"/>
      <c r="E387"/>
      <c r="F387"/>
      <c r="G387"/>
      <c r="H387"/>
    </row>
    <row r="388" spans="1:8">
      <c r="A388"/>
      <c r="B388"/>
      <c r="C388"/>
      <c r="E388"/>
      <c r="F388"/>
      <c r="G388"/>
      <c r="H388"/>
    </row>
    <row r="389" spans="1:8">
      <c r="A389"/>
      <c r="B389"/>
      <c r="C389"/>
      <c r="E389"/>
      <c r="F389"/>
      <c r="G389"/>
      <c r="H389"/>
    </row>
    <row r="390" spans="1:8">
      <c r="A390"/>
      <c r="B390"/>
      <c r="C390"/>
      <c r="E390"/>
      <c r="F390"/>
      <c r="G390"/>
      <c r="H390"/>
    </row>
    <row r="391" spans="1:8">
      <c r="A391"/>
      <c r="B391"/>
      <c r="C391"/>
      <c r="E391"/>
      <c r="F391"/>
      <c r="G391"/>
      <c r="H391"/>
    </row>
    <row r="392" spans="1:8">
      <c r="A392"/>
      <c r="B392"/>
      <c r="C392"/>
      <c r="E392"/>
      <c r="F392"/>
      <c r="G392"/>
      <c r="H392"/>
    </row>
    <row r="393" spans="1:8">
      <c r="A393"/>
      <c r="B393"/>
      <c r="C393"/>
      <c r="E393"/>
      <c r="F393"/>
      <c r="G393"/>
      <c r="H393"/>
    </row>
    <row r="394" spans="1:8">
      <c r="A394"/>
      <c r="B394"/>
      <c r="C394"/>
      <c r="E394"/>
      <c r="F394"/>
      <c r="G394"/>
      <c r="H394"/>
    </row>
    <row r="395" spans="1:8">
      <c r="A395"/>
      <c r="B395"/>
      <c r="C395"/>
      <c r="E395"/>
      <c r="F395"/>
      <c r="G395"/>
      <c r="H395"/>
    </row>
    <row r="396" spans="1:8">
      <c r="A396"/>
      <c r="B396"/>
      <c r="C396"/>
      <c r="E396"/>
      <c r="F396"/>
      <c r="G396"/>
      <c r="H396"/>
    </row>
    <row r="397" spans="1:8">
      <c r="A397"/>
      <c r="B397"/>
      <c r="C397"/>
      <c r="E397"/>
      <c r="F397"/>
      <c r="G397"/>
      <c r="H397"/>
    </row>
    <row r="398" spans="1:8">
      <c r="A398"/>
      <c r="B398"/>
      <c r="C398"/>
      <c r="E398"/>
      <c r="F398"/>
      <c r="G398"/>
      <c r="H398"/>
    </row>
    <row r="399" spans="1:8">
      <c r="A399"/>
      <c r="B399"/>
      <c r="C399"/>
      <c r="E399"/>
      <c r="F399"/>
      <c r="G399"/>
      <c r="H399"/>
    </row>
    <row r="400" spans="1:8">
      <c r="A400"/>
      <c r="B400"/>
      <c r="C400"/>
      <c r="E400"/>
      <c r="F400"/>
      <c r="G400"/>
      <c r="H400"/>
    </row>
    <row r="401" spans="1:8">
      <c r="A401"/>
      <c r="B401"/>
      <c r="C401"/>
      <c r="E401"/>
      <c r="F401"/>
      <c r="G401"/>
      <c r="H401"/>
    </row>
    <row r="402" spans="1:8">
      <c r="A402"/>
      <c r="B402"/>
      <c r="C402"/>
      <c r="E402"/>
      <c r="F402"/>
      <c r="G402"/>
      <c r="H402"/>
    </row>
    <row r="403" spans="1:8">
      <c r="A403"/>
      <c r="B403"/>
      <c r="C403"/>
      <c r="E403"/>
      <c r="F403"/>
      <c r="G403"/>
      <c r="H403"/>
    </row>
    <row r="404" spans="1:8">
      <c r="A404"/>
      <c r="B404"/>
      <c r="C404"/>
      <c r="E404"/>
      <c r="F404"/>
      <c r="G404"/>
      <c r="H404"/>
    </row>
    <row r="405" spans="1:8">
      <c r="A405"/>
      <c r="B405"/>
      <c r="C405"/>
      <c r="E405"/>
      <c r="F405"/>
      <c r="G405"/>
      <c r="H405"/>
    </row>
    <row r="406" spans="1:8">
      <c r="A406"/>
      <c r="B406"/>
      <c r="C406"/>
      <c r="E406"/>
      <c r="F406"/>
      <c r="G406"/>
      <c r="H406"/>
    </row>
    <row r="407" spans="1:8">
      <c r="A407"/>
      <c r="B407"/>
      <c r="C407"/>
      <c r="E407"/>
      <c r="F407"/>
      <c r="G407"/>
      <c r="H407"/>
    </row>
    <row r="408" spans="1:8">
      <c r="A408"/>
      <c r="B408"/>
      <c r="C408"/>
      <c r="E408"/>
      <c r="F408"/>
      <c r="G408"/>
      <c r="H408"/>
    </row>
    <row r="409" spans="1:8">
      <c r="A409"/>
      <c r="B409"/>
      <c r="C409"/>
      <c r="E409"/>
      <c r="F409"/>
      <c r="G409"/>
      <c r="H409"/>
    </row>
    <row r="410" spans="1:8">
      <c r="A410"/>
      <c r="B410"/>
      <c r="C410"/>
      <c r="E410"/>
      <c r="F410"/>
      <c r="G410"/>
      <c r="H410"/>
    </row>
    <row r="411" spans="1:8">
      <c r="A411"/>
      <c r="B411"/>
      <c r="C411"/>
      <c r="E411"/>
      <c r="F411"/>
      <c r="G411"/>
      <c r="H411"/>
    </row>
    <row r="412" spans="1:8">
      <c r="A412"/>
      <c r="B412"/>
      <c r="C412"/>
      <c r="E412"/>
      <c r="F412"/>
      <c r="G412"/>
      <c r="H412"/>
    </row>
    <row r="413" spans="1:8">
      <c r="A413"/>
      <c r="B413"/>
      <c r="C413"/>
      <c r="E413"/>
      <c r="F413"/>
      <c r="G413"/>
      <c r="H413"/>
    </row>
    <row r="414" spans="1:8">
      <c r="A414"/>
      <c r="B414"/>
      <c r="C414"/>
      <c r="E414"/>
      <c r="F414"/>
      <c r="G414"/>
      <c r="H414"/>
    </row>
    <row r="415" spans="1:8">
      <c r="A415"/>
      <c r="B415"/>
      <c r="C415"/>
      <c r="E415"/>
      <c r="F415"/>
      <c r="G415"/>
      <c r="H415"/>
    </row>
    <row r="416" spans="1:8">
      <c r="A416"/>
      <c r="B416"/>
      <c r="C416"/>
      <c r="E416"/>
      <c r="F416"/>
      <c r="G416"/>
      <c r="H416"/>
    </row>
    <row r="417" spans="1:8">
      <c r="A417"/>
      <c r="B417"/>
      <c r="C417"/>
      <c r="E417"/>
      <c r="F417"/>
      <c r="G417"/>
      <c r="H417"/>
    </row>
    <row r="418" spans="1:8">
      <c r="A418"/>
      <c r="B418"/>
      <c r="C418"/>
      <c r="E418"/>
      <c r="F418"/>
      <c r="G418"/>
      <c r="H418"/>
    </row>
    <row r="419" spans="1:8">
      <c r="A419"/>
      <c r="B419"/>
      <c r="C419"/>
      <c r="E419"/>
      <c r="F419"/>
      <c r="G419"/>
      <c r="H419"/>
    </row>
    <row r="420" spans="1:8">
      <c r="A420"/>
      <c r="B420"/>
      <c r="C420"/>
      <c r="E420"/>
      <c r="F420"/>
      <c r="G420"/>
      <c r="H420"/>
    </row>
    <row r="421" spans="1:8">
      <c r="A421"/>
      <c r="B421"/>
      <c r="C421"/>
      <c r="E421"/>
      <c r="F421"/>
      <c r="G421"/>
      <c r="H421"/>
    </row>
    <row r="422" spans="1:8">
      <c r="A422"/>
      <c r="B422"/>
      <c r="C422"/>
      <c r="E422"/>
      <c r="F422"/>
      <c r="G422"/>
      <c r="H422"/>
    </row>
    <row r="423" spans="1:8">
      <c r="A423"/>
      <c r="B423"/>
      <c r="C423"/>
      <c r="E423"/>
      <c r="F423"/>
      <c r="G423"/>
      <c r="H423"/>
    </row>
    <row r="424" spans="1:8">
      <c r="A424"/>
      <c r="B424"/>
      <c r="C424"/>
      <c r="E424"/>
      <c r="F424"/>
      <c r="G424"/>
      <c r="H424"/>
    </row>
    <row r="425" spans="1:8">
      <c r="A425"/>
      <c r="B425"/>
      <c r="C425"/>
      <c r="E425"/>
      <c r="F425"/>
      <c r="G425"/>
      <c r="H425"/>
    </row>
    <row r="426" spans="1:8">
      <c r="A426"/>
      <c r="B426"/>
      <c r="C426"/>
      <c r="E426"/>
      <c r="F426"/>
      <c r="G426"/>
      <c r="H426"/>
    </row>
    <row r="427" spans="1:8">
      <c r="A427"/>
      <c r="B427"/>
      <c r="C427"/>
      <c r="E427"/>
      <c r="F427"/>
      <c r="G427"/>
      <c r="H427"/>
    </row>
    <row r="428" spans="1:8">
      <c r="A428"/>
      <c r="B428"/>
      <c r="C428"/>
      <c r="E428"/>
      <c r="F428"/>
      <c r="G428"/>
      <c r="H428"/>
    </row>
    <row r="429" spans="1:8">
      <c r="A429"/>
      <c r="B429"/>
      <c r="C429"/>
      <c r="E429"/>
      <c r="F429"/>
      <c r="G429"/>
      <c r="H429"/>
    </row>
    <row r="430" spans="1:8">
      <c r="A430"/>
      <c r="B430"/>
      <c r="C430"/>
      <c r="E430"/>
      <c r="F430"/>
      <c r="G430"/>
      <c r="H430"/>
    </row>
    <row r="431" spans="1:8">
      <c r="A431"/>
      <c r="B431"/>
      <c r="C431"/>
      <c r="E431"/>
      <c r="F431"/>
      <c r="G431"/>
      <c r="H431"/>
    </row>
    <row r="432" spans="1:8">
      <c r="A432"/>
      <c r="B432"/>
      <c r="C432"/>
      <c r="E432"/>
      <c r="F432"/>
      <c r="G432"/>
      <c r="H432"/>
    </row>
    <row r="433" spans="1:8">
      <c r="A433"/>
      <c r="B433"/>
      <c r="C433"/>
      <c r="E433"/>
      <c r="F433"/>
      <c r="G433"/>
      <c r="H433"/>
    </row>
    <row r="434" spans="1:8">
      <c r="A434"/>
      <c r="B434"/>
      <c r="C434"/>
      <c r="E434"/>
      <c r="F434"/>
      <c r="G434"/>
      <c r="H434"/>
    </row>
    <row r="435" spans="1:8">
      <c r="A435"/>
      <c r="B435"/>
      <c r="C435"/>
      <c r="E435"/>
      <c r="F435"/>
      <c r="G435"/>
      <c r="H435"/>
    </row>
    <row r="436" spans="1:8">
      <c r="A436"/>
      <c r="B436"/>
      <c r="C436"/>
      <c r="E436"/>
      <c r="F436"/>
      <c r="G436"/>
      <c r="H436"/>
    </row>
    <row r="437" spans="1:8">
      <c r="A437"/>
      <c r="B437"/>
      <c r="C437"/>
      <c r="E437"/>
      <c r="F437"/>
      <c r="G437"/>
      <c r="H437"/>
    </row>
    <row r="438" spans="1:8">
      <c r="A438"/>
      <c r="B438"/>
      <c r="C438"/>
      <c r="E438"/>
      <c r="F438"/>
      <c r="G438"/>
      <c r="H438"/>
    </row>
    <row r="439" spans="1:8">
      <c r="A439"/>
      <c r="B439"/>
      <c r="C439"/>
      <c r="E439"/>
      <c r="F439"/>
      <c r="G439"/>
      <c r="H439"/>
    </row>
    <row r="440" spans="1:8">
      <c r="A440"/>
      <c r="B440"/>
      <c r="C440"/>
      <c r="E440"/>
      <c r="F440"/>
      <c r="G440"/>
      <c r="H440"/>
    </row>
    <row r="441" spans="1:8">
      <c r="A441"/>
      <c r="B441"/>
      <c r="C441"/>
      <c r="E441"/>
      <c r="F441"/>
      <c r="G441"/>
      <c r="H441"/>
    </row>
    <row r="442" spans="1:8">
      <c r="A442"/>
      <c r="B442"/>
      <c r="C442"/>
      <c r="E442"/>
      <c r="F442"/>
      <c r="G442"/>
      <c r="H442"/>
    </row>
    <row r="443" spans="1:8">
      <c r="A443"/>
      <c r="B443"/>
      <c r="C443"/>
      <c r="E443"/>
      <c r="F443"/>
      <c r="G443"/>
      <c r="H443"/>
    </row>
    <row r="444" spans="1:8">
      <c r="A444"/>
      <c r="B444"/>
      <c r="C444"/>
      <c r="E444"/>
      <c r="F444"/>
      <c r="G444"/>
      <c r="H444"/>
    </row>
    <row r="445" spans="1:8">
      <c r="A445"/>
      <c r="B445"/>
      <c r="C445"/>
      <c r="E445"/>
      <c r="F445"/>
      <c r="G445"/>
      <c r="H445"/>
    </row>
    <row r="446" spans="1:8">
      <c r="A446"/>
      <c r="B446"/>
      <c r="C446"/>
      <c r="E446"/>
      <c r="F446"/>
      <c r="G446"/>
      <c r="H446"/>
    </row>
    <row r="447" spans="1:8">
      <c r="A447"/>
      <c r="B447"/>
      <c r="C447"/>
      <c r="E447"/>
      <c r="F447"/>
      <c r="G447"/>
      <c r="H447"/>
    </row>
    <row r="448" spans="1:8">
      <c r="A448"/>
      <c r="B448"/>
      <c r="C448"/>
      <c r="E448"/>
      <c r="F448"/>
      <c r="G448"/>
      <c r="H448"/>
    </row>
    <row r="449" spans="1:8">
      <c r="A449"/>
      <c r="B449"/>
      <c r="C449"/>
      <c r="E449"/>
      <c r="F449"/>
      <c r="G449"/>
      <c r="H449"/>
    </row>
    <row r="450" spans="1:8">
      <c r="A450"/>
      <c r="B450"/>
      <c r="C450"/>
      <c r="E450"/>
      <c r="F450"/>
      <c r="G450"/>
      <c r="H450"/>
    </row>
    <row r="451" spans="1:8">
      <c r="A451"/>
      <c r="B451"/>
      <c r="C451"/>
      <c r="E451"/>
      <c r="F451"/>
      <c r="G451"/>
      <c r="H451"/>
    </row>
    <row r="452" spans="1:8">
      <c r="A452"/>
      <c r="B452"/>
      <c r="C452"/>
      <c r="E452"/>
      <c r="F452"/>
      <c r="G452"/>
      <c r="H452"/>
    </row>
    <row r="453" spans="1:8">
      <c r="A453"/>
      <c r="B453"/>
      <c r="C453"/>
      <c r="E453"/>
      <c r="F453"/>
      <c r="G453"/>
      <c r="H453"/>
    </row>
    <row r="454" spans="1:8">
      <c r="A454"/>
      <c r="B454"/>
      <c r="C454"/>
      <c r="E454"/>
      <c r="F454"/>
      <c r="G454"/>
      <c r="H454"/>
    </row>
    <row r="455" spans="1:8">
      <c r="A455"/>
      <c r="B455"/>
      <c r="C455"/>
      <c r="E455"/>
      <c r="F455"/>
      <c r="G455"/>
      <c r="H455"/>
    </row>
    <row r="456" spans="1:8">
      <c r="A456"/>
      <c r="B456"/>
      <c r="C456"/>
      <c r="E456"/>
      <c r="F456"/>
      <c r="G456"/>
      <c r="H456"/>
    </row>
    <row r="457" spans="1:8">
      <c r="A457"/>
      <c r="B457"/>
      <c r="C457"/>
      <c r="E457"/>
      <c r="F457"/>
      <c r="G457"/>
      <c r="H457"/>
    </row>
    <row r="458" spans="1:8">
      <c r="A458"/>
      <c r="B458"/>
      <c r="C458"/>
      <c r="E458"/>
      <c r="F458"/>
      <c r="G458"/>
      <c r="H458"/>
    </row>
    <row r="459" spans="1:8">
      <c r="A459"/>
      <c r="B459"/>
      <c r="C459"/>
      <c r="E459"/>
      <c r="F459"/>
      <c r="G459"/>
      <c r="H459"/>
    </row>
    <row r="460" spans="1:8">
      <c r="A460"/>
      <c r="B460"/>
      <c r="C460"/>
      <c r="E460"/>
      <c r="F460"/>
      <c r="G460"/>
      <c r="H460"/>
    </row>
    <row r="461" spans="1:8">
      <c r="A461"/>
      <c r="B461"/>
      <c r="C461"/>
      <c r="E461"/>
      <c r="F461"/>
      <c r="G461"/>
      <c r="H461"/>
    </row>
    <row r="462" spans="1:8">
      <c r="A462"/>
      <c r="B462"/>
      <c r="C462"/>
      <c r="E462"/>
      <c r="F462"/>
      <c r="G462"/>
      <c r="H462"/>
    </row>
    <row r="463" spans="1:8">
      <c r="A463"/>
      <c r="B463"/>
      <c r="C463"/>
      <c r="E463"/>
      <c r="F463"/>
      <c r="G463"/>
      <c r="H463"/>
    </row>
    <row r="464" spans="1:8">
      <c r="A464"/>
      <c r="B464"/>
      <c r="C464"/>
      <c r="E464"/>
      <c r="F464"/>
      <c r="G464"/>
      <c r="H464"/>
    </row>
    <row r="465" spans="1:8">
      <c r="A465"/>
      <c r="B465"/>
      <c r="C465"/>
      <c r="E465"/>
      <c r="F465"/>
      <c r="G465"/>
      <c r="H465"/>
    </row>
    <row r="466" spans="1:8">
      <c r="A466"/>
      <c r="B466"/>
      <c r="C466"/>
      <c r="E466"/>
      <c r="F466"/>
      <c r="G466"/>
      <c r="H466"/>
    </row>
    <row r="467" spans="1:8">
      <c r="A467"/>
      <c r="B467"/>
      <c r="C467"/>
      <c r="E467"/>
      <c r="F467"/>
      <c r="G467"/>
      <c r="H467"/>
    </row>
    <row r="468" spans="1:8">
      <c r="A468"/>
      <c r="B468"/>
      <c r="C468"/>
      <c r="E468"/>
      <c r="F468"/>
      <c r="G468"/>
      <c r="H468"/>
    </row>
    <row r="469" spans="1:8">
      <c r="A469"/>
      <c r="B469"/>
      <c r="C469"/>
      <c r="E469"/>
      <c r="F469"/>
      <c r="G469"/>
      <c r="H469"/>
    </row>
    <row r="470" spans="1:8">
      <c r="A470"/>
      <c r="B470"/>
      <c r="C470"/>
      <c r="E470"/>
      <c r="F470"/>
      <c r="G470"/>
      <c r="H470"/>
    </row>
    <row r="471" spans="1:8">
      <c r="A471"/>
      <c r="B471"/>
      <c r="C471"/>
      <c r="E471"/>
      <c r="F471"/>
      <c r="G471"/>
      <c r="H471"/>
    </row>
    <row r="472" spans="1:8">
      <c r="A472"/>
      <c r="B472"/>
      <c r="C472"/>
      <c r="E472"/>
      <c r="F472"/>
      <c r="G472"/>
      <c r="H472"/>
    </row>
    <row r="473" spans="1:8">
      <c r="A473"/>
      <c r="B473"/>
      <c r="C473"/>
      <c r="E473"/>
      <c r="F473"/>
      <c r="G473"/>
      <c r="H473"/>
    </row>
    <row r="474" spans="1:8">
      <c r="A474"/>
      <c r="B474"/>
      <c r="C474"/>
      <c r="E474"/>
      <c r="F474"/>
      <c r="G474"/>
      <c r="H474"/>
    </row>
    <row r="475" spans="1:8">
      <c r="A475"/>
      <c r="B475"/>
      <c r="C475"/>
      <c r="E475"/>
      <c r="F475"/>
      <c r="G475"/>
      <c r="H475"/>
    </row>
    <row r="476" spans="1:8">
      <c r="A476"/>
      <c r="B476"/>
      <c r="C476"/>
      <c r="E476"/>
      <c r="F476"/>
      <c r="G476"/>
      <c r="H476"/>
    </row>
    <row r="477" spans="1:8">
      <c r="A477"/>
      <c r="B477"/>
      <c r="C477"/>
      <c r="E477"/>
      <c r="F477"/>
      <c r="G477"/>
      <c r="H477"/>
    </row>
    <row r="478" spans="1:8">
      <c r="A478"/>
      <c r="B478"/>
      <c r="C478"/>
      <c r="E478"/>
      <c r="F478"/>
      <c r="G478"/>
      <c r="H478"/>
    </row>
    <row r="479" spans="1:8">
      <c r="A479"/>
      <c r="B479"/>
      <c r="C479"/>
      <c r="E479"/>
      <c r="F479"/>
      <c r="G479"/>
      <c r="H479"/>
    </row>
    <row r="480" spans="1:8">
      <c r="A480"/>
      <c r="B480"/>
      <c r="C480"/>
      <c r="E480"/>
      <c r="F480"/>
      <c r="G480"/>
      <c r="H480"/>
    </row>
    <row r="481" spans="1:8">
      <c r="A481"/>
      <c r="B481"/>
      <c r="C481"/>
      <c r="E481"/>
      <c r="F481"/>
      <c r="G481"/>
      <c r="H481"/>
    </row>
    <row r="482" spans="1:8">
      <c r="A482"/>
      <c r="B482"/>
      <c r="C482"/>
      <c r="E482"/>
      <c r="F482"/>
      <c r="G482"/>
      <c r="H482"/>
    </row>
    <row r="483" spans="1:8">
      <c r="A483"/>
      <c r="B483"/>
      <c r="C483"/>
      <c r="E483"/>
      <c r="F483"/>
      <c r="G483"/>
      <c r="H483"/>
    </row>
    <row r="484" spans="1:8">
      <c r="A484"/>
      <c r="B484"/>
      <c r="C484"/>
      <c r="E484"/>
      <c r="F484"/>
      <c r="G484"/>
      <c r="H484"/>
    </row>
    <row r="485" spans="1:8">
      <c r="A485"/>
      <c r="B485"/>
      <c r="C485"/>
      <c r="E485"/>
      <c r="F485"/>
      <c r="G485"/>
      <c r="H485"/>
    </row>
    <row r="486" spans="1:8">
      <c r="A486"/>
      <c r="B486"/>
      <c r="C486"/>
      <c r="E486"/>
      <c r="F486"/>
      <c r="G486"/>
      <c r="H486"/>
    </row>
    <row r="487" spans="1:8">
      <c r="A487"/>
      <c r="B487"/>
      <c r="C487"/>
      <c r="E487"/>
      <c r="F487"/>
      <c r="G487"/>
      <c r="H487"/>
    </row>
    <row r="488" spans="1:8">
      <c r="A488"/>
      <c r="B488"/>
      <c r="C488"/>
      <c r="E488"/>
      <c r="F488"/>
      <c r="G488"/>
      <c r="H488"/>
    </row>
    <row r="489" spans="1:8">
      <c r="A489"/>
      <c r="B489"/>
      <c r="C489"/>
      <c r="E489"/>
      <c r="F489"/>
      <c r="G489"/>
      <c r="H489"/>
    </row>
    <row r="490" spans="1:8">
      <c r="A490"/>
      <c r="B490"/>
      <c r="C490"/>
      <c r="E490"/>
      <c r="F490"/>
      <c r="G490"/>
      <c r="H490"/>
    </row>
    <row r="491" spans="1:8">
      <c r="A491"/>
      <c r="B491"/>
      <c r="C491"/>
      <c r="E491"/>
      <c r="F491"/>
      <c r="G491"/>
      <c r="H491"/>
    </row>
    <row r="492" spans="1:8">
      <c r="A492"/>
      <c r="B492"/>
      <c r="C492"/>
      <c r="E492"/>
      <c r="F492"/>
      <c r="G492"/>
      <c r="H492"/>
    </row>
    <row r="493" spans="1:8">
      <c r="A493"/>
      <c r="B493"/>
      <c r="C493"/>
      <c r="E493"/>
      <c r="F493"/>
      <c r="G493"/>
      <c r="H493"/>
    </row>
    <row r="494" spans="1:8">
      <c r="A494"/>
      <c r="B494"/>
      <c r="C494"/>
      <c r="E494"/>
      <c r="F494"/>
      <c r="G494"/>
      <c r="H494"/>
    </row>
    <row r="495" spans="1:8">
      <c r="A495"/>
      <c r="B495"/>
      <c r="C495"/>
      <c r="E495"/>
      <c r="F495"/>
      <c r="G495"/>
      <c r="H495"/>
    </row>
    <row r="496" spans="1:8">
      <c r="A496"/>
      <c r="B496"/>
      <c r="C496"/>
      <c r="E496"/>
      <c r="F496"/>
      <c r="G496"/>
      <c r="H496"/>
    </row>
    <row r="497" spans="1:8">
      <c r="A497"/>
      <c r="B497"/>
      <c r="C497"/>
      <c r="E497"/>
      <c r="F497"/>
      <c r="G497"/>
      <c r="H497"/>
    </row>
    <row r="498" spans="1:8">
      <c r="A498"/>
      <c r="B498"/>
      <c r="C498"/>
      <c r="E498"/>
      <c r="F498"/>
      <c r="G498"/>
      <c r="H498"/>
    </row>
    <row r="499" spans="1:8">
      <c r="A499"/>
      <c r="B499"/>
      <c r="C499"/>
      <c r="E499"/>
      <c r="F499"/>
      <c r="G499"/>
      <c r="H499"/>
    </row>
    <row r="500" spans="1:8">
      <c r="A500"/>
      <c r="B500"/>
      <c r="C500"/>
      <c r="E500"/>
      <c r="F500"/>
      <c r="G500"/>
      <c r="H500"/>
    </row>
    <row r="501" spans="1:8">
      <c r="A501"/>
      <c r="B501"/>
      <c r="C501"/>
      <c r="E501"/>
      <c r="F501"/>
      <c r="G501"/>
      <c r="H501"/>
    </row>
    <row r="502" spans="1:8">
      <c r="A502"/>
      <c r="B502"/>
      <c r="C502"/>
      <c r="E502"/>
      <c r="F502"/>
      <c r="G502"/>
      <c r="H502"/>
    </row>
    <row r="503" spans="1:8">
      <c r="A503"/>
      <c r="B503"/>
      <c r="C503"/>
      <c r="E503"/>
      <c r="F503"/>
      <c r="G503"/>
      <c r="H503"/>
    </row>
    <row r="504" spans="1:8">
      <c r="A504"/>
      <c r="B504"/>
      <c r="C504"/>
      <c r="E504"/>
      <c r="F504"/>
      <c r="G504"/>
      <c r="H504"/>
    </row>
    <row r="505" spans="1:8">
      <c r="A505"/>
      <c r="B505"/>
      <c r="C505"/>
      <c r="E505"/>
      <c r="F505"/>
      <c r="G505"/>
      <c r="H505"/>
    </row>
    <row r="506" spans="1:8">
      <c r="A506"/>
      <c r="B506"/>
      <c r="C506"/>
      <c r="E506"/>
      <c r="F506"/>
      <c r="G506"/>
      <c r="H506"/>
    </row>
    <row r="507" spans="1:8">
      <c r="A507"/>
      <c r="B507"/>
      <c r="C507"/>
      <c r="E507"/>
      <c r="F507"/>
      <c r="G507"/>
      <c r="H507"/>
    </row>
    <row r="508" spans="1:8">
      <c r="A508"/>
      <c r="B508"/>
      <c r="C508"/>
      <c r="E508"/>
      <c r="F508"/>
      <c r="G508"/>
      <c r="H508"/>
    </row>
    <row r="509" spans="1:8">
      <c r="A509"/>
      <c r="B509"/>
      <c r="C509"/>
      <c r="E509"/>
      <c r="F509"/>
      <c r="G509"/>
      <c r="H509"/>
    </row>
    <row r="510" spans="1:8">
      <c r="A510"/>
      <c r="B510"/>
      <c r="C510"/>
      <c r="E510"/>
      <c r="F510"/>
      <c r="G510"/>
      <c r="H510"/>
    </row>
    <row r="511" spans="1:8">
      <c r="A511"/>
      <c r="B511"/>
      <c r="C511"/>
      <c r="E511"/>
      <c r="F511"/>
      <c r="G511"/>
      <c r="H511"/>
    </row>
    <row r="512" spans="1:8">
      <c r="A512"/>
      <c r="B512"/>
      <c r="C512"/>
      <c r="E512"/>
      <c r="F512"/>
      <c r="G512"/>
      <c r="H512"/>
    </row>
    <row r="513" spans="1:8">
      <c r="A513"/>
      <c r="B513"/>
      <c r="C513"/>
      <c r="E513"/>
      <c r="F513"/>
      <c r="G513"/>
      <c r="H513"/>
    </row>
    <row r="514" spans="1:8">
      <c r="A514"/>
      <c r="B514"/>
      <c r="C514"/>
      <c r="E514"/>
      <c r="F514"/>
      <c r="G514"/>
      <c r="H514"/>
    </row>
    <row r="515" spans="1:8">
      <c r="A515"/>
      <c r="B515"/>
      <c r="C515"/>
      <c r="E515"/>
      <c r="F515"/>
      <c r="G515"/>
      <c r="H515"/>
    </row>
    <row r="516" spans="1:8">
      <c r="A516"/>
      <c r="B516"/>
      <c r="C516"/>
      <c r="E516"/>
      <c r="F516"/>
      <c r="G516"/>
      <c r="H516"/>
    </row>
    <row r="517" spans="1:8">
      <c r="A517"/>
      <c r="B517"/>
      <c r="C517"/>
      <c r="E517"/>
      <c r="F517"/>
      <c r="G517"/>
      <c r="H517"/>
    </row>
    <row r="518" spans="1:8">
      <c r="A518"/>
      <c r="B518"/>
      <c r="C518"/>
      <c r="E518"/>
      <c r="F518"/>
      <c r="G518"/>
      <c r="H518"/>
    </row>
    <row r="519" spans="1:8">
      <c r="A519"/>
      <c r="B519"/>
      <c r="C519"/>
      <c r="E519"/>
      <c r="F519"/>
      <c r="G519"/>
      <c r="H519"/>
    </row>
    <row r="520" spans="1:8">
      <c r="A520"/>
      <c r="B520"/>
      <c r="C520"/>
      <c r="E520"/>
      <c r="F520"/>
      <c r="G520"/>
      <c r="H520"/>
    </row>
    <row r="521" spans="1:8">
      <c r="A521"/>
      <c r="B521"/>
      <c r="C521"/>
      <c r="E521"/>
      <c r="F521"/>
      <c r="G521"/>
      <c r="H521"/>
    </row>
    <row r="522" spans="1:8">
      <c r="A522"/>
      <c r="B522"/>
      <c r="C522"/>
      <c r="E522"/>
      <c r="F522"/>
      <c r="G522"/>
      <c r="H522"/>
    </row>
    <row r="523" spans="1:8">
      <c r="A523"/>
      <c r="B523"/>
      <c r="C523"/>
      <c r="E523"/>
      <c r="F523"/>
      <c r="G523"/>
      <c r="H523"/>
    </row>
    <row r="524" spans="1:8">
      <c r="A524"/>
      <c r="B524"/>
      <c r="C524"/>
      <c r="E524"/>
      <c r="F524"/>
      <c r="G524"/>
      <c r="H524"/>
    </row>
    <row r="525" spans="1:8">
      <c r="A525"/>
      <c r="B525"/>
      <c r="C525"/>
      <c r="E525"/>
      <c r="F525"/>
      <c r="G525"/>
      <c r="H525"/>
    </row>
    <row r="526" spans="1:8">
      <c r="A526"/>
      <c r="B526"/>
      <c r="C526"/>
      <c r="E526"/>
      <c r="F526"/>
      <c r="G526"/>
      <c r="H526"/>
    </row>
    <row r="527" spans="1:8">
      <c r="A527"/>
      <c r="B527"/>
      <c r="C527"/>
      <c r="E527"/>
      <c r="F527"/>
      <c r="G527"/>
      <c r="H527"/>
    </row>
    <row r="528" spans="1:8">
      <c r="A528"/>
      <c r="B528"/>
      <c r="C528"/>
      <c r="E528"/>
      <c r="F528"/>
      <c r="G528"/>
      <c r="H528"/>
    </row>
    <row r="529" spans="1:8">
      <c r="A529"/>
      <c r="B529"/>
      <c r="C529"/>
      <c r="E529"/>
      <c r="F529"/>
      <c r="G529"/>
      <c r="H529"/>
    </row>
    <row r="530" spans="1:8">
      <c r="A530"/>
      <c r="B530"/>
      <c r="C530"/>
      <c r="E530"/>
      <c r="F530"/>
      <c r="G530"/>
      <c r="H530"/>
    </row>
    <row r="531" spans="1:8">
      <c r="A531"/>
      <c r="B531"/>
      <c r="C531"/>
      <c r="E531"/>
      <c r="F531"/>
      <c r="G531"/>
      <c r="H531"/>
    </row>
    <row r="532" spans="1:8">
      <c r="A532"/>
      <c r="B532"/>
      <c r="C532"/>
      <c r="E532"/>
      <c r="F532"/>
      <c r="G532"/>
      <c r="H532"/>
    </row>
    <row r="533" spans="1:8">
      <c r="A533"/>
      <c r="B533"/>
      <c r="C533"/>
      <c r="E533"/>
      <c r="F533"/>
      <c r="G533"/>
      <c r="H533"/>
    </row>
    <row r="534" spans="1:8">
      <c r="A534"/>
      <c r="B534"/>
      <c r="C534"/>
      <c r="E534"/>
      <c r="F534"/>
      <c r="G534"/>
      <c r="H534"/>
    </row>
    <row r="535" spans="1:8">
      <c r="A535"/>
      <c r="B535"/>
      <c r="C535"/>
      <c r="E535"/>
      <c r="F535"/>
      <c r="G535"/>
      <c r="H535"/>
    </row>
    <row r="536" spans="1:8">
      <c r="A536"/>
      <c r="B536"/>
      <c r="C536"/>
      <c r="E536"/>
      <c r="F536"/>
      <c r="G536"/>
      <c r="H536"/>
    </row>
    <row r="537" spans="1:8">
      <c r="A537"/>
      <c r="B537"/>
      <c r="C537"/>
      <c r="E537"/>
      <c r="F537"/>
      <c r="G537"/>
      <c r="H537"/>
    </row>
    <row r="538" spans="1:8">
      <c r="A538"/>
      <c r="B538"/>
      <c r="C538"/>
      <c r="E538"/>
      <c r="F538"/>
      <c r="G538"/>
      <c r="H538"/>
    </row>
    <row r="539" spans="1:8">
      <c r="A539"/>
      <c r="B539"/>
      <c r="C539"/>
      <c r="E539"/>
      <c r="F539"/>
      <c r="G539"/>
      <c r="H539"/>
    </row>
    <row r="540" spans="1:8">
      <c r="A540"/>
      <c r="B540"/>
      <c r="C540"/>
      <c r="E540"/>
      <c r="F540"/>
      <c r="G540"/>
      <c r="H540"/>
    </row>
    <row r="541" spans="1:8">
      <c r="A541"/>
      <c r="B541"/>
      <c r="C541"/>
      <c r="E541"/>
      <c r="F541"/>
      <c r="G541"/>
      <c r="H541"/>
    </row>
    <row r="542" spans="1:8">
      <c r="A542"/>
      <c r="B542"/>
      <c r="C542"/>
      <c r="E542"/>
      <c r="F542"/>
      <c r="G542"/>
      <c r="H542"/>
    </row>
    <row r="543" spans="1:8">
      <c r="A543"/>
      <c r="B543"/>
      <c r="C543"/>
      <c r="E543"/>
      <c r="F543"/>
      <c r="G543"/>
      <c r="H543"/>
    </row>
    <row r="544" spans="1:8">
      <c r="A544"/>
      <c r="B544"/>
      <c r="C544"/>
      <c r="E544"/>
      <c r="F544"/>
      <c r="G544"/>
      <c r="H544"/>
    </row>
    <row r="545" spans="1:8">
      <c r="A545"/>
      <c r="B545"/>
      <c r="C545"/>
      <c r="E545"/>
      <c r="F545"/>
      <c r="G545"/>
      <c r="H545"/>
    </row>
    <row r="546" spans="1:8">
      <c r="A546"/>
      <c r="B546"/>
      <c r="C546"/>
      <c r="E546"/>
      <c r="F546"/>
      <c r="G546"/>
      <c r="H546"/>
    </row>
    <row r="547" spans="1:8">
      <c r="A547"/>
      <c r="B547"/>
      <c r="C547"/>
      <c r="E547"/>
      <c r="F547"/>
      <c r="G547"/>
      <c r="H547"/>
    </row>
    <row r="548" spans="1:8">
      <c r="A548"/>
      <c r="B548"/>
      <c r="C548"/>
      <c r="E548"/>
      <c r="F548"/>
      <c r="G548"/>
      <c r="H548"/>
    </row>
    <row r="549" spans="1:8">
      <c r="A549"/>
      <c r="B549"/>
      <c r="C549"/>
      <c r="E549"/>
      <c r="F549"/>
      <c r="G549"/>
      <c r="H549"/>
    </row>
    <row r="550" spans="1:8">
      <c r="A550"/>
      <c r="B550"/>
      <c r="C550"/>
      <c r="E550"/>
      <c r="F550"/>
      <c r="G550"/>
      <c r="H550"/>
    </row>
    <row r="551" spans="1:8">
      <c r="A551"/>
      <c r="B551"/>
      <c r="C551"/>
      <c r="E551"/>
      <c r="F551"/>
      <c r="G551"/>
      <c r="H551"/>
    </row>
    <row r="552" spans="1:8">
      <c r="A552"/>
      <c r="B552"/>
      <c r="C552"/>
      <c r="E552"/>
      <c r="F552"/>
      <c r="G552"/>
      <c r="H552"/>
    </row>
    <row r="553" spans="1:8">
      <c r="A553"/>
      <c r="B553"/>
      <c r="C553"/>
      <c r="E553"/>
      <c r="F553"/>
      <c r="G553"/>
      <c r="H553"/>
    </row>
    <row r="554" spans="1:8">
      <c r="A554"/>
      <c r="B554"/>
      <c r="C554"/>
      <c r="E554"/>
      <c r="F554"/>
      <c r="G554"/>
      <c r="H554"/>
    </row>
    <row r="555" spans="1:8">
      <c r="A555"/>
      <c r="B555"/>
      <c r="C555"/>
      <c r="E555"/>
      <c r="F555"/>
      <c r="G555"/>
      <c r="H555"/>
    </row>
    <row r="556" spans="1:8">
      <c r="A556"/>
      <c r="B556"/>
      <c r="C556"/>
      <c r="E556"/>
      <c r="F556"/>
      <c r="G556"/>
      <c r="H556"/>
    </row>
    <row r="557" spans="1:8">
      <c r="A557"/>
      <c r="B557"/>
      <c r="C557"/>
      <c r="E557"/>
      <c r="F557"/>
      <c r="G557"/>
      <c r="H557"/>
    </row>
    <row r="558" spans="1:8">
      <c r="A558"/>
      <c r="B558"/>
      <c r="C558"/>
      <c r="E558"/>
      <c r="F558"/>
      <c r="G558"/>
      <c r="H558"/>
    </row>
    <row r="559" spans="1:8">
      <c r="A559"/>
      <c r="B559"/>
      <c r="C559"/>
      <c r="E559"/>
      <c r="F559"/>
      <c r="G559"/>
      <c r="H559"/>
    </row>
    <row r="560" spans="1:8">
      <c r="A560"/>
      <c r="B560"/>
      <c r="C560"/>
      <c r="E560"/>
      <c r="F560"/>
      <c r="G560"/>
      <c r="H560"/>
    </row>
    <row r="561" spans="1:8">
      <c r="A561"/>
      <c r="B561"/>
      <c r="C561"/>
      <c r="E561"/>
      <c r="F561"/>
      <c r="G561"/>
      <c r="H561"/>
    </row>
    <row r="562" spans="1:8">
      <c r="A562"/>
      <c r="B562"/>
      <c r="C562"/>
      <c r="E562"/>
      <c r="F562"/>
      <c r="G562"/>
      <c r="H562"/>
    </row>
    <row r="563" spans="1:8">
      <c r="A563"/>
      <c r="B563"/>
      <c r="C563"/>
      <c r="E563"/>
      <c r="F563"/>
      <c r="G563"/>
      <c r="H563"/>
    </row>
    <row r="564" spans="1:8">
      <c r="A564"/>
      <c r="B564"/>
      <c r="C564"/>
      <c r="E564"/>
      <c r="F564"/>
      <c r="G564"/>
      <c r="H564"/>
    </row>
    <row r="565" spans="1:8">
      <c r="A565"/>
      <c r="B565"/>
      <c r="C565"/>
      <c r="E565"/>
      <c r="F565"/>
      <c r="G565"/>
      <c r="H565"/>
    </row>
    <row r="566" spans="1:8">
      <c r="A566"/>
      <c r="B566"/>
      <c r="C566"/>
      <c r="E566"/>
      <c r="F566"/>
      <c r="G566"/>
      <c r="H566"/>
    </row>
    <row r="567" spans="1:8">
      <c r="A567"/>
      <c r="B567"/>
      <c r="C567"/>
      <c r="E567"/>
      <c r="F567"/>
      <c r="G567"/>
      <c r="H567"/>
    </row>
    <row r="568" spans="1:8">
      <c r="A568"/>
      <c r="B568"/>
      <c r="C568"/>
      <c r="E568"/>
      <c r="F568"/>
      <c r="G568"/>
      <c r="H568"/>
    </row>
    <row r="569" spans="1:8">
      <c r="A569"/>
      <c r="B569"/>
      <c r="C569"/>
      <c r="E569"/>
      <c r="F569"/>
      <c r="G569"/>
      <c r="H569"/>
    </row>
    <row r="570" spans="1:8">
      <c r="A570"/>
      <c r="B570"/>
      <c r="C570"/>
      <c r="E570"/>
      <c r="F570"/>
      <c r="G570"/>
      <c r="H570"/>
    </row>
    <row r="571" spans="1:8">
      <c r="A571"/>
      <c r="B571"/>
      <c r="C571"/>
      <c r="E571"/>
      <c r="F571"/>
      <c r="G571"/>
      <c r="H571"/>
    </row>
    <row r="572" spans="1:8">
      <c r="A572"/>
      <c r="B572"/>
      <c r="C572"/>
      <c r="E572"/>
      <c r="F572"/>
      <c r="G572"/>
      <c r="H572"/>
    </row>
    <row r="573" spans="1:8">
      <c r="A573"/>
      <c r="B573"/>
      <c r="C573"/>
      <c r="E573"/>
      <c r="F573"/>
      <c r="G573"/>
      <c r="H573"/>
    </row>
    <row r="574" spans="1:8">
      <c r="A574"/>
      <c r="B574"/>
      <c r="C574"/>
      <c r="E574"/>
      <c r="F574"/>
      <c r="G574"/>
      <c r="H574"/>
    </row>
    <row r="575" spans="1:8">
      <c r="A575"/>
      <c r="B575"/>
      <c r="C575"/>
      <c r="E575"/>
      <c r="F575"/>
      <c r="G575"/>
      <c r="H575"/>
    </row>
    <row r="576" spans="1:8">
      <c r="A576"/>
      <c r="B576"/>
      <c r="C576"/>
      <c r="E576"/>
      <c r="F576"/>
      <c r="G576"/>
      <c r="H576"/>
    </row>
    <row r="577" spans="1:8">
      <c r="A577"/>
      <c r="B577"/>
      <c r="C577"/>
      <c r="E577"/>
      <c r="F577"/>
      <c r="G577"/>
      <c r="H577"/>
    </row>
    <row r="578" spans="1:8">
      <c r="A578"/>
      <c r="B578"/>
      <c r="C578"/>
      <c r="E578"/>
      <c r="F578"/>
      <c r="G578"/>
      <c r="H578"/>
    </row>
    <row r="579" spans="1:8">
      <c r="A579"/>
      <c r="B579"/>
      <c r="C579"/>
      <c r="E579"/>
      <c r="F579"/>
      <c r="G579"/>
      <c r="H579"/>
    </row>
    <row r="580" spans="1:8">
      <c r="A580"/>
      <c r="B580"/>
      <c r="C580"/>
      <c r="E580"/>
      <c r="F580"/>
      <c r="G580"/>
      <c r="H580"/>
    </row>
    <row r="581" spans="1:8">
      <c r="A581"/>
      <c r="B581"/>
      <c r="C581"/>
      <c r="E581"/>
      <c r="F581"/>
      <c r="G581"/>
      <c r="H581"/>
    </row>
    <row r="582" spans="1:8">
      <c r="A582"/>
      <c r="B582"/>
      <c r="C582"/>
      <c r="E582"/>
      <c r="F582"/>
      <c r="G582"/>
      <c r="H582"/>
    </row>
    <row r="583" spans="1:8">
      <c r="A583"/>
      <c r="B583"/>
      <c r="C583"/>
      <c r="E583"/>
      <c r="F583"/>
      <c r="G583"/>
      <c r="H583"/>
    </row>
    <row r="584" spans="1:8">
      <c r="A584"/>
      <c r="B584"/>
      <c r="C584"/>
      <c r="E584"/>
      <c r="F584"/>
      <c r="G584"/>
      <c r="H584"/>
    </row>
    <row r="585" spans="1:8">
      <c r="A585"/>
      <c r="B585"/>
      <c r="C585"/>
      <c r="E585"/>
      <c r="F585"/>
      <c r="G585"/>
      <c r="H585"/>
    </row>
    <row r="586" spans="1:8">
      <c r="A586"/>
      <c r="B586"/>
      <c r="C586"/>
      <c r="E586"/>
      <c r="F586"/>
      <c r="G586"/>
      <c r="H586"/>
    </row>
    <row r="587" spans="1:8">
      <c r="A587"/>
      <c r="B587"/>
      <c r="C587"/>
      <c r="E587"/>
      <c r="F587"/>
      <c r="G587"/>
      <c r="H587"/>
    </row>
    <row r="588" spans="1:8">
      <c r="A588"/>
      <c r="B588"/>
      <c r="C588"/>
      <c r="E588"/>
      <c r="F588"/>
      <c r="G588"/>
      <c r="H588"/>
    </row>
    <row r="589" spans="1:8">
      <c r="A589"/>
      <c r="B589"/>
      <c r="C589"/>
      <c r="E589"/>
      <c r="F589"/>
      <c r="G589"/>
      <c r="H589"/>
    </row>
    <row r="590" spans="1:8">
      <c r="A590"/>
      <c r="B590"/>
      <c r="C590"/>
      <c r="E590"/>
      <c r="F590"/>
      <c r="G590"/>
      <c r="H590"/>
    </row>
    <row r="591" spans="1:8">
      <c r="A591"/>
      <c r="B591"/>
      <c r="C591"/>
      <c r="E591"/>
      <c r="F591"/>
      <c r="G591"/>
      <c r="H591"/>
    </row>
    <row r="592" spans="1:8">
      <c r="A592"/>
      <c r="B592"/>
      <c r="C592"/>
      <c r="E592"/>
      <c r="F592"/>
      <c r="G592"/>
      <c r="H592"/>
    </row>
    <row r="593" spans="1:8">
      <c r="A593"/>
      <c r="B593"/>
      <c r="C593"/>
      <c r="E593"/>
      <c r="F593"/>
      <c r="G593"/>
      <c r="H593"/>
    </row>
    <row r="594" spans="1:8">
      <c r="A594"/>
      <c r="B594"/>
      <c r="C594"/>
      <c r="E594"/>
      <c r="F594"/>
      <c r="G594"/>
      <c r="H594"/>
    </row>
    <row r="595" spans="1:8">
      <c r="A595"/>
      <c r="B595"/>
      <c r="C595"/>
      <c r="E595"/>
      <c r="F595"/>
      <c r="G595"/>
      <c r="H595"/>
    </row>
    <row r="596" spans="1:8">
      <c r="A596"/>
      <c r="B596"/>
      <c r="C596"/>
      <c r="E596"/>
      <c r="F596"/>
      <c r="G596"/>
      <c r="H596"/>
    </row>
    <row r="597" spans="1:8">
      <c r="A597"/>
      <c r="B597"/>
      <c r="C597"/>
      <c r="E597"/>
      <c r="F597"/>
      <c r="G597"/>
      <c r="H597"/>
    </row>
    <row r="598" spans="1:8">
      <c r="A598"/>
      <c r="B598"/>
      <c r="C598"/>
      <c r="E598"/>
      <c r="F598"/>
      <c r="G598"/>
      <c r="H598"/>
    </row>
    <row r="599" spans="1:8">
      <c r="A599"/>
      <c r="B599"/>
      <c r="C599"/>
      <c r="E599"/>
      <c r="F599"/>
      <c r="G599"/>
      <c r="H599"/>
    </row>
    <row r="600" spans="1:8">
      <c r="A600"/>
      <c r="B600"/>
      <c r="C600"/>
      <c r="E600"/>
      <c r="F600"/>
      <c r="G600"/>
      <c r="H600"/>
    </row>
    <row r="601" spans="1:8">
      <c r="A601"/>
      <c r="B601"/>
      <c r="C601"/>
      <c r="E601"/>
      <c r="F601"/>
      <c r="G601"/>
      <c r="H601"/>
    </row>
    <row r="602" spans="1:8">
      <c r="A602"/>
      <c r="B602"/>
      <c r="C602"/>
      <c r="E602"/>
      <c r="F602"/>
      <c r="G602"/>
      <c r="H602"/>
    </row>
    <row r="603" spans="1:8">
      <c r="A603"/>
      <c r="B603"/>
      <c r="C603"/>
      <c r="E603"/>
      <c r="F603"/>
      <c r="G603"/>
      <c r="H603"/>
    </row>
    <row r="604" spans="1:8">
      <c r="A604"/>
      <c r="B604"/>
      <c r="C604"/>
      <c r="E604"/>
      <c r="F604"/>
      <c r="G604"/>
      <c r="H604"/>
    </row>
    <row r="605" spans="1:8">
      <c r="A605"/>
      <c r="B605"/>
      <c r="C605"/>
      <c r="E605"/>
      <c r="F605"/>
      <c r="G605"/>
      <c r="H605"/>
    </row>
    <row r="606" spans="1:8">
      <c r="A606"/>
      <c r="B606"/>
      <c r="C606"/>
      <c r="E606"/>
      <c r="F606"/>
      <c r="G606"/>
      <c r="H606"/>
    </row>
    <row r="607" spans="1:8">
      <c r="A607"/>
      <c r="B607"/>
      <c r="C607"/>
      <c r="E607"/>
      <c r="F607"/>
      <c r="G607"/>
      <c r="H607"/>
    </row>
    <row r="608" spans="1:8">
      <c r="A608"/>
      <c r="B608"/>
      <c r="C608"/>
      <c r="E608"/>
      <c r="F608"/>
      <c r="G608"/>
      <c r="H608"/>
    </row>
    <row r="609" spans="1:8">
      <c r="A609"/>
      <c r="B609"/>
      <c r="C609"/>
      <c r="E609"/>
      <c r="F609"/>
      <c r="G609"/>
      <c r="H609"/>
    </row>
    <row r="610" spans="1:8">
      <c r="A610"/>
      <c r="B610"/>
      <c r="C610"/>
      <c r="E610"/>
      <c r="F610"/>
      <c r="G610"/>
      <c r="H610"/>
    </row>
    <row r="611" spans="1:8">
      <c r="A611"/>
      <c r="B611"/>
      <c r="C611"/>
      <c r="E611"/>
      <c r="F611"/>
      <c r="G611"/>
      <c r="H611"/>
    </row>
    <row r="612" spans="1:8">
      <c r="A612"/>
      <c r="B612"/>
      <c r="C612"/>
      <c r="E612"/>
      <c r="F612"/>
      <c r="G612"/>
      <c r="H612"/>
    </row>
    <row r="613" spans="1:8">
      <c r="A613"/>
      <c r="B613"/>
      <c r="C613"/>
      <c r="E613"/>
      <c r="F613"/>
      <c r="G613"/>
      <c r="H613"/>
    </row>
    <row r="614" spans="1:8">
      <c r="A614"/>
      <c r="B614"/>
      <c r="C614"/>
      <c r="E614"/>
      <c r="F614"/>
      <c r="G614"/>
      <c r="H614"/>
    </row>
    <row r="615" spans="1:8">
      <c r="A615"/>
      <c r="B615"/>
      <c r="C615"/>
      <c r="E615"/>
      <c r="F615"/>
      <c r="G615"/>
      <c r="H615"/>
    </row>
    <row r="616" spans="1:8">
      <c r="A616"/>
      <c r="B616"/>
      <c r="C616"/>
      <c r="E616"/>
      <c r="F616"/>
      <c r="G616"/>
      <c r="H616"/>
    </row>
    <row r="617" spans="1:8">
      <c r="A617"/>
      <c r="B617"/>
      <c r="C617"/>
      <c r="E617"/>
      <c r="F617"/>
      <c r="G617"/>
      <c r="H617"/>
    </row>
    <row r="618" spans="1:8">
      <c r="A618"/>
      <c r="B618"/>
      <c r="C618"/>
      <c r="E618"/>
      <c r="F618"/>
      <c r="G618"/>
      <c r="H618"/>
    </row>
    <row r="619" spans="1:8">
      <c r="A619"/>
      <c r="B619"/>
      <c r="C619"/>
      <c r="E619"/>
      <c r="F619"/>
      <c r="G619"/>
      <c r="H619"/>
    </row>
    <row r="620" spans="1:8">
      <c r="A620"/>
      <c r="B620"/>
      <c r="C620"/>
      <c r="E620"/>
      <c r="F620"/>
      <c r="G620"/>
      <c r="H620"/>
    </row>
    <row r="621" spans="1:8">
      <c r="A621"/>
      <c r="B621"/>
      <c r="C621"/>
      <c r="E621"/>
      <c r="F621"/>
      <c r="G621"/>
      <c r="H621"/>
    </row>
    <row r="622" spans="1:8">
      <c r="A622"/>
      <c r="B622"/>
      <c r="C622"/>
      <c r="E622"/>
      <c r="F622"/>
      <c r="G622"/>
      <c r="H622"/>
    </row>
    <row r="623" spans="1:8">
      <c r="A623"/>
      <c r="B623"/>
      <c r="C623"/>
      <c r="E623"/>
      <c r="F623"/>
      <c r="G623"/>
      <c r="H623"/>
    </row>
    <row r="624" spans="1:8">
      <c r="A624"/>
      <c r="B624"/>
      <c r="C624"/>
      <c r="E624"/>
      <c r="F624"/>
      <c r="G624"/>
      <c r="H624"/>
    </row>
    <row r="625" spans="1:8">
      <c r="A625"/>
      <c r="B625"/>
      <c r="C625"/>
      <c r="E625"/>
      <c r="F625"/>
      <c r="G625"/>
      <c r="H625"/>
    </row>
    <row r="626" spans="1:8">
      <c r="A626"/>
      <c r="B626"/>
      <c r="C626"/>
      <c r="E626"/>
      <c r="F626"/>
      <c r="G626"/>
      <c r="H626"/>
    </row>
    <row r="627" spans="1:8">
      <c r="A627"/>
      <c r="B627"/>
      <c r="C627"/>
      <c r="E627"/>
      <c r="F627"/>
      <c r="G627"/>
      <c r="H627"/>
    </row>
    <row r="628" spans="1:8">
      <c r="A628"/>
      <c r="B628"/>
      <c r="C628"/>
      <c r="E628"/>
      <c r="F628"/>
      <c r="G628"/>
      <c r="H628"/>
    </row>
    <row r="629" spans="1:8">
      <c r="A629"/>
      <c r="B629"/>
      <c r="C629"/>
      <c r="E629"/>
      <c r="F629"/>
      <c r="G629"/>
      <c r="H629"/>
    </row>
    <row r="630" spans="1:8">
      <c r="A630"/>
      <c r="B630"/>
      <c r="C630"/>
      <c r="E630"/>
      <c r="F630"/>
      <c r="G630"/>
      <c r="H630"/>
    </row>
    <row r="631" spans="1:8">
      <c r="A631"/>
      <c r="B631"/>
      <c r="C631"/>
      <c r="E631"/>
      <c r="F631"/>
      <c r="G631"/>
      <c r="H631"/>
    </row>
    <row r="632" spans="1:8">
      <c r="A632"/>
      <c r="B632"/>
      <c r="C632"/>
      <c r="E632"/>
      <c r="F632"/>
      <c r="G632"/>
      <c r="H632"/>
    </row>
    <row r="633" spans="1:8">
      <c r="A633"/>
      <c r="B633"/>
      <c r="C633"/>
      <c r="E633"/>
      <c r="F633"/>
      <c r="G633"/>
      <c r="H633"/>
    </row>
    <row r="634" spans="1:8">
      <c r="A634"/>
      <c r="B634"/>
      <c r="C634"/>
      <c r="E634"/>
      <c r="F634"/>
      <c r="G634"/>
      <c r="H634"/>
    </row>
    <row r="635" spans="1:8">
      <c r="A635"/>
      <c r="B635"/>
      <c r="C635"/>
      <c r="E635"/>
      <c r="F635"/>
      <c r="G635"/>
      <c r="H635"/>
    </row>
    <row r="636" spans="1:8">
      <c r="A636"/>
      <c r="B636"/>
      <c r="C636"/>
      <c r="E636"/>
      <c r="F636"/>
      <c r="G636"/>
      <c r="H636"/>
    </row>
    <row r="637" spans="1:8">
      <c r="A637"/>
      <c r="B637"/>
      <c r="C637"/>
      <c r="E637"/>
      <c r="F637"/>
      <c r="G637"/>
      <c r="H637"/>
    </row>
    <row r="638" spans="1:8">
      <c r="A638"/>
      <c r="B638"/>
      <c r="C638"/>
      <c r="E638"/>
      <c r="F638"/>
      <c r="G638"/>
      <c r="H638"/>
    </row>
    <row r="639" spans="1:8">
      <c r="A639"/>
      <c r="B639"/>
      <c r="C639"/>
      <c r="E639"/>
      <c r="F639"/>
      <c r="G639"/>
      <c r="H639"/>
    </row>
    <row r="640" spans="1:8">
      <c r="A640"/>
      <c r="B640"/>
      <c r="C640"/>
      <c r="E640"/>
      <c r="F640"/>
      <c r="G640"/>
      <c r="H640"/>
    </row>
    <row r="641" spans="1:8">
      <c r="A641"/>
      <c r="B641"/>
      <c r="C641"/>
      <c r="E641"/>
      <c r="F641"/>
      <c r="G641"/>
      <c r="H641"/>
    </row>
    <row r="642" spans="1:8">
      <c r="A642"/>
      <c r="B642"/>
      <c r="C642"/>
      <c r="E642"/>
      <c r="F642"/>
      <c r="G642"/>
      <c r="H642"/>
    </row>
    <row r="643" spans="1:8">
      <c r="A643"/>
      <c r="B643"/>
      <c r="C643"/>
      <c r="E643"/>
      <c r="F643"/>
      <c r="G643"/>
      <c r="H643"/>
    </row>
    <row r="644" spans="1:8">
      <c r="A644"/>
      <c r="B644"/>
      <c r="C644"/>
      <c r="E644"/>
      <c r="F644"/>
      <c r="G644"/>
      <c r="H644"/>
    </row>
    <row r="645" spans="1:8">
      <c r="A645"/>
      <c r="B645"/>
      <c r="C645"/>
      <c r="E645"/>
      <c r="F645"/>
      <c r="G645"/>
      <c r="H645"/>
    </row>
    <row r="646" spans="1:8">
      <c r="A646"/>
      <c r="B646"/>
      <c r="C646"/>
      <c r="E646"/>
      <c r="F646"/>
      <c r="G646"/>
      <c r="H646"/>
    </row>
    <row r="647" spans="1:8">
      <c r="A647"/>
      <c r="B647"/>
      <c r="C647"/>
      <c r="E647"/>
      <c r="F647"/>
      <c r="G647"/>
      <c r="H647"/>
    </row>
    <row r="648" spans="1:8">
      <c r="A648"/>
      <c r="B648"/>
      <c r="C648"/>
      <c r="E648"/>
      <c r="F648"/>
      <c r="G648"/>
      <c r="H648"/>
    </row>
    <row r="649" spans="1:8">
      <c r="A649"/>
      <c r="B649"/>
      <c r="C649"/>
      <c r="E649"/>
      <c r="F649"/>
      <c r="G649"/>
      <c r="H649"/>
    </row>
    <row r="650" spans="1:8">
      <c r="A650"/>
      <c r="B650"/>
      <c r="C650"/>
      <c r="E650"/>
      <c r="F650"/>
      <c r="G650"/>
      <c r="H650"/>
    </row>
    <row r="651" spans="1:8">
      <c r="A651"/>
      <c r="B651"/>
      <c r="C651"/>
      <c r="E651"/>
      <c r="F651"/>
      <c r="G651"/>
      <c r="H651"/>
    </row>
    <row r="652" spans="1:8">
      <c r="A652"/>
      <c r="B652"/>
      <c r="C652"/>
      <c r="E652"/>
      <c r="F652"/>
      <c r="G652"/>
      <c r="H652"/>
    </row>
    <row r="653" spans="1:8">
      <c r="A653"/>
      <c r="B653"/>
      <c r="C653"/>
      <c r="E653"/>
      <c r="F653"/>
      <c r="G653"/>
      <c r="H653"/>
    </row>
    <row r="654" spans="1:8">
      <c r="A654"/>
      <c r="B654"/>
      <c r="C654"/>
      <c r="E654"/>
      <c r="F654"/>
      <c r="G654"/>
      <c r="H654"/>
    </row>
    <row r="655" spans="1:8">
      <c r="A655"/>
      <c r="B655"/>
      <c r="C655"/>
      <c r="E655"/>
      <c r="F655"/>
      <c r="G655"/>
      <c r="H655"/>
    </row>
    <row r="656" spans="1:8">
      <c r="A656"/>
      <c r="B656"/>
      <c r="C656"/>
      <c r="E656"/>
      <c r="F656"/>
      <c r="G656"/>
      <c r="H656"/>
    </row>
    <row r="657" spans="1:8">
      <c r="A657"/>
      <c r="B657"/>
      <c r="C657"/>
      <c r="E657"/>
      <c r="F657"/>
      <c r="G657"/>
      <c r="H657"/>
    </row>
    <row r="658" spans="1:8">
      <c r="A658"/>
      <c r="B658"/>
      <c r="C658"/>
      <c r="E658"/>
      <c r="F658"/>
      <c r="G658"/>
      <c r="H658"/>
    </row>
    <row r="659" spans="1:8">
      <c r="A659"/>
      <c r="B659"/>
      <c r="C659"/>
      <c r="E659"/>
      <c r="F659"/>
      <c r="G659"/>
      <c r="H659"/>
    </row>
    <row r="660" spans="1:8">
      <c r="A660"/>
      <c r="B660"/>
      <c r="C660"/>
      <c r="E660"/>
      <c r="F660"/>
      <c r="G660"/>
      <c r="H660"/>
    </row>
    <row r="661" spans="1:8">
      <c r="A661"/>
      <c r="B661"/>
      <c r="C661"/>
      <c r="E661"/>
      <c r="F661"/>
      <c r="G661"/>
      <c r="H661"/>
    </row>
    <row r="662" spans="1:8">
      <c r="A662"/>
      <c r="B662"/>
      <c r="C662"/>
      <c r="E662"/>
      <c r="F662"/>
      <c r="G662"/>
      <c r="H662"/>
    </row>
    <row r="663" spans="1:8">
      <c r="A663"/>
      <c r="B663"/>
      <c r="C663"/>
      <c r="E663"/>
      <c r="F663"/>
      <c r="G663"/>
      <c r="H663"/>
    </row>
    <row r="664" spans="1:8">
      <c r="A664"/>
      <c r="B664"/>
      <c r="C664"/>
      <c r="E664"/>
      <c r="F664"/>
      <c r="G664"/>
      <c r="H664"/>
    </row>
    <row r="665" spans="1:8">
      <c r="A665"/>
      <c r="B665"/>
      <c r="C665"/>
      <c r="E665"/>
      <c r="F665"/>
      <c r="G665"/>
      <c r="H665"/>
    </row>
    <row r="666" spans="1:8">
      <c r="A666"/>
      <c r="B666"/>
      <c r="C666"/>
      <c r="E666"/>
      <c r="F666"/>
      <c r="G666"/>
      <c r="H666"/>
    </row>
    <row r="667" spans="1:8">
      <c r="A667"/>
      <c r="B667"/>
      <c r="C667"/>
      <c r="E667"/>
      <c r="F667"/>
      <c r="G667"/>
      <c r="H667"/>
    </row>
    <row r="668" spans="1:8">
      <c r="A668"/>
      <c r="B668"/>
      <c r="C668"/>
      <c r="E668"/>
      <c r="F668"/>
      <c r="G668"/>
      <c r="H668"/>
    </row>
    <row r="669" spans="1:8">
      <c r="A669"/>
      <c r="B669"/>
      <c r="C669"/>
      <c r="E669"/>
      <c r="F669"/>
      <c r="G669"/>
      <c r="H669"/>
    </row>
    <row r="670" spans="1:8">
      <c r="A670"/>
      <c r="B670"/>
      <c r="C670"/>
      <c r="E670"/>
      <c r="F670"/>
      <c r="G670"/>
      <c r="H670"/>
    </row>
    <row r="671" spans="1:8">
      <c r="A671"/>
      <c r="B671"/>
      <c r="C671"/>
      <c r="E671"/>
      <c r="F671"/>
      <c r="G671"/>
      <c r="H671"/>
    </row>
    <row r="672" spans="1:8">
      <c r="A672"/>
      <c r="B672"/>
      <c r="C672"/>
      <c r="E672"/>
      <c r="F672"/>
      <c r="G672"/>
      <c r="H672"/>
    </row>
    <row r="673" spans="1:8">
      <c r="A673"/>
      <c r="B673"/>
      <c r="C673"/>
      <c r="E673"/>
      <c r="F673"/>
      <c r="G673"/>
      <c r="H673"/>
    </row>
    <row r="674" spans="1:8">
      <c r="A674"/>
      <c r="B674"/>
      <c r="C674"/>
      <c r="E674"/>
      <c r="F674"/>
      <c r="G674"/>
      <c r="H674"/>
    </row>
    <row r="675" spans="1:8">
      <c r="A675"/>
      <c r="B675"/>
      <c r="C675"/>
      <c r="E675"/>
      <c r="F675"/>
      <c r="G675"/>
      <c r="H675"/>
    </row>
    <row r="676" spans="1:8">
      <c r="A676"/>
      <c r="B676"/>
      <c r="C676"/>
      <c r="E676"/>
      <c r="F676"/>
      <c r="G676"/>
      <c r="H676"/>
    </row>
    <row r="677" spans="1:8">
      <c r="A677"/>
      <c r="B677"/>
      <c r="C677"/>
      <c r="E677"/>
      <c r="F677"/>
      <c r="G677"/>
      <c r="H677"/>
    </row>
    <row r="678" spans="1:8">
      <c r="A678"/>
      <c r="B678"/>
      <c r="C678"/>
      <c r="E678"/>
      <c r="F678"/>
      <c r="G678"/>
      <c r="H678"/>
    </row>
    <row r="679" spans="1:8">
      <c r="A679"/>
      <c r="B679"/>
      <c r="C679"/>
      <c r="E679"/>
      <c r="F679"/>
      <c r="G679"/>
      <c r="H679"/>
    </row>
    <row r="680" spans="1:8">
      <c r="A680"/>
      <c r="B680"/>
      <c r="C680"/>
      <c r="E680"/>
      <c r="F680"/>
      <c r="G680"/>
      <c r="H680"/>
    </row>
    <row r="681" spans="1:8">
      <c r="A681"/>
      <c r="B681"/>
      <c r="C681"/>
      <c r="E681"/>
      <c r="F681"/>
      <c r="G681"/>
      <c r="H681"/>
    </row>
    <row r="682" spans="1:8">
      <c r="A682"/>
      <c r="B682"/>
      <c r="C682"/>
      <c r="E682"/>
      <c r="F682"/>
      <c r="G682"/>
      <c r="H682"/>
    </row>
    <row r="683" spans="1:8">
      <c r="A683"/>
      <c r="B683"/>
      <c r="C683"/>
      <c r="E683"/>
      <c r="F683"/>
      <c r="G683"/>
      <c r="H683"/>
    </row>
    <row r="684" spans="1:8">
      <c r="A684"/>
      <c r="B684"/>
      <c r="C684"/>
      <c r="E684"/>
      <c r="F684"/>
      <c r="G684"/>
      <c r="H684"/>
    </row>
    <row r="685" spans="1:8">
      <c r="A685"/>
      <c r="B685"/>
      <c r="C685"/>
      <c r="E685"/>
      <c r="F685"/>
      <c r="G685"/>
      <c r="H685"/>
    </row>
    <row r="686" spans="1:8">
      <c r="A686"/>
      <c r="B686"/>
      <c r="C686"/>
      <c r="E686"/>
      <c r="F686"/>
      <c r="G686"/>
      <c r="H686"/>
    </row>
    <row r="687" spans="1:8">
      <c r="A687"/>
      <c r="B687"/>
      <c r="C687"/>
      <c r="E687"/>
      <c r="F687"/>
      <c r="G687"/>
      <c r="H687"/>
    </row>
    <row r="688" spans="1:8">
      <c r="A688"/>
      <c r="B688"/>
      <c r="C688"/>
      <c r="E688"/>
      <c r="F688"/>
      <c r="G688"/>
      <c r="H688"/>
    </row>
    <row r="689" spans="1:8">
      <c r="A689"/>
      <c r="B689"/>
      <c r="C689"/>
      <c r="E689"/>
      <c r="F689"/>
      <c r="G689"/>
      <c r="H689"/>
    </row>
    <row r="690" spans="1:8">
      <c r="A690"/>
      <c r="B690"/>
      <c r="C690"/>
      <c r="E690"/>
      <c r="F690"/>
      <c r="G690"/>
      <c r="H690"/>
    </row>
    <row r="691" spans="1:8">
      <c r="A691"/>
      <c r="B691"/>
      <c r="C691"/>
      <c r="E691"/>
      <c r="F691"/>
      <c r="G691"/>
      <c r="H691"/>
    </row>
    <row r="692" spans="1:8">
      <c r="A692"/>
      <c r="B692"/>
      <c r="C692"/>
      <c r="E692"/>
      <c r="F692"/>
      <c r="G692"/>
      <c r="H692"/>
    </row>
    <row r="693" spans="1:8">
      <c r="A693"/>
      <c r="B693"/>
      <c r="C693"/>
      <c r="E693"/>
      <c r="F693"/>
      <c r="G693"/>
      <c r="H693"/>
    </row>
    <row r="694" spans="1:8">
      <c r="A694"/>
      <c r="B694"/>
      <c r="C694"/>
      <c r="E694"/>
      <c r="F694"/>
      <c r="G694"/>
      <c r="H694"/>
    </row>
    <row r="695" spans="1:8">
      <c r="A695"/>
      <c r="B695"/>
      <c r="C695"/>
      <c r="E695"/>
      <c r="F695"/>
      <c r="G695"/>
      <c r="H695"/>
    </row>
    <row r="696" spans="1:8">
      <c r="A696"/>
      <c r="B696"/>
      <c r="C696"/>
      <c r="E696"/>
      <c r="F696"/>
      <c r="G696"/>
      <c r="H696"/>
    </row>
    <row r="697" spans="1:8">
      <c r="A697"/>
      <c r="B697"/>
      <c r="C697"/>
      <c r="E697"/>
      <c r="F697"/>
      <c r="G697"/>
      <c r="H697"/>
    </row>
    <row r="698" spans="1:8">
      <c r="A698"/>
      <c r="B698"/>
      <c r="C698"/>
      <c r="E698"/>
      <c r="F698"/>
      <c r="G698"/>
      <c r="H698"/>
    </row>
    <row r="699" spans="1:8">
      <c r="A699"/>
      <c r="B699"/>
      <c r="C699"/>
      <c r="E699"/>
      <c r="F699"/>
      <c r="G699"/>
      <c r="H699"/>
    </row>
    <row r="700" spans="1:8">
      <c r="A700"/>
      <c r="B700"/>
      <c r="C700"/>
      <c r="E700"/>
      <c r="F700"/>
      <c r="G700"/>
      <c r="H700"/>
    </row>
    <row r="701" spans="1:8">
      <c r="A701"/>
      <c r="B701"/>
      <c r="C701"/>
      <c r="E701"/>
      <c r="F701"/>
      <c r="G701"/>
      <c r="H701"/>
    </row>
    <row r="702" spans="1:8">
      <c r="A702"/>
      <c r="B702"/>
      <c r="C702"/>
      <c r="E702"/>
      <c r="F702"/>
      <c r="G702"/>
      <c r="H702"/>
    </row>
    <row r="703" spans="1:8">
      <c r="A703"/>
      <c r="B703"/>
      <c r="C703"/>
      <c r="E703"/>
      <c r="F703"/>
      <c r="G703"/>
      <c r="H703"/>
    </row>
    <row r="704" spans="1:8">
      <c r="A704"/>
      <c r="B704"/>
      <c r="C704"/>
      <c r="E704"/>
      <c r="F704"/>
      <c r="G704"/>
      <c r="H704"/>
    </row>
    <row r="705" spans="1:8">
      <c r="A705"/>
      <c r="B705"/>
      <c r="C705"/>
      <c r="E705"/>
      <c r="F705"/>
      <c r="G705"/>
      <c r="H705"/>
    </row>
    <row r="706" spans="1:8">
      <c r="A706"/>
      <c r="B706"/>
      <c r="C706"/>
      <c r="E706"/>
      <c r="F706"/>
      <c r="G706"/>
      <c r="H706"/>
    </row>
    <row r="707" spans="1:8">
      <c r="A707"/>
      <c r="B707"/>
      <c r="C707"/>
      <c r="E707"/>
      <c r="F707"/>
      <c r="G707"/>
      <c r="H707"/>
    </row>
    <row r="708" spans="1:8">
      <c r="A708"/>
      <c r="B708"/>
      <c r="C708"/>
      <c r="E708"/>
      <c r="F708"/>
      <c r="G708"/>
      <c r="H708"/>
    </row>
    <row r="709" spans="1:8">
      <c r="A709"/>
      <c r="B709"/>
      <c r="C709"/>
      <c r="E709"/>
      <c r="F709"/>
      <c r="G709"/>
      <c r="H709"/>
    </row>
    <row r="710" spans="1:8">
      <c r="A710"/>
      <c r="B710"/>
      <c r="C710"/>
      <c r="E710"/>
      <c r="F710"/>
      <c r="G710"/>
      <c r="H710"/>
    </row>
    <row r="711" spans="1:8">
      <c r="A711"/>
      <c r="B711"/>
      <c r="C711"/>
      <c r="E711"/>
      <c r="F711"/>
      <c r="G711"/>
      <c r="H711"/>
    </row>
    <row r="712" spans="1:8">
      <c r="A712"/>
      <c r="B712"/>
      <c r="C712"/>
      <c r="E712"/>
      <c r="F712"/>
      <c r="G712"/>
      <c r="H712"/>
    </row>
    <row r="713" spans="1:8">
      <c r="A713"/>
      <c r="B713"/>
      <c r="C713"/>
      <c r="E713"/>
      <c r="F713"/>
      <c r="G713"/>
      <c r="H713"/>
    </row>
    <row r="714" spans="1:8">
      <c r="A714"/>
      <c r="B714"/>
      <c r="C714"/>
      <c r="E714"/>
      <c r="F714"/>
      <c r="G714"/>
      <c r="H714"/>
    </row>
    <row r="715" spans="1:8">
      <c r="A715"/>
      <c r="B715"/>
      <c r="C715"/>
      <c r="E715"/>
      <c r="F715"/>
      <c r="G715"/>
      <c r="H715"/>
    </row>
    <row r="716" spans="1:8">
      <c r="A716"/>
      <c r="B716"/>
      <c r="C716"/>
      <c r="E716"/>
      <c r="F716"/>
      <c r="G716"/>
      <c r="H716"/>
    </row>
    <row r="717" spans="1:8">
      <c r="A717"/>
      <c r="B717"/>
      <c r="C717"/>
      <c r="E717"/>
      <c r="F717"/>
      <c r="G717"/>
      <c r="H717"/>
    </row>
    <row r="718" spans="1:8">
      <c r="A718"/>
      <c r="B718"/>
      <c r="C718"/>
      <c r="E718"/>
      <c r="F718"/>
      <c r="G718"/>
      <c r="H718"/>
    </row>
    <row r="719" spans="1:8">
      <c r="A719"/>
      <c r="B719"/>
      <c r="C719"/>
      <c r="E719"/>
      <c r="F719"/>
      <c r="G719"/>
      <c r="H719"/>
    </row>
    <row r="720" spans="1:8">
      <c r="A720"/>
      <c r="B720"/>
      <c r="C720"/>
      <c r="E720"/>
      <c r="F720"/>
      <c r="G720"/>
      <c r="H720"/>
    </row>
    <row r="721" spans="1:8">
      <c r="A721"/>
      <c r="B721"/>
      <c r="C721"/>
      <c r="E721"/>
      <c r="F721"/>
      <c r="G721"/>
      <c r="H721"/>
    </row>
    <row r="722" spans="1:8">
      <c r="A722"/>
      <c r="B722"/>
      <c r="C722"/>
      <c r="E722"/>
      <c r="F722"/>
      <c r="G722"/>
      <c r="H722"/>
    </row>
    <row r="723" spans="1:8">
      <c r="A723"/>
      <c r="B723"/>
      <c r="C723"/>
      <c r="E723"/>
      <c r="F723"/>
      <c r="G723"/>
      <c r="H723"/>
    </row>
    <row r="724" spans="1:8">
      <c r="A724"/>
      <c r="B724"/>
      <c r="C724"/>
      <c r="E724"/>
      <c r="F724"/>
      <c r="G724"/>
      <c r="H724"/>
    </row>
    <row r="725" spans="1:8">
      <c r="A725"/>
      <c r="B725"/>
      <c r="C725"/>
      <c r="E725"/>
      <c r="F725"/>
      <c r="G725"/>
      <c r="H725"/>
    </row>
    <row r="726" spans="1:8">
      <c r="A726"/>
      <c r="B726"/>
      <c r="C726"/>
      <c r="E726"/>
      <c r="F726"/>
      <c r="G726"/>
      <c r="H726"/>
    </row>
    <row r="727" spans="1:8">
      <c r="A727"/>
      <c r="B727"/>
      <c r="C727"/>
      <c r="E727"/>
      <c r="F727"/>
      <c r="G727"/>
      <c r="H727"/>
    </row>
    <row r="728" spans="1:8">
      <c r="A728"/>
      <c r="B728"/>
      <c r="C728"/>
      <c r="E728"/>
      <c r="F728"/>
      <c r="G728"/>
      <c r="H728"/>
    </row>
    <row r="729" spans="1:8">
      <c r="A729"/>
      <c r="B729"/>
      <c r="C729"/>
      <c r="E729"/>
      <c r="F729"/>
      <c r="G729"/>
      <c r="H729"/>
    </row>
    <row r="730" spans="1:8">
      <c r="A730"/>
      <c r="B730"/>
      <c r="C730"/>
      <c r="E730"/>
      <c r="F730"/>
      <c r="G730"/>
      <c r="H730"/>
    </row>
    <row r="731" spans="1:8">
      <c r="A731"/>
      <c r="B731"/>
      <c r="C731"/>
      <c r="E731"/>
      <c r="F731"/>
      <c r="G731"/>
      <c r="H731"/>
    </row>
    <row r="732" spans="1:8">
      <c r="A732"/>
      <c r="B732"/>
      <c r="C732"/>
      <c r="E732"/>
      <c r="F732"/>
      <c r="G732"/>
      <c r="H732"/>
    </row>
    <row r="733" spans="1:8">
      <c r="A733"/>
      <c r="B733"/>
      <c r="C733"/>
      <c r="E733"/>
      <c r="F733"/>
      <c r="G733"/>
      <c r="H733"/>
    </row>
    <row r="734" spans="1:8">
      <c r="A734"/>
      <c r="B734"/>
      <c r="C734"/>
      <c r="E734"/>
      <c r="F734"/>
      <c r="G734"/>
      <c r="H734"/>
    </row>
    <row r="735" spans="1:8">
      <c r="A735"/>
      <c r="B735"/>
      <c r="C735"/>
      <c r="E735"/>
      <c r="F735"/>
      <c r="G735"/>
      <c r="H735"/>
    </row>
    <row r="736" spans="1:8">
      <c r="A736"/>
      <c r="B736"/>
      <c r="C736"/>
      <c r="E736"/>
      <c r="F736"/>
      <c r="G736"/>
      <c r="H736"/>
    </row>
    <row r="737" spans="1:8">
      <c r="A737"/>
      <c r="B737"/>
      <c r="C737"/>
      <c r="E737"/>
      <c r="F737"/>
      <c r="G737"/>
      <c r="H737"/>
    </row>
    <row r="738" spans="1:8">
      <c r="A738"/>
      <c r="B738"/>
      <c r="C738"/>
      <c r="E738"/>
      <c r="F738"/>
      <c r="G738"/>
      <c r="H738"/>
    </row>
    <row r="739" spans="1:8">
      <c r="A739"/>
      <c r="B739"/>
      <c r="C739"/>
      <c r="E739"/>
      <c r="F739"/>
      <c r="G739"/>
      <c r="H739"/>
    </row>
    <row r="740" spans="1:8">
      <c r="A740"/>
      <c r="B740"/>
      <c r="C740"/>
      <c r="E740"/>
      <c r="F740"/>
      <c r="G740"/>
      <c r="H740"/>
    </row>
    <row r="741" spans="1:8">
      <c r="A741"/>
      <c r="B741"/>
      <c r="C741"/>
      <c r="E741"/>
      <c r="F741"/>
      <c r="G741"/>
      <c r="H741"/>
    </row>
    <row r="742" spans="1:8">
      <c r="A742"/>
      <c r="B742"/>
      <c r="C742"/>
      <c r="E742"/>
      <c r="F742"/>
      <c r="G742"/>
      <c r="H742"/>
    </row>
    <row r="743" spans="1:8">
      <c r="A743"/>
      <c r="B743"/>
      <c r="C743"/>
      <c r="E743"/>
      <c r="F743"/>
      <c r="G743"/>
      <c r="H743"/>
    </row>
    <row r="744" spans="1:8">
      <c r="A744"/>
      <c r="B744"/>
      <c r="C744"/>
      <c r="E744"/>
      <c r="F744"/>
      <c r="G744"/>
      <c r="H744"/>
    </row>
    <row r="745" spans="1:8">
      <c r="A745"/>
      <c r="B745"/>
      <c r="C745"/>
      <c r="E745"/>
      <c r="F745"/>
      <c r="G745"/>
      <c r="H745"/>
    </row>
    <row r="746" spans="1:8">
      <c r="A746"/>
      <c r="B746"/>
      <c r="C746"/>
      <c r="E746"/>
      <c r="F746"/>
      <c r="G746"/>
      <c r="H746"/>
    </row>
    <row r="747" spans="1:8">
      <c r="A747"/>
      <c r="B747"/>
      <c r="C747"/>
      <c r="E747"/>
      <c r="F747"/>
      <c r="G747"/>
      <c r="H747"/>
    </row>
    <row r="748" spans="1:8">
      <c r="A748"/>
      <c r="B748"/>
      <c r="C748"/>
      <c r="E748"/>
      <c r="F748"/>
      <c r="G748"/>
      <c r="H748"/>
    </row>
    <row r="749" spans="1:8">
      <c r="A749"/>
      <c r="B749"/>
      <c r="C749"/>
      <c r="E749"/>
      <c r="F749"/>
      <c r="G749"/>
      <c r="H749"/>
    </row>
    <row r="750" spans="1:8">
      <c r="A750"/>
      <c r="B750"/>
      <c r="C750"/>
      <c r="E750"/>
      <c r="F750"/>
      <c r="G750"/>
      <c r="H750"/>
    </row>
    <row r="751" spans="1:8">
      <c r="A751"/>
      <c r="B751"/>
      <c r="C751"/>
      <c r="E751"/>
      <c r="F751"/>
      <c r="G751"/>
      <c r="H751"/>
    </row>
    <row r="752" spans="1:8">
      <c r="A752"/>
      <c r="B752"/>
      <c r="C752"/>
      <c r="E752"/>
      <c r="F752"/>
      <c r="G752"/>
      <c r="H752"/>
    </row>
    <row r="753" spans="1:8">
      <c r="A753"/>
      <c r="B753"/>
      <c r="C753"/>
      <c r="E753"/>
      <c r="F753"/>
      <c r="G753"/>
      <c r="H753"/>
    </row>
    <row r="754" spans="1:8">
      <c r="A754"/>
      <c r="B754"/>
      <c r="C754"/>
      <c r="E754"/>
      <c r="F754"/>
      <c r="G754"/>
      <c r="H754"/>
    </row>
    <row r="755" spans="1:8">
      <c r="A755"/>
      <c r="B755"/>
      <c r="C755"/>
      <c r="E755"/>
      <c r="F755"/>
      <c r="G755"/>
      <c r="H755"/>
    </row>
    <row r="756" spans="1:8">
      <c r="A756"/>
      <c r="B756"/>
      <c r="C756"/>
      <c r="E756"/>
      <c r="F756"/>
      <c r="G756"/>
      <c r="H756"/>
    </row>
    <row r="757" spans="1:8">
      <c r="A757"/>
      <c r="B757"/>
      <c r="C757"/>
      <c r="E757"/>
      <c r="F757"/>
      <c r="G757"/>
      <c r="H757"/>
    </row>
    <row r="758" spans="1:8">
      <c r="A758"/>
      <c r="B758"/>
      <c r="C758"/>
      <c r="E758"/>
      <c r="F758"/>
      <c r="G758"/>
      <c r="H758"/>
    </row>
    <row r="759" spans="1:8">
      <c r="A759"/>
      <c r="B759"/>
      <c r="C759"/>
      <c r="E759"/>
      <c r="F759"/>
      <c r="G759"/>
      <c r="H759"/>
    </row>
    <row r="760" spans="1:8">
      <c r="A760"/>
      <c r="B760"/>
      <c r="C760"/>
      <c r="E760"/>
      <c r="F760"/>
      <c r="G760"/>
      <c r="H760"/>
    </row>
    <row r="761" spans="1:8">
      <c r="A761"/>
      <c r="B761"/>
      <c r="C761"/>
      <c r="E761"/>
      <c r="F761"/>
      <c r="G761"/>
      <c r="H761"/>
    </row>
    <row r="762" spans="1:8">
      <c r="A762"/>
      <c r="B762"/>
      <c r="C762"/>
      <c r="E762"/>
      <c r="F762"/>
      <c r="G762"/>
      <c r="H762"/>
    </row>
    <row r="763" spans="1:8">
      <c r="A763"/>
      <c r="B763"/>
      <c r="C763"/>
      <c r="E763"/>
      <c r="F763"/>
      <c r="G763"/>
      <c r="H763"/>
    </row>
    <row r="764" spans="1:8">
      <c r="A764"/>
      <c r="B764"/>
      <c r="C764"/>
      <c r="E764"/>
      <c r="F764"/>
      <c r="G764"/>
      <c r="H764"/>
    </row>
    <row r="765" spans="1:8">
      <c r="A765"/>
      <c r="B765"/>
      <c r="C765"/>
      <c r="E765"/>
      <c r="F765"/>
      <c r="G765"/>
      <c r="H765"/>
    </row>
    <row r="766" spans="1:8">
      <c r="A766"/>
      <c r="B766"/>
      <c r="C766"/>
      <c r="E766"/>
      <c r="F766"/>
      <c r="G766"/>
      <c r="H766"/>
    </row>
    <row r="767" spans="1:8">
      <c r="A767"/>
      <c r="B767"/>
      <c r="C767"/>
      <c r="E767"/>
      <c r="F767"/>
      <c r="G767"/>
      <c r="H767"/>
    </row>
    <row r="768" spans="1:8">
      <c r="A768"/>
      <c r="B768"/>
      <c r="C768"/>
      <c r="E768"/>
      <c r="F768"/>
      <c r="G768"/>
      <c r="H768"/>
    </row>
    <row r="769" spans="1:8">
      <c r="A769"/>
      <c r="B769"/>
      <c r="C769"/>
      <c r="E769"/>
      <c r="F769"/>
      <c r="G769"/>
      <c r="H769"/>
    </row>
    <row r="770" spans="1:8">
      <c r="A770"/>
      <c r="B770"/>
      <c r="C770"/>
      <c r="E770"/>
      <c r="F770"/>
      <c r="G770"/>
      <c r="H770"/>
    </row>
    <row r="771" spans="1:8">
      <c r="A771"/>
      <c r="B771"/>
      <c r="C771"/>
      <c r="E771"/>
      <c r="F771"/>
      <c r="G771"/>
      <c r="H771"/>
    </row>
    <row r="772" spans="1:8">
      <c r="A772"/>
      <c r="B772"/>
      <c r="C772"/>
      <c r="E772"/>
      <c r="F772"/>
      <c r="G772"/>
      <c r="H772"/>
    </row>
    <row r="773" spans="1:8">
      <c r="A773"/>
      <c r="B773"/>
      <c r="C773"/>
      <c r="E773"/>
      <c r="F773"/>
      <c r="G773"/>
      <c r="H773"/>
    </row>
    <row r="774" spans="1:8">
      <c r="A774"/>
      <c r="B774"/>
      <c r="C774"/>
      <c r="E774"/>
      <c r="F774"/>
      <c r="G774"/>
      <c r="H774"/>
    </row>
    <row r="775" spans="1:8">
      <c r="A775"/>
      <c r="B775"/>
      <c r="C775"/>
      <c r="E775"/>
      <c r="F775"/>
      <c r="G775"/>
      <c r="H775"/>
    </row>
    <row r="776" spans="1:8">
      <c r="A776"/>
      <c r="B776"/>
      <c r="C776"/>
      <c r="E776"/>
      <c r="F776"/>
      <c r="G776"/>
      <c r="H776"/>
    </row>
    <row r="777" spans="1:8">
      <c r="A777"/>
      <c r="B777"/>
      <c r="C777"/>
      <c r="E777"/>
      <c r="F777"/>
      <c r="G777"/>
      <c r="H777"/>
    </row>
    <row r="778" spans="1:8">
      <c r="A778"/>
      <c r="B778"/>
      <c r="C778"/>
      <c r="E778"/>
      <c r="F778"/>
      <c r="G778"/>
      <c r="H778"/>
    </row>
    <row r="779" spans="1:8">
      <c r="A779"/>
      <c r="B779"/>
      <c r="C779"/>
      <c r="E779"/>
      <c r="F779"/>
      <c r="G779"/>
      <c r="H779"/>
    </row>
    <row r="780" spans="1:8">
      <c r="A780"/>
      <c r="B780"/>
      <c r="C780"/>
      <c r="E780"/>
      <c r="F780"/>
      <c r="G780"/>
      <c r="H780"/>
    </row>
    <row r="781" spans="1:8">
      <c r="A781"/>
      <c r="B781"/>
      <c r="C781"/>
      <c r="E781"/>
      <c r="F781"/>
      <c r="G781"/>
      <c r="H781"/>
    </row>
    <row r="782" spans="1:8">
      <c r="A782"/>
      <c r="B782"/>
      <c r="C782"/>
      <c r="E782"/>
      <c r="F782"/>
      <c r="G782"/>
      <c r="H782"/>
    </row>
    <row r="783" spans="1:8">
      <c r="A783"/>
      <c r="B783"/>
      <c r="C783"/>
      <c r="E783"/>
      <c r="F783"/>
      <c r="G783"/>
      <c r="H783"/>
    </row>
    <row r="784" spans="1:8">
      <c r="A784"/>
      <c r="B784"/>
      <c r="C784"/>
      <c r="E784"/>
      <c r="F784"/>
      <c r="G784"/>
      <c r="H784"/>
    </row>
    <row r="785" spans="1:8">
      <c r="A785"/>
      <c r="B785"/>
      <c r="C785"/>
      <c r="E785"/>
      <c r="F785"/>
      <c r="G785"/>
      <c r="H785"/>
    </row>
    <row r="786" spans="1:8">
      <c r="A786"/>
      <c r="B786"/>
      <c r="C786"/>
      <c r="E786"/>
      <c r="F786"/>
      <c r="G786"/>
      <c r="H786"/>
    </row>
    <row r="787" spans="1:8">
      <c r="A787"/>
      <c r="B787"/>
      <c r="C787"/>
      <c r="E787"/>
      <c r="F787"/>
      <c r="G787"/>
      <c r="H787"/>
    </row>
    <row r="788" spans="1:8">
      <c r="A788"/>
      <c r="B788"/>
      <c r="C788"/>
      <c r="E788"/>
      <c r="F788"/>
      <c r="G788"/>
      <c r="H788"/>
    </row>
    <row r="789" spans="1:8">
      <c r="A789"/>
      <c r="B789"/>
      <c r="C789"/>
      <c r="E789"/>
      <c r="F789"/>
      <c r="G789"/>
      <c r="H789"/>
    </row>
    <row r="790" spans="1:8">
      <c r="A790"/>
      <c r="B790"/>
      <c r="C790"/>
      <c r="E790"/>
      <c r="F790"/>
      <c r="G790"/>
      <c r="H790"/>
    </row>
    <row r="791" spans="1:8">
      <c r="A791"/>
      <c r="B791"/>
      <c r="C791"/>
      <c r="E791"/>
      <c r="F791"/>
      <c r="G791"/>
      <c r="H791"/>
    </row>
    <row r="792" spans="1:8">
      <c r="A792"/>
      <c r="B792"/>
      <c r="C792"/>
      <c r="E792"/>
      <c r="F792"/>
      <c r="G792"/>
      <c r="H792"/>
    </row>
    <row r="793" spans="1:8">
      <c r="A793"/>
      <c r="B793"/>
      <c r="C793"/>
      <c r="E793"/>
      <c r="F793"/>
      <c r="G793"/>
      <c r="H793"/>
    </row>
    <row r="794" spans="1:8">
      <c r="A794"/>
      <c r="B794"/>
      <c r="C794"/>
      <c r="E794"/>
      <c r="F794"/>
      <c r="G794"/>
      <c r="H794"/>
    </row>
    <row r="795" spans="1:8">
      <c r="A795"/>
      <c r="B795"/>
      <c r="C795"/>
      <c r="E795"/>
      <c r="F795"/>
      <c r="G795"/>
      <c r="H795"/>
    </row>
    <row r="796" spans="1:8">
      <c r="A796"/>
      <c r="B796"/>
      <c r="C796"/>
      <c r="E796"/>
      <c r="F796"/>
      <c r="G796"/>
      <c r="H796"/>
    </row>
    <row r="797" spans="1:8">
      <c r="A797"/>
      <c r="B797"/>
      <c r="C797"/>
      <c r="E797"/>
      <c r="F797"/>
      <c r="G797"/>
      <c r="H797"/>
    </row>
    <row r="798" spans="1:8">
      <c r="A798"/>
      <c r="B798"/>
      <c r="C798"/>
      <c r="E798"/>
      <c r="F798"/>
      <c r="G798"/>
      <c r="H798"/>
    </row>
    <row r="799" spans="1:8">
      <c r="A799"/>
      <c r="B799"/>
      <c r="C799"/>
      <c r="E799"/>
      <c r="F799"/>
      <c r="G799"/>
      <c r="H799"/>
    </row>
    <row r="800" spans="1:8">
      <c r="A800"/>
      <c r="B800"/>
      <c r="C800"/>
      <c r="E800"/>
      <c r="F800"/>
      <c r="G800"/>
      <c r="H800"/>
    </row>
    <row r="801" spans="1:8">
      <c r="A801"/>
      <c r="B801"/>
      <c r="C801"/>
      <c r="E801"/>
      <c r="F801"/>
      <c r="G801"/>
      <c r="H801"/>
    </row>
    <row r="802" spans="1:8">
      <c r="A802"/>
      <c r="B802"/>
      <c r="C802"/>
      <c r="E802"/>
      <c r="F802"/>
      <c r="G802"/>
      <c r="H802"/>
    </row>
    <row r="803" spans="1:8">
      <c r="A803"/>
      <c r="B803"/>
      <c r="C803"/>
      <c r="E803"/>
      <c r="F803"/>
      <c r="G803"/>
      <c r="H803"/>
    </row>
    <row r="804" spans="1:8">
      <c r="A804"/>
      <c r="B804"/>
      <c r="C804"/>
      <c r="E804"/>
      <c r="F804"/>
      <c r="G804"/>
      <c r="H804"/>
    </row>
    <row r="805" spans="1:8">
      <c r="A805"/>
      <c r="B805"/>
      <c r="C805"/>
      <c r="E805"/>
      <c r="F805"/>
      <c r="G805"/>
      <c r="H805"/>
    </row>
    <row r="806" spans="1:8">
      <c r="A806"/>
      <c r="B806"/>
      <c r="C806"/>
      <c r="E806"/>
      <c r="F806"/>
      <c r="G806"/>
      <c r="H806"/>
    </row>
    <row r="807" spans="1:8">
      <c r="A807"/>
      <c r="B807"/>
      <c r="C807"/>
      <c r="E807"/>
      <c r="F807"/>
      <c r="G807"/>
      <c r="H807"/>
    </row>
    <row r="808" spans="1:8">
      <c r="A808"/>
      <c r="B808"/>
      <c r="C808"/>
      <c r="E808"/>
      <c r="F808"/>
      <c r="G808"/>
      <c r="H808"/>
    </row>
    <row r="809" spans="1:8">
      <c r="A809"/>
      <c r="B809"/>
      <c r="C809"/>
      <c r="E809"/>
      <c r="F809"/>
      <c r="G809"/>
      <c r="H809"/>
    </row>
    <row r="810" spans="1:8">
      <c r="A810"/>
      <c r="B810"/>
      <c r="C810"/>
      <c r="E810"/>
      <c r="F810"/>
      <c r="G810"/>
      <c r="H810"/>
    </row>
    <row r="811" spans="1:8">
      <c r="A811"/>
      <c r="B811"/>
      <c r="C811"/>
      <c r="E811"/>
      <c r="F811"/>
      <c r="G811"/>
      <c r="H811"/>
    </row>
    <row r="812" spans="1:8">
      <c r="A812"/>
      <c r="B812"/>
      <c r="C812"/>
      <c r="E812"/>
      <c r="F812"/>
      <c r="G812"/>
      <c r="H812"/>
    </row>
    <row r="813" spans="1:8">
      <c r="A813"/>
      <c r="B813"/>
      <c r="C813"/>
      <c r="E813"/>
      <c r="F813"/>
      <c r="G813"/>
      <c r="H813"/>
    </row>
    <row r="814" spans="1:8">
      <c r="A814"/>
      <c r="B814"/>
      <c r="C814"/>
      <c r="E814"/>
      <c r="F814"/>
      <c r="G814"/>
      <c r="H814"/>
    </row>
    <row r="815" spans="1:8">
      <c r="A815"/>
      <c r="B815"/>
      <c r="C815"/>
      <c r="E815"/>
      <c r="F815"/>
      <c r="G815"/>
      <c r="H815"/>
    </row>
    <row r="816" spans="1:8">
      <c r="A816"/>
      <c r="B816"/>
      <c r="C816"/>
      <c r="E816"/>
      <c r="F816"/>
      <c r="G816"/>
      <c r="H816"/>
    </row>
    <row r="817" spans="1:8">
      <c r="A817"/>
      <c r="B817"/>
      <c r="C817"/>
      <c r="E817"/>
      <c r="F817"/>
      <c r="G817"/>
      <c r="H817"/>
    </row>
    <row r="818" spans="1:8">
      <c r="A818"/>
      <c r="B818"/>
      <c r="C818"/>
      <c r="E818"/>
      <c r="F818"/>
      <c r="G818"/>
      <c r="H818"/>
    </row>
    <row r="819" spans="1:8">
      <c r="A819"/>
      <c r="B819"/>
      <c r="C819"/>
      <c r="E819"/>
      <c r="F819"/>
      <c r="G819"/>
      <c r="H819"/>
    </row>
    <row r="820" spans="1:8">
      <c r="A820"/>
      <c r="B820"/>
      <c r="C820"/>
      <c r="E820"/>
      <c r="F820"/>
      <c r="G820"/>
      <c r="H820"/>
    </row>
    <row r="821" spans="1:8">
      <c r="A821"/>
      <c r="B821"/>
      <c r="C821"/>
      <c r="E821"/>
      <c r="F821"/>
      <c r="G821"/>
      <c r="H821"/>
    </row>
    <row r="822" spans="1:8">
      <c r="A822"/>
      <c r="B822"/>
      <c r="C822"/>
      <c r="E822"/>
      <c r="F822"/>
      <c r="G822"/>
      <c r="H822"/>
    </row>
    <row r="823" spans="1:8">
      <c r="A823"/>
      <c r="B823"/>
      <c r="C823"/>
      <c r="E823"/>
      <c r="F823"/>
      <c r="G823"/>
      <c r="H823"/>
    </row>
    <row r="824" spans="1:8">
      <c r="A824"/>
      <c r="B824"/>
      <c r="C824"/>
      <c r="E824"/>
      <c r="F824"/>
      <c r="G824"/>
      <c r="H824"/>
    </row>
    <row r="825" spans="1:8">
      <c r="A825"/>
      <c r="B825"/>
      <c r="C825"/>
      <c r="E825"/>
      <c r="F825"/>
      <c r="G825"/>
      <c r="H825"/>
    </row>
    <row r="826" spans="1:8">
      <c r="A826"/>
      <c r="B826"/>
      <c r="C826"/>
      <c r="E826"/>
      <c r="F826"/>
      <c r="G826"/>
      <c r="H826"/>
    </row>
    <row r="827" spans="1:8">
      <c r="A827"/>
      <c r="B827"/>
      <c r="C827"/>
      <c r="E827"/>
      <c r="F827"/>
      <c r="G827"/>
      <c r="H827"/>
    </row>
    <row r="828" spans="1:8">
      <c r="A828"/>
      <c r="B828"/>
      <c r="C828"/>
      <c r="E828"/>
      <c r="F828"/>
      <c r="G828"/>
      <c r="H828"/>
    </row>
    <row r="829" spans="1:8">
      <c r="A829"/>
      <c r="B829"/>
      <c r="C829"/>
      <c r="E829"/>
      <c r="F829"/>
      <c r="G829"/>
      <c r="H829"/>
    </row>
    <row r="830" spans="1:8">
      <c r="A830"/>
      <c r="B830"/>
      <c r="C830"/>
      <c r="E830"/>
      <c r="F830"/>
      <c r="G830"/>
      <c r="H830"/>
    </row>
    <row r="831" spans="1:8">
      <c r="A831"/>
      <c r="B831"/>
      <c r="C831"/>
      <c r="E831"/>
      <c r="F831"/>
      <c r="G831"/>
      <c r="H831"/>
    </row>
    <row r="832" spans="1:8">
      <c r="A832"/>
      <c r="B832"/>
      <c r="C832"/>
      <c r="E832"/>
      <c r="F832"/>
      <c r="G832"/>
      <c r="H832"/>
    </row>
    <row r="833" spans="1:8">
      <c r="A833"/>
      <c r="B833"/>
      <c r="C833"/>
      <c r="E833"/>
      <c r="F833"/>
      <c r="G833"/>
      <c r="H833"/>
    </row>
    <row r="834" spans="1:8">
      <c r="A834"/>
      <c r="B834"/>
      <c r="C834"/>
      <c r="E834"/>
      <c r="F834"/>
      <c r="G834"/>
      <c r="H834"/>
    </row>
    <row r="835" spans="1:8">
      <c r="A835"/>
      <c r="B835"/>
      <c r="C835"/>
      <c r="E835"/>
      <c r="F835"/>
      <c r="G835"/>
      <c r="H835"/>
    </row>
    <row r="836" spans="1:8">
      <c r="A836"/>
      <c r="B836"/>
      <c r="C836"/>
      <c r="E836"/>
      <c r="F836"/>
      <c r="G836"/>
      <c r="H836"/>
    </row>
    <row r="837" spans="1:8">
      <c r="A837"/>
      <c r="B837"/>
      <c r="C837"/>
      <c r="E837"/>
      <c r="F837"/>
      <c r="G837"/>
      <c r="H837"/>
    </row>
    <row r="838" spans="1:8">
      <c r="A838"/>
      <c r="B838"/>
      <c r="C838"/>
      <c r="E838"/>
      <c r="F838"/>
      <c r="G838"/>
      <c r="H838"/>
    </row>
    <row r="839" spans="1:8">
      <c r="A839"/>
      <c r="B839"/>
      <c r="C839"/>
      <c r="E839"/>
      <c r="F839"/>
      <c r="G839"/>
      <c r="H839"/>
    </row>
    <row r="840" spans="1:8">
      <c r="A840"/>
      <c r="B840"/>
      <c r="C840"/>
      <c r="E840"/>
      <c r="F840"/>
      <c r="G840"/>
      <c r="H840"/>
    </row>
    <row r="841" spans="1:8">
      <c r="A841"/>
      <c r="B841"/>
      <c r="C841"/>
      <c r="E841"/>
      <c r="F841"/>
      <c r="G841"/>
      <c r="H841"/>
    </row>
    <row r="842" spans="1:8">
      <c r="A842"/>
      <c r="B842"/>
      <c r="C842"/>
      <c r="E842"/>
      <c r="F842"/>
      <c r="G842"/>
      <c r="H842"/>
    </row>
    <row r="843" spans="1:8">
      <c r="A843"/>
      <c r="B843"/>
      <c r="C843"/>
      <c r="E843"/>
      <c r="F843"/>
      <c r="G843"/>
      <c r="H843"/>
    </row>
    <row r="844" spans="1:8">
      <c r="A844"/>
      <c r="B844"/>
      <c r="C844"/>
      <c r="E844"/>
      <c r="F844"/>
      <c r="G844"/>
      <c r="H844"/>
    </row>
    <row r="845" spans="1:8">
      <c r="A845"/>
      <c r="B845"/>
      <c r="C845"/>
      <c r="E845"/>
      <c r="F845"/>
      <c r="G845"/>
      <c r="H845"/>
    </row>
    <row r="846" spans="1:8">
      <c r="A846"/>
      <c r="B846"/>
      <c r="C846"/>
      <c r="E846"/>
      <c r="F846"/>
      <c r="G846"/>
      <c r="H846"/>
    </row>
    <row r="847" spans="1:8">
      <c r="A847"/>
      <c r="B847"/>
      <c r="C847"/>
      <c r="E847"/>
      <c r="F847"/>
      <c r="G847"/>
      <c r="H847"/>
    </row>
    <row r="848" spans="1:8">
      <c r="A848"/>
      <c r="B848"/>
      <c r="C848"/>
      <c r="E848"/>
      <c r="F848"/>
      <c r="G848"/>
      <c r="H848"/>
    </row>
    <row r="849" spans="1:8">
      <c r="A849"/>
      <c r="B849"/>
      <c r="C849"/>
      <c r="E849"/>
      <c r="F849"/>
      <c r="G849"/>
      <c r="H849"/>
    </row>
    <row r="850" spans="1:8">
      <c r="A850"/>
      <c r="B850"/>
      <c r="C850"/>
      <c r="E850"/>
      <c r="F850"/>
      <c r="G850"/>
      <c r="H850"/>
    </row>
    <row r="851" spans="1:8">
      <c r="A851"/>
      <c r="B851"/>
      <c r="C851"/>
      <c r="E851"/>
      <c r="F851"/>
      <c r="G851"/>
      <c r="H851"/>
    </row>
    <row r="852" spans="1:8">
      <c r="A852"/>
      <c r="B852"/>
      <c r="C852"/>
      <c r="E852"/>
      <c r="F852"/>
      <c r="G852"/>
      <c r="H852"/>
    </row>
    <row r="853" spans="1:8">
      <c r="A853"/>
      <c r="B853"/>
      <c r="C853"/>
      <c r="E853"/>
      <c r="F853"/>
      <c r="G853"/>
      <c r="H853"/>
    </row>
    <row r="854" spans="1:8">
      <c r="A854"/>
      <c r="B854"/>
      <c r="C854"/>
      <c r="E854"/>
      <c r="F854"/>
      <c r="G854"/>
      <c r="H854"/>
    </row>
    <row r="855" spans="1:8">
      <c r="A855"/>
      <c r="B855"/>
      <c r="C855"/>
      <c r="E855"/>
      <c r="F855"/>
      <c r="G855"/>
      <c r="H855"/>
    </row>
    <row r="856" spans="1:8">
      <c r="A856"/>
      <c r="B856"/>
      <c r="C856"/>
      <c r="E856"/>
      <c r="F856"/>
      <c r="G856"/>
      <c r="H856"/>
    </row>
    <row r="857" spans="1:8">
      <c r="A857"/>
      <c r="B857"/>
      <c r="C857"/>
      <c r="E857"/>
      <c r="F857"/>
      <c r="G857"/>
      <c r="H857"/>
    </row>
    <row r="858" spans="1:8">
      <c r="A858"/>
      <c r="B858"/>
      <c r="C858"/>
      <c r="E858"/>
      <c r="F858"/>
      <c r="G858"/>
      <c r="H858"/>
    </row>
    <row r="859" spans="1:8">
      <c r="A859"/>
      <c r="B859"/>
      <c r="C859"/>
      <c r="E859"/>
      <c r="F859"/>
      <c r="G859"/>
      <c r="H859"/>
    </row>
    <row r="860" spans="1:8">
      <c r="A860"/>
      <c r="B860"/>
      <c r="C860"/>
      <c r="E860"/>
      <c r="F860"/>
      <c r="G860"/>
      <c r="H860"/>
    </row>
    <row r="861" spans="1:8">
      <c r="A861"/>
      <c r="B861"/>
      <c r="C861"/>
      <c r="E861"/>
      <c r="F861"/>
      <c r="G861"/>
      <c r="H861"/>
    </row>
    <row r="862" spans="1:8">
      <c r="A862"/>
      <c r="B862"/>
      <c r="C862"/>
      <c r="E862"/>
      <c r="F862"/>
      <c r="G862"/>
      <c r="H862"/>
    </row>
    <row r="863" spans="1:8">
      <c r="A863"/>
      <c r="B863"/>
      <c r="C863"/>
      <c r="E863"/>
      <c r="F863"/>
      <c r="G863"/>
      <c r="H863"/>
    </row>
    <row r="864" spans="1:8">
      <c r="A864"/>
      <c r="B864"/>
      <c r="C864"/>
      <c r="E864"/>
      <c r="F864"/>
      <c r="G864"/>
      <c r="H864"/>
    </row>
    <row r="865" spans="1:8">
      <c r="A865"/>
      <c r="B865"/>
      <c r="C865"/>
      <c r="E865"/>
      <c r="F865"/>
      <c r="G865"/>
      <c r="H865"/>
    </row>
    <row r="866" spans="1:8">
      <c r="A866"/>
      <c r="B866"/>
      <c r="C866"/>
      <c r="E866"/>
      <c r="F866"/>
      <c r="G866"/>
      <c r="H866"/>
    </row>
    <row r="867" spans="1:8">
      <c r="A867"/>
      <c r="B867"/>
      <c r="C867"/>
      <c r="E867"/>
      <c r="F867"/>
      <c r="G867"/>
      <c r="H867"/>
    </row>
    <row r="868" spans="1:8">
      <c r="A868"/>
      <c r="B868"/>
      <c r="C868"/>
      <c r="E868"/>
      <c r="F868"/>
      <c r="G868"/>
      <c r="H868"/>
    </row>
    <row r="869" spans="1:8">
      <c r="A869"/>
      <c r="B869"/>
      <c r="C869"/>
      <c r="E869"/>
      <c r="F869"/>
      <c r="G869"/>
      <c r="H869"/>
    </row>
    <row r="870" spans="1:8">
      <c r="A870"/>
      <c r="B870"/>
      <c r="C870"/>
      <c r="E870"/>
      <c r="F870"/>
      <c r="G870"/>
      <c r="H870"/>
    </row>
    <row r="871" spans="1:8">
      <c r="A871"/>
      <c r="B871"/>
      <c r="C871"/>
      <c r="E871"/>
      <c r="F871"/>
      <c r="G871"/>
      <c r="H871"/>
    </row>
    <row r="872" spans="1:8">
      <c r="A872"/>
      <c r="B872"/>
      <c r="C872"/>
      <c r="E872"/>
      <c r="F872"/>
      <c r="G872"/>
      <c r="H872"/>
    </row>
    <row r="873" spans="1:8">
      <c r="A873"/>
      <c r="B873"/>
      <c r="C873"/>
      <c r="E873"/>
      <c r="F873"/>
      <c r="G873"/>
      <c r="H873"/>
    </row>
    <row r="874" spans="1:8">
      <c r="A874"/>
      <c r="B874"/>
      <c r="C874"/>
      <c r="E874"/>
      <c r="F874"/>
      <c r="G874"/>
      <c r="H874"/>
    </row>
    <row r="875" spans="1:8">
      <c r="A875"/>
      <c r="B875"/>
      <c r="C875"/>
      <c r="E875"/>
      <c r="F875"/>
      <c r="G875"/>
      <c r="H875"/>
    </row>
    <row r="876" spans="1:8">
      <c r="A876"/>
      <c r="B876"/>
      <c r="C876"/>
      <c r="E876"/>
      <c r="F876"/>
      <c r="G876"/>
      <c r="H876"/>
    </row>
    <row r="877" spans="1:8">
      <c r="A877"/>
      <c r="B877"/>
      <c r="C877"/>
      <c r="E877"/>
      <c r="F877"/>
      <c r="G877"/>
      <c r="H877"/>
    </row>
    <row r="878" spans="1:8">
      <c r="A878"/>
      <c r="B878"/>
      <c r="C878"/>
      <c r="E878"/>
      <c r="F878"/>
      <c r="G878"/>
      <c r="H878"/>
    </row>
    <row r="879" spans="1:8">
      <c r="A879"/>
      <c r="B879"/>
      <c r="C879"/>
      <c r="E879"/>
      <c r="F879"/>
      <c r="G879"/>
      <c r="H879"/>
    </row>
    <row r="880" spans="1:8">
      <c r="A880"/>
      <c r="B880"/>
      <c r="C880"/>
      <c r="E880"/>
      <c r="F880"/>
      <c r="G880"/>
      <c r="H880"/>
    </row>
    <row r="881" spans="1:8">
      <c r="A881"/>
      <c r="B881"/>
      <c r="C881"/>
      <c r="E881"/>
      <c r="F881"/>
      <c r="G881"/>
      <c r="H881"/>
    </row>
    <row r="882" spans="1:8">
      <c r="A882"/>
      <c r="B882"/>
      <c r="C882"/>
      <c r="E882"/>
      <c r="F882"/>
      <c r="G882"/>
      <c r="H882"/>
    </row>
    <row r="883" spans="1:8">
      <c r="A883"/>
      <c r="B883"/>
      <c r="C883"/>
      <c r="E883"/>
      <c r="F883"/>
      <c r="G883"/>
      <c r="H883"/>
    </row>
    <row r="884" spans="1:8">
      <c r="A884"/>
      <c r="B884"/>
      <c r="C884"/>
      <c r="E884"/>
      <c r="F884"/>
      <c r="G884"/>
      <c r="H884"/>
    </row>
    <row r="885" spans="1:8">
      <c r="A885"/>
      <c r="B885"/>
      <c r="C885"/>
      <c r="E885"/>
      <c r="F885"/>
      <c r="G885"/>
      <c r="H885"/>
    </row>
    <row r="886" spans="1:8">
      <c r="A886"/>
      <c r="B886"/>
      <c r="C886"/>
      <c r="E886"/>
      <c r="F886"/>
      <c r="G886"/>
      <c r="H886"/>
    </row>
    <row r="887" spans="1:8">
      <c r="A887"/>
      <c r="B887"/>
      <c r="C887"/>
      <c r="E887"/>
      <c r="F887"/>
      <c r="G887"/>
      <c r="H887"/>
    </row>
    <row r="888" spans="1:8">
      <c r="A888"/>
      <c r="B888"/>
      <c r="C888"/>
      <c r="E888"/>
      <c r="F888"/>
      <c r="G888"/>
      <c r="H888"/>
    </row>
    <row r="889" spans="1:8">
      <c r="A889"/>
      <c r="B889"/>
      <c r="C889"/>
      <c r="E889"/>
      <c r="F889"/>
      <c r="G889"/>
      <c r="H889"/>
    </row>
    <row r="890" spans="1:8">
      <c r="A890"/>
      <c r="B890"/>
      <c r="C890"/>
      <c r="E890"/>
      <c r="F890"/>
      <c r="G890"/>
      <c r="H890"/>
    </row>
    <row r="891" spans="1:8">
      <c r="A891"/>
      <c r="B891"/>
      <c r="C891"/>
      <c r="E891"/>
      <c r="F891"/>
      <c r="G891"/>
      <c r="H891"/>
    </row>
    <row r="892" spans="1:8">
      <c r="A892"/>
      <c r="B892"/>
      <c r="C892"/>
      <c r="E892"/>
      <c r="F892"/>
      <c r="G892"/>
      <c r="H892"/>
    </row>
    <row r="893" spans="1:8">
      <c r="A893"/>
      <c r="B893"/>
      <c r="C893"/>
      <c r="E893"/>
      <c r="F893"/>
      <c r="G893"/>
      <c r="H893"/>
    </row>
    <row r="894" spans="1:8">
      <c r="A894"/>
      <c r="B894"/>
      <c r="C894"/>
      <c r="E894"/>
      <c r="F894"/>
      <c r="G894"/>
      <c r="H894"/>
    </row>
    <row r="895" spans="1:8">
      <c r="A895"/>
      <c r="B895"/>
      <c r="C895"/>
      <c r="E895"/>
      <c r="F895"/>
      <c r="G895"/>
      <c r="H895"/>
    </row>
    <row r="896" spans="1:8">
      <c r="A896"/>
      <c r="B896"/>
      <c r="C896"/>
      <c r="E896"/>
      <c r="F896"/>
      <c r="G896"/>
      <c r="H896"/>
    </row>
    <row r="897" spans="1:8">
      <c r="A897"/>
      <c r="B897"/>
      <c r="C897"/>
      <c r="E897"/>
      <c r="F897"/>
      <c r="G897"/>
      <c r="H897"/>
    </row>
    <row r="898" spans="1:8">
      <c r="A898"/>
      <c r="B898"/>
      <c r="C898"/>
      <c r="E898"/>
      <c r="F898"/>
      <c r="G898"/>
      <c r="H898"/>
    </row>
    <row r="899" spans="1:8">
      <c r="A899"/>
      <c r="B899"/>
      <c r="C899"/>
      <c r="E899"/>
      <c r="F899"/>
      <c r="G899"/>
      <c r="H899"/>
    </row>
    <row r="900" spans="1:8">
      <c r="A900"/>
      <c r="B900"/>
      <c r="C900"/>
      <c r="E900"/>
      <c r="F900"/>
      <c r="G900"/>
      <c r="H900"/>
    </row>
    <row r="901" spans="1:8">
      <c r="A901"/>
      <c r="B901"/>
      <c r="C901"/>
      <c r="E901"/>
      <c r="F901"/>
      <c r="G901"/>
      <c r="H901"/>
    </row>
    <row r="902" spans="1:8">
      <c r="A902"/>
      <c r="B902"/>
      <c r="C902"/>
      <c r="E902"/>
      <c r="F902"/>
      <c r="G902"/>
      <c r="H902"/>
    </row>
    <row r="903" spans="1:8">
      <c r="A903"/>
      <c r="B903"/>
      <c r="C903"/>
      <c r="E903"/>
      <c r="F903"/>
      <c r="G903"/>
      <c r="H903"/>
    </row>
    <row r="904" spans="1:8">
      <c r="A904"/>
      <c r="B904"/>
      <c r="C904"/>
      <c r="E904"/>
      <c r="F904"/>
      <c r="G904"/>
      <c r="H904"/>
    </row>
    <row r="905" spans="1:8">
      <c r="A905"/>
      <c r="B905"/>
      <c r="C905"/>
      <c r="E905"/>
      <c r="F905"/>
      <c r="G905"/>
      <c r="H905"/>
    </row>
    <row r="906" spans="1:8">
      <c r="A906"/>
      <c r="B906"/>
      <c r="C906"/>
      <c r="E906"/>
      <c r="F906"/>
      <c r="G906"/>
      <c r="H906"/>
    </row>
    <row r="907" spans="1:8">
      <c r="A907"/>
      <c r="B907"/>
      <c r="C907"/>
      <c r="E907"/>
      <c r="F907"/>
      <c r="G907"/>
      <c r="H907"/>
    </row>
    <row r="908" spans="1:8">
      <c r="A908"/>
      <c r="B908"/>
      <c r="C908"/>
      <c r="E908"/>
      <c r="F908"/>
      <c r="G908"/>
      <c r="H908"/>
    </row>
    <row r="909" spans="1:8">
      <c r="A909"/>
      <c r="B909"/>
      <c r="C909"/>
      <c r="E909"/>
      <c r="F909"/>
      <c r="G909"/>
      <c r="H909"/>
    </row>
    <row r="910" spans="1:8">
      <c r="A910"/>
      <c r="B910"/>
      <c r="C910"/>
      <c r="E910"/>
      <c r="F910"/>
      <c r="G910"/>
      <c r="H910"/>
    </row>
    <row r="911" spans="1:8">
      <c r="A911"/>
      <c r="B911"/>
      <c r="C911"/>
      <c r="E911"/>
      <c r="F911"/>
      <c r="G911"/>
      <c r="H911"/>
    </row>
    <row r="912" spans="1:8">
      <c r="A912"/>
      <c r="B912"/>
      <c r="C912"/>
      <c r="E912"/>
      <c r="F912"/>
      <c r="G912"/>
      <c r="H912"/>
    </row>
    <row r="913" spans="1:8">
      <c r="A913"/>
      <c r="B913"/>
      <c r="C913"/>
      <c r="E913"/>
      <c r="F913"/>
      <c r="G913"/>
      <c r="H913"/>
    </row>
    <row r="914" spans="1:8">
      <c r="A914"/>
      <c r="B914"/>
      <c r="C914"/>
      <c r="E914"/>
      <c r="F914"/>
      <c r="G914"/>
      <c r="H914"/>
    </row>
    <row r="915" spans="1:8">
      <c r="A915"/>
      <c r="B915"/>
      <c r="C915"/>
      <c r="E915"/>
      <c r="F915"/>
      <c r="G915"/>
      <c r="H915"/>
    </row>
    <row r="916" spans="1:8">
      <c r="A916"/>
      <c r="B916"/>
      <c r="C916"/>
      <c r="E916"/>
      <c r="F916"/>
      <c r="G916"/>
      <c r="H916"/>
    </row>
    <row r="917" spans="1:8">
      <c r="A917"/>
      <c r="B917"/>
      <c r="C917"/>
      <c r="E917"/>
      <c r="F917"/>
      <c r="G917"/>
      <c r="H917"/>
    </row>
    <row r="918" spans="1:8">
      <c r="A918"/>
      <c r="B918"/>
      <c r="C918"/>
      <c r="E918"/>
      <c r="F918"/>
      <c r="G918"/>
      <c r="H918"/>
    </row>
    <row r="919" spans="1:8">
      <c r="A919"/>
      <c r="B919"/>
      <c r="C919"/>
      <c r="E919"/>
      <c r="F919"/>
      <c r="G919"/>
      <c r="H919"/>
    </row>
    <row r="920" spans="1:8">
      <c r="A920"/>
      <c r="B920"/>
      <c r="C920"/>
      <c r="E920"/>
      <c r="F920"/>
      <c r="G920"/>
      <c r="H920"/>
    </row>
    <row r="921" spans="1:8">
      <c r="A921"/>
      <c r="B921"/>
      <c r="C921"/>
      <c r="E921"/>
      <c r="F921"/>
      <c r="G921"/>
      <c r="H921"/>
    </row>
    <row r="922" spans="1:8">
      <c r="A922"/>
      <c r="B922"/>
      <c r="C922"/>
      <c r="E922"/>
      <c r="F922"/>
      <c r="G922"/>
      <c r="H922"/>
    </row>
    <row r="923" spans="1:8">
      <c r="A923"/>
      <c r="B923"/>
      <c r="C923"/>
      <c r="E923"/>
      <c r="F923"/>
      <c r="G923"/>
      <c r="H923"/>
    </row>
    <row r="924" spans="1:8">
      <c r="A924"/>
      <c r="B924"/>
      <c r="C924"/>
      <c r="E924"/>
      <c r="F924"/>
      <c r="G924"/>
      <c r="H924"/>
    </row>
    <row r="925" spans="1:8">
      <c r="A925"/>
      <c r="B925"/>
      <c r="C925"/>
      <c r="E925"/>
      <c r="F925"/>
      <c r="G925"/>
      <c r="H925"/>
    </row>
    <row r="926" spans="1:8">
      <c r="A926"/>
      <c r="B926"/>
      <c r="C926"/>
      <c r="E926"/>
      <c r="F926"/>
      <c r="G926"/>
      <c r="H926"/>
    </row>
    <row r="927" spans="1:8">
      <c r="A927"/>
      <c r="B927"/>
      <c r="C927"/>
      <c r="E927"/>
      <c r="F927"/>
      <c r="G927"/>
      <c r="H927"/>
    </row>
    <row r="928" spans="1:8">
      <c r="A928"/>
      <c r="B928"/>
      <c r="C928"/>
      <c r="E928"/>
      <c r="F928"/>
      <c r="G928"/>
      <c r="H928"/>
    </row>
    <row r="929" spans="1:8">
      <c r="A929"/>
      <c r="B929"/>
      <c r="C929"/>
      <c r="E929"/>
      <c r="F929"/>
      <c r="G929"/>
      <c r="H929"/>
    </row>
    <row r="930" spans="1:8">
      <c r="A930"/>
      <c r="B930"/>
      <c r="C930"/>
      <c r="E930"/>
      <c r="F930"/>
      <c r="G930"/>
      <c r="H930"/>
    </row>
    <row r="931" spans="1:8">
      <c r="A931"/>
      <c r="B931"/>
      <c r="C931"/>
      <c r="E931"/>
      <c r="F931"/>
      <c r="G931"/>
      <c r="H931"/>
    </row>
    <row r="932" spans="1:8">
      <c r="A932"/>
      <c r="B932"/>
      <c r="C932"/>
      <c r="E932"/>
      <c r="F932"/>
      <c r="G932"/>
      <c r="H932"/>
    </row>
    <row r="933" spans="1:8">
      <c r="A933"/>
      <c r="B933"/>
      <c r="C933"/>
      <c r="E933"/>
      <c r="F933"/>
      <c r="G933"/>
      <c r="H933"/>
    </row>
    <row r="934" spans="1:8">
      <c r="A934"/>
      <c r="B934"/>
      <c r="C934"/>
      <c r="E934"/>
      <c r="F934"/>
      <c r="G934"/>
      <c r="H934"/>
    </row>
    <row r="935" spans="1:8">
      <c r="A935"/>
      <c r="B935"/>
      <c r="C935"/>
      <c r="E935"/>
      <c r="F935"/>
      <c r="G935"/>
      <c r="H935"/>
    </row>
    <row r="936" spans="1:8">
      <c r="A936"/>
      <c r="B936"/>
      <c r="C936"/>
      <c r="E936"/>
      <c r="F936"/>
      <c r="G936"/>
      <c r="H936"/>
    </row>
    <row r="937" spans="1:8">
      <c r="A937"/>
      <c r="B937"/>
      <c r="C937"/>
      <c r="E937"/>
      <c r="F937"/>
      <c r="G937"/>
      <c r="H937"/>
    </row>
    <row r="938" spans="1:8">
      <c r="A938"/>
      <c r="B938"/>
      <c r="C938"/>
      <c r="E938"/>
      <c r="F938"/>
      <c r="G938"/>
      <c r="H938"/>
    </row>
    <row r="939" spans="1:8">
      <c r="A939"/>
      <c r="B939"/>
      <c r="C939"/>
      <c r="E939"/>
      <c r="F939"/>
      <c r="G939"/>
      <c r="H939"/>
    </row>
    <row r="940" spans="1:8">
      <c r="A940"/>
      <c r="B940"/>
      <c r="C940"/>
      <c r="E940"/>
      <c r="F940"/>
      <c r="G940"/>
      <c r="H940"/>
    </row>
    <row r="941" spans="1:8">
      <c r="A941"/>
      <c r="B941"/>
      <c r="C941"/>
      <c r="E941"/>
      <c r="F941"/>
      <c r="G941"/>
      <c r="H941"/>
    </row>
    <row r="942" spans="1:8">
      <c r="A942"/>
      <c r="B942"/>
      <c r="C942"/>
      <c r="E942"/>
      <c r="F942"/>
      <c r="G942"/>
      <c r="H942"/>
    </row>
    <row r="943" spans="1:8">
      <c r="A943"/>
      <c r="B943"/>
      <c r="C943"/>
      <c r="E943"/>
      <c r="F943"/>
      <c r="G943"/>
      <c r="H943"/>
    </row>
    <row r="944" spans="1:8">
      <c r="A944"/>
      <c r="B944"/>
      <c r="C944"/>
      <c r="E944"/>
      <c r="F944"/>
      <c r="G944"/>
      <c r="H944"/>
    </row>
    <row r="945" spans="1:8">
      <c r="A945"/>
      <c r="B945"/>
      <c r="C945"/>
      <c r="E945"/>
      <c r="F945"/>
      <c r="G945"/>
      <c r="H945"/>
    </row>
    <row r="946" spans="1:8">
      <c r="A946"/>
      <c r="B946"/>
      <c r="C946"/>
      <c r="E946"/>
      <c r="F946"/>
      <c r="G946"/>
      <c r="H946"/>
    </row>
    <row r="947" spans="1:8">
      <c r="A947"/>
      <c r="B947"/>
      <c r="C947"/>
      <c r="E947"/>
      <c r="F947"/>
      <c r="G947"/>
      <c r="H947"/>
    </row>
    <row r="948" spans="1:8">
      <c r="A948"/>
      <c r="B948"/>
      <c r="C948"/>
      <c r="E948"/>
      <c r="F948"/>
      <c r="G948"/>
      <c r="H948"/>
    </row>
    <row r="949" spans="1:8">
      <c r="A949"/>
      <c r="B949"/>
      <c r="C949"/>
      <c r="E949"/>
      <c r="F949"/>
      <c r="G949"/>
      <c r="H949"/>
    </row>
    <row r="950" spans="1:8">
      <c r="A950"/>
      <c r="B950"/>
      <c r="C950"/>
      <c r="E950"/>
      <c r="F950"/>
      <c r="G950"/>
      <c r="H950"/>
    </row>
    <row r="951" spans="1:8">
      <c r="A951"/>
      <c r="B951"/>
      <c r="C951"/>
      <c r="E951"/>
      <c r="F951"/>
      <c r="G951"/>
      <c r="H951"/>
    </row>
    <row r="952" spans="1:8">
      <c r="A952"/>
      <c r="B952"/>
      <c r="C952"/>
      <c r="E952"/>
      <c r="F952"/>
      <c r="G952"/>
      <c r="H952"/>
    </row>
    <row r="953" spans="1:8">
      <c r="A953"/>
      <c r="B953"/>
      <c r="C953"/>
      <c r="E953"/>
      <c r="F953"/>
      <c r="G953"/>
      <c r="H953"/>
    </row>
    <row r="954" spans="1:8">
      <c r="A954"/>
      <c r="B954"/>
      <c r="C954"/>
      <c r="E954"/>
      <c r="F954"/>
      <c r="G954"/>
      <c r="H954"/>
    </row>
    <row r="955" spans="1:8">
      <c r="A955"/>
      <c r="B955"/>
      <c r="C955"/>
      <c r="E955"/>
      <c r="F955"/>
      <c r="G955"/>
      <c r="H955"/>
    </row>
    <row r="956" spans="1:8">
      <c r="A956"/>
      <c r="B956"/>
      <c r="C956"/>
      <c r="E956"/>
      <c r="F956"/>
      <c r="G956"/>
      <c r="H956"/>
    </row>
    <row r="957" spans="1:8">
      <c r="A957"/>
      <c r="B957"/>
      <c r="C957"/>
      <c r="E957"/>
      <c r="F957"/>
      <c r="G957"/>
      <c r="H957"/>
    </row>
    <row r="958" spans="1:8">
      <c r="A958"/>
      <c r="B958"/>
      <c r="C958"/>
      <c r="E958"/>
      <c r="F958"/>
      <c r="G958"/>
      <c r="H958"/>
    </row>
    <row r="959" spans="1:8">
      <c r="A959"/>
      <c r="B959"/>
      <c r="C959"/>
      <c r="E959"/>
      <c r="F959"/>
      <c r="G959"/>
      <c r="H959"/>
    </row>
    <row r="960" spans="1:8">
      <c r="A960"/>
      <c r="B960"/>
      <c r="C960"/>
      <c r="E960"/>
      <c r="F960"/>
      <c r="G960"/>
      <c r="H960"/>
    </row>
    <row r="961" spans="1:8">
      <c r="A961"/>
      <c r="B961"/>
      <c r="C961"/>
      <c r="E961"/>
      <c r="F961"/>
      <c r="G961"/>
      <c r="H961"/>
    </row>
    <row r="962" spans="1:8">
      <c r="A962"/>
      <c r="B962"/>
      <c r="C962"/>
      <c r="E962"/>
      <c r="F962"/>
      <c r="G962"/>
      <c r="H962"/>
    </row>
    <row r="963" spans="1:8">
      <c r="A963"/>
      <c r="B963"/>
      <c r="C963"/>
      <c r="E963"/>
      <c r="F963"/>
      <c r="G963"/>
      <c r="H963"/>
    </row>
    <row r="964" spans="1:8">
      <c r="A964"/>
      <c r="B964"/>
      <c r="C964"/>
      <c r="E964"/>
      <c r="F964"/>
      <c r="G964"/>
      <c r="H964"/>
    </row>
    <row r="965" spans="1:8">
      <c r="A965"/>
      <c r="B965"/>
      <c r="C965"/>
      <c r="E965"/>
      <c r="F965"/>
      <c r="G965"/>
      <c r="H965"/>
    </row>
    <row r="966" spans="1:8">
      <c r="A966"/>
      <c r="B966"/>
      <c r="C966"/>
      <c r="E966"/>
      <c r="F966"/>
      <c r="G966"/>
      <c r="H966"/>
    </row>
    <row r="967" spans="1:8">
      <c r="A967"/>
      <c r="B967"/>
      <c r="C967"/>
      <c r="E967"/>
      <c r="F967"/>
      <c r="G967"/>
      <c r="H967"/>
    </row>
    <row r="968" spans="1:8">
      <c r="A968"/>
      <c r="B968"/>
      <c r="C968"/>
      <c r="E968"/>
      <c r="F968"/>
      <c r="G968"/>
      <c r="H968"/>
    </row>
    <row r="969" spans="1:8">
      <c r="A969"/>
      <c r="B969"/>
      <c r="C969"/>
      <c r="E969"/>
      <c r="F969"/>
      <c r="G969"/>
      <c r="H969"/>
    </row>
    <row r="970" spans="1:8">
      <c r="A970"/>
      <c r="B970"/>
      <c r="C970"/>
      <c r="E970"/>
      <c r="F970"/>
      <c r="G970"/>
      <c r="H970"/>
    </row>
    <row r="971" spans="1:8">
      <c r="A971"/>
      <c r="B971"/>
      <c r="C971"/>
      <c r="E971"/>
      <c r="F971"/>
      <c r="G971"/>
      <c r="H971"/>
    </row>
    <row r="972" spans="1:8">
      <c r="A972"/>
      <c r="B972"/>
      <c r="C972"/>
      <c r="E972"/>
      <c r="F972"/>
      <c r="G972"/>
      <c r="H972"/>
    </row>
    <row r="973" spans="1:8">
      <c r="A973"/>
      <c r="B973"/>
      <c r="C973"/>
      <c r="E973"/>
      <c r="F973"/>
      <c r="G973"/>
      <c r="H973"/>
    </row>
    <row r="974" spans="1:8">
      <c r="A974"/>
      <c r="B974"/>
      <c r="C974"/>
      <c r="E974"/>
      <c r="F974"/>
      <c r="G974"/>
      <c r="H974"/>
    </row>
    <row r="975" spans="1:8">
      <c r="A975"/>
      <c r="B975"/>
      <c r="C975"/>
      <c r="E975"/>
      <c r="F975"/>
      <c r="G975"/>
      <c r="H975"/>
    </row>
    <row r="976" spans="1:8">
      <c r="A976"/>
      <c r="B976"/>
      <c r="C976"/>
      <c r="E976"/>
      <c r="F976"/>
      <c r="G976"/>
      <c r="H976"/>
    </row>
    <row r="977" spans="1:8">
      <c r="A977"/>
      <c r="B977"/>
      <c r="C977"/>
      <c r="E977"/>
      <c r="F977"/>
      <c r="G977"/>
      <c r="H977"/>
    </row>
    <row r="978" spans="1:8">
      <c r="A978"/>
      <c r="B978"/>
      <c r="C978"/>
      <c r="E978"/>
      <c r="F978"/>
      <c r="G978"/>
      <c r="H978"/>
    </row>
    <row r="979" spans="1:8">
      <c r="A979"/>
      <c r="B979"/>
      <c r="C979"/>
      <c r="E979"/>
      <c r="F979"/>
      <c r="G979"/>
      <c r="H979"/>
    </row>
    <row r="980" spans="1:8">
      <c r="A980"/>
      <c r="B980"/>
      <c r="C980"/>
      <c r="E980"/>
      <c r="F980"/>
      <c r="G980"/>
      <c r="H980"/>
    </row>
    <row r="981" spans="1:8">
      <c r="A981"/>
      <c r="B981"/>
      <c r="C981"/>
      <c r="E981"/>
      <c r="F981"/>
      <c r="G981"/>
      <c r="H981"/>
    </row>
    <row r="982" spans="1:8">
      <c r="A982"/>
      <c r="B982"/>
      <c r="C982"/>
      <c r="E982"/>
      <c r="F982"/>
      <c r="G982"/>
      <c r="H982"/>
    </row>
    <row r="983" spans="1:8">
      <c r="A983"/>
      <c r="B983"/>
      <c r="C983"/>
      <c r="E983"/>
      <c r="F983"/>
      <c r="G983"/>
      <c r="H983"/>
    </row>
    <row r="984" spans="1:8">
      <c r="A984"/>
      <c r="B984"/>
      <c r="C984"/>
      <c r="E984"/>
      <c r="F984"/>
      <c r="G984"/>
      <c r="H984"/>
    </row>
    <row r="985" spans="1:8">
      <c r="A985"/>
      <c r="B985"/>
      <c r="C985"/>
      <c r="E985"/>
      <c r="F985"/>
      <c r="G985"/>
      <c r="H985"/>
    </row>
    <row r="986" spans="1:8">
      <c r="A986"/>
      <c r="B986"/>
      <c r="C986"/>
      <c r="E986"/>
      <c r="F986"/>
      <c r="G986"/>
      <c r="H986"/>
    </row>
    <row r="987" spans="1:8">
      <c r="A987"/>
      <c r="B987"/>
      <c r="C987"/>
      <c r="E987"/>
      <c r="F987"/>
      <c r="G987"/>
      <c r="H987"/>
    </row>
    <row r="988" spans="1:8">
      <c r="A988"/>
      <c r="B988"/>
      <c r="C988"/>
      <c r="E988"/>
      <c r="F988"/>
      <c r="G988"/>
      <c r="H988"/>
    </row>
    <row r="989" spans="1:8">
      <c r="A989"/>
      <c r="B989"/>
      <c r="C989"/>
      <c r="E989"/>
      <c r="F989"/>
      <c r="G989"/>
      <c r="H989"/>
    </row>
    <row r="990" spans="1:8">
      <c r="A990"/>
      <c r="B990"/>
      <c r="C990"/>
      <c r="E990"/>
      <c r="F990"/>
      <c r="G990"/>
      <c r="H990"/>
    </row>
    <row r="991" spans="1:8">
      <c r="A991"/>
      <c r="B991"/>
      <c r="C991"/>
      <c r="E991"/>
      <c r="F991"/>
      <c r="G991"/>
      <c r="H991"/>
    </row>
    <row r="992" spans="1:8">
      <c r="A992"/>
      <c r="B992"/>
      <c r="C992"/>
      <c r="E992"/>
      <c r="F992"/>
      <c r="G992"/>
      <c r="H992"/>
    </row>
    <row r="993" spans="1:8">
      <c r="A993"/>
      <c r="B993"/>
      <c r="C993"/>
      <c r="E993"/>
      <c r="F993"/>
      <c r="G993"/>
      <c r="H993"/>
    </row>
    <row r="994" spans="1:8">
      <c r="A994"/>
      <c r="B994"/>
      <c r="C994"/>
      <c r="E994"/>
      <c r="F994"/>
      <c r="G994"/>
      <c r="H994"/>
    </row>
    <row r="995" spans="1:8">
      <c r="A995"/>
      <c r="B995"/>
      <c r="C995"/>
      <c r="E995"/>
      <c r="F995"/>
      <c r="G995"/>
      <c r="H995"/>
    </row>
    <row r="996" spans="1:8">
      <c r="A996"/>
      <c r="B996"/>
      <c r="C996"/>
      <c r="E996"/>
      <c r="F996"/>
      <c r="G996"/>
      <c r="H996"/>
    </row>
    <row r="997" spans="1:8">
      <c r="A997"/>
      <c r="B997"/>
      <c r="C997"/>
      <c r="E997"/>
      <c r="F997"/>
      <c r="G997"/>
      <c r="H997"/>
    </row>
    <row r="998" spans="1:8">
      <c r="A998"/>
      <c r="B998"/>
      <c r="C998"/>
      <c r="E998"/>
      <c r="F998"/>
      <c r="G998"/>
      <c r="H998"/>
    </row>
    <row r="999" spans="1:8">
      <c r="A999"/>
      <c r="B999"/>
      <c r="C999"/>
      <c r="E999"/>
      <c r="F999"/>
      <c r="G999"/>
      <c r="H999"/>
    </row>
    <row r="1000" spans="1:8">
      <c r="A1000"/>
      <c r="B1000"/>
      <c r="C1000"/>
      <c r="E1000"/>
      <c r="F1000"/>
      <c r="G1000"/>
      <c r="H1000"/>
    </row>
    <row r="1001" spans="1:8">
      <c r="A1001"/>
      <c r="B1001"/>
      <c r="C1001"/>
      <c r="E1001"/>
      <c r="F1001"/>
      <c r="G1001"/>
      <c r="H1001"/>
    </row>
    <row r="1002" spans="1:8">
      <c r="A1002"/>
      <c r="B1002"/>
      <c r="C1002"/>
      <c r="E1002"/>
      <c r="F1002"/>
      <c r="G1002"/>
      <c r="H1002"/>
    </row>
    <row r="1003" spans="1:8">
      <c r="A1003"/>
      <c r="B1003"/>
      <c r="C1003"/>
      <c r="E1003"/>
      <c r="F1003"/>
      <c r="G1003"/>
      <c r="H1003"/>
    </row>
    <row r="1004" spans="1:8">
      <c r="A1004"/>
      <c r="B1004"/>
      <c r="C1004"/>
      <c r="E1004"/>
      <c r="F1004"/>
      <c r="G1004"/>
      <c r="H1004"/>
    </row>
    <row r="1005" spans="1:8">
      <c r="A1005"/>
      <c r="B1005"/>
      <c r="C1005"/>
      <c r="E1005"/>
      <c r="F1005"/>
      <c r="G1005"/>
      <c r="H1005"/>
    </row>
    <row r="1006" spans="1:8">
      <c r="A1006"/>
      <c r="B1006"/>
      <c r="C1006"/>
      <c r="E1006"/>
      <c r="F1006"/>
      <c r="G1006"/>
      <c r="H1006"/>
    </row>
    <row r="1007" spans="1:8">
      <c r="A1007"/>
      <c r="B1007"/>
      <c r="C1007"/>
      <c r="E1007"/>
      <c r="F1007"/>
      <c r="G1007"/>
      <c r="H1007"/>
    </row>
    <row r="1008" spans="1:8">
      <c r="A1008"/>
      <c r="B1008"/>
      <c r="C1008"/>
      <c r="E1008"/>
      <c r="F1008"/>
      <c r="G1008"/>
      <c r="H1008"/>
    </row>
    <row r="1009" spans="1:8">
      <c r="A1009"/>
      <c r="B1009"/>
      <c r="C1009"/>
      <c r="E1009"/>
      <c r="F1009"/>
      <c r="G1009"/>
      <c r="H1009"/>
    </row>
    <row r="1010" spans="1:8">
      <c r="A1010"/>
      <c r="B1010"/>
      <c r="C1010"/>
      <c r="E1010"/>
      <c r="F1010"/>
      <c r="G1010"/>
      <c r="H1010"/>
    </row>
    <row r="1011" spans="1:8">
      <c r="A1011"/>
      <c r="B1011"/>
      <c r="C1011"/>
      <c r="E1011"/>
      <c r="F1011"/>
      <c r="G1011"/>
      <c r="H1011"/>
    </row>
    <row r="1012" spans="1:8">
      <c r="A1012"/>
      <c r="B1012"/>
      <c r="C1012"/>
      <c r="E1012"/>
      <c r="F1012"/>
      <c r="G1012"/>
      <c r="H1012"/>
    </row>
    <row r="1013" spans="1:8">
      <c r="A1013"/>
      <c r="B1013"/>
      <c r="C1013"/>
      <c r="E1013"/>
      <c r="F1013"/>
      <c r="G1013"/>
      <c r="H1013"/>
    </row>
    <row r="1014" spans="1:8">
      <c r="A1014"/>
      <c r="B1014"/>
      <c r="C1014"/>
      <c r="E1014"/>
      <c r="F1014"/>
      <c r="G1014"/>
      <c r="H1014"/>
    </row>
    <row r="1015" spans="1:8">
      <c r="A1015"/>
      <c r="B1015"/>
      <c r="C1015"/>
      <c r="E1015"/>
      <c r="F1015"/>
      <c r="G1015"/>
      <c r="H1015"/>
    </row>
    <row r="1016" spans="1:8">
      <c r="A1016"/>
      <c r="B1016"/>
      <c r="C1016"/>
      <c r="E1016"/>
      <c r="F1016"/>
      <c r="G1016"/>
      <c r="H1016"/>
    </row>
    <row r="1017" spans="1:8">
      <c r="A1017"/>
      <c r="B1017"/>
      <c r="C1017"/>
      <c r="E1017"/>
      <c r="F1017"/>
      <c r="G1017"/>
      <c r="H1017"/>
    </row>
    <row r="1018" spans="1:8">
      <c r="A1018"/>
      <c r="B1018"/>
      <c r="C1018"/>
      <c r="E1018"/>
      <c r="F1018"/>
      <c r="G1018"/>
      <c r="H1018"/>
    </row>
    <row r="1019" spans="1:8">
      <c r="A1019"/>
      <c r="B1019"/>
      <c r="C1019"/>
      <c r="E1019"/>
      <c r="F1019"/>
      <c r="G1019"/>
      <c r="H1019"/>
    </row>
    <row r="1020" spans="1:8">
      <c r="A1020"/>
      <c r="B1020"/>
      <c r="C1020"/>
      <c r="E1020"/>
      <c r="F1020"/>
      <c r="G1020"/>
      <c r="H1020"/>
    </row>
    <row r="1021" spans="1:8">
      <c r="A1021"/>
      <c r="B1021"/>
      <c r="C1021"/>
      <c r="E1021"/>
      <c r="F1021"/>
      <c r="G1021"/>
      <c r="H1021"/>
    </row>
    <row r="1022" spans="1:8">
      <c r="A1022"/>
      <c r="B1022"/>
      <c r="C1022"/>
      <c r="E1022"/>
      <c r="F1022"/>
      <c r="G1022"/>
      <c r="H1022"/>
    </row>
    <row r="1023" spans="1:8">
      <c r="A1023"/>
      <c r="B1023"/>
      <c r="C1023"/>
      <c r="E1023"/>
      <c r="F1023"/>
      <c r="G1023"/>
      <c r="H1023"/>
    </row>
    <row r="1024" spans="1:8">
      <c r="A1024"/>
      <c r="B1024"/>
      <c r="C1024"/>
      <c r="E1024"/>
      <c r="F1024"/>
      <c r="G1024"/>
      <c r="H1024"/>
    </row>
    <row r="1025" spans="1:8">
      <c r="A1025"/>
      <c r="B1025"/>
      <c r="C1025"/>
      <c r="E1025"/>
      <c r="F1025"/>
      <c r="G1025"/>
      <c r="H1025"/>
    </row>
    <row r="1026" spans="1:8">
      <c r="A1026"/>
      <c r="B1026"/>
      <c r="C1026"/>
      <c r="E1026"/>
      <c r="F1026"/>
      <c r="G1026"/>
      <c r="H1026"/>
    </row>
    <row r="1027" spans="1:8">
      <c r="A1027"/>
      <c r="B1027"/>
      <c r="C1027"/>
      <c r="E1027"/>
      <c r="F1027"/>
      <c r="G1027"/>
      <c r="H1027"/>
    </row>
    <row r="1028" spans="1:8">
      <c r="A1028"/>
      <c r="B1028"/>
      <c r="C1028"/>
      <c r="E1028"/>
      <c r="F1028"/>
      <c r="G1028"/>
      <c r="H1028"/>
    </row>
    <row r="1029" spans="1:8">
      <c r="A1029"/>
      <c r="B1029"/>
      <c r="C1029"/>
      <c r="E1029"/>
      <c r="F1029"/>
      <c r="G1029"/>
      <c r="H1029"/>
    </row>
    <row r="1030" spans="1:8">
      <c r="A1030"/>
      <c r="B1030"/>
      <c r="C1030"/>
      <c r="E1030"/>
      <c r="F1030"/>
      <c r="G1030"/>
      <c r="H1030"/>
    </row>
    <row r="1031" spans="1:8">
      <c r="A1031"/>
      <c r="B1031"/>
      <c r="C1031"/>
      <c r="E1031"/>
      <c r="F1031"/>
      <c r="G1031"/>
      <c r="H1031"/>
    </row>
    <row r="1032" spans="1:8">
      <c r="A1032"/>
      <c r="B1032"/>
      <c r="C1032"/>
      <c r="E1032"/>
      <c r="F1032"/>
      <c r="G1032"/>
      <c r="H1032"/>
    </row>
    <row r="1033" spans="1:8">
      <c r="A1033"/>
      <c r="B1033"/>
      <c r="C1033"/>
      <c r="E1033"/>
      <c r="F1033"/>
      <c r="G1033"/>
      <c r="H1033"/>
    </row>
    <row r="1034" spans="1:8">
      <c r="A1034"/>
      <c r="B1034"/>
      <c r="C1034"/>
      <c r="E1034"/>
      <c r="F1034"/>
      <c r="G1034"/>
      <c r="H1034"/>
    </row>
    <row r="1035" spans="1:8">
      <c r="A1035"/>
      <c r="B1035"/>
      <c r="C1035"/>
      <c r="E1035"/>
      <c r="F1035"/>
      <c r="G1035"/>
      <c r="H1035"/>
    </row>
    <row r="1036" spans="1:8">
      <c r="A1036"/>
      <c r="B1036"/>
      <c r="C1036"/>
      <c r="E1036"/>
      <c r="F1036"/>
      <c r="G1036"/>
      <c r="H1036"/>
    </row>
    <row r="1037" spans="1:8">
      <c r="A1037"/>
      <c r="B1037"/>
      <c r="C1037"/>
      <c r="E1037"/>
      <c r="F1037"/>
      <c r="G1037"/>
      <c r="H1037"/>
    </row>
    <row r="1038" spans="1:8">
      <c r="A1038"/>
      <c r="B1038"/>
      <c r="C1038"/>
      <c r="E1038"/>
      <c r="F1038"/>
      <c r="G1038"/>
      <c r="H1038"/>
    </row>
    <row r="1039" spans="1:8">
      <c r="A1039"/>
      <c r="B1039"/>
      <c r="C1039"/>
      <c r="E1039"/>
      <c r="F1039"/>
      <c r="G1039"/>
      <c r="H1039"/>
    </row>
    <row r="1040" spans="1:8">
      <c r="A1040"/>
      <c r="B1040"/>
      <c r="C1040"/>
      <c r="E1040"/>
      <c r="F1040"/>
      <c r="G1040"/>
      <c r="H1040"/>
    </row>
    <row r="1041" spans="1:8">
      <c r="A1041"/>
      <c r="B1041"/>
      <c r="C1041"/>
      <c r="E1041"/>
      <c r="F1041"/>
      <c r="G1041"/>
      <c r="H1041"/>
    </row>
    <row r="1042" spans="1:8">
      <c r="A1042"/>
      <c r="B1042"/>
      <c r="C1042"/>
      <c r="E1042"/>
      <c r="F1042"/>
      <c r="G1042"/>
      <c r="H1042"/>
    </row>
    <row r="1043" spans="1:8">
      <c r="A1043"/>
      <c r="B1043"/>
      <c r="C1043"/>
      <c r="E1043"/>
      <c r="F1043"/>
      <c r="G1043"/>
      <c r="H1043"/>
    </row>
    <row r="1044" spans="1:8">
      <c r="A1044"/>
      <c r="B1044"/>
      <c r="C1044"/>
      <c r="E1044"/>
      <c r="F1044"/>
      <c r="G1044"/>
      <c r="H1044"/>
    </row>
    <row r="1045" spans="1:8">
      <c r="A1045"/>
      <c r="B1045"/>
      <c r="C1045"/>
      <c r="E1045"/>
      <c r="F1045"/>
      <c r="G1045"/>
      <c r="H1045"/>
    </row>
    <row r="1046" spans="1:8">
      <c r="A1046"/>
      <c r="B1046"/>
      <c r="C1046"/>
      <c r="E1046"/>
      <c r="F1046"/>
      <c r="G1046"/>
      <c r="H1046"/>
    </row>
    <row r="1047" spans="1:8">
      <c r="A1047"/>
      <c r="B1047"/>
      <c r="C1047"/>
      <c r="E1047"/>
      <c r="F1047"/>
      <c r="G1047"/>
      <c r="H1047"/>
    </row>
    <row r="1048" spans="1:8">
      <c r="A1048"/>
      <c r="B1048"/>
      <c r="C1048"/>
      <c r="E1048"/>
      <c r="F1048"/>
      <c r="G1048"/>
      <c r="H1048"/>
    </row>
    <row r="1049" spans="1:8">
      <c r="A1049"/>
      <c r="B1049"/>
      <c r="C1049"/>
      <c r="E1049"/>
      <c r="F1049"/>
      <c r="G1049"/>
      <c r="H1049"/>
    </row>
    <row r="1050" spans="1:8">
      <c r="A1050"/>
      <c r="B1050"/>
      <c r="C1050"/>
      <c r="E1050"/>
      <c r="F1050"/>
      <c r="G1050"/>
      <c r="H1050"/>
    </row>
    <row r="1051" spans="1:8">
      <c r="A1051"/>
      <c r="B1051"/>
      <c r="C1051"/>
      <c r="E1051"/>
      <c r="F1051"/>
      <c r="G1051"/>
      <c r="H1051"/>
    </row>
    <row r="1052" spans="1:8">
      <c r="A1052"/>
      <c r="B1052"/>
      <c r="C1052"/>
      <c r="E1052"/>
      <c r="F1052"/>
      <c r="G1052"/>
      <c r="H1052"/>
    </row>
    <row r="1053" spans="1:8">
      <c r="A1053"/>
      <c r="B1053"/>
      <c r="C1053"/>
      <c r="E1053"/>
      <c r="F1053"/>
      <c r="G1053"/>
      <c r="H1053"/>
    </row>
    <row r="1054" spans="1:8">
      <c r="A1054"/>
      <c r="B1054"/>
      <c r="C1054"/>
      <c r="E1054"/>
      <c r="F1054"/>
      <c r="G1054"/>
      <c r="H1054"/>
    </row>
    <row r="1055" spans="1:8">
      <c r="A1055"/>
      <c r="B1055"/>
      <c r="C1055"/>
      <c r="E1055"/>
      <c r="F1055"/>
      <c r="G1055"/>
      <c r="H1055"/>
    </row>
    <row r="1056" spans="1:8">
      <c r="A1056"/>
      <c r="B1056"/>
      <c r="C1056"/>
      <c r="E1056"/>
      <c r="F1056"/>
      <c r="G1056"/>
      <c r="H1056"/>
    </row>
    <row r="1057" spans="1:8">
      <c r="A1057"/>
      <c r="B1057"/>
      <c r="C1057"/>
      <c r="E1057"/>
      <c r="F1057"/>
      <c r="G1057"/>
      <c r="H1057"/>
    </row>
    <row r="1058" spans="1:8">
      <c r="A1058"/>
      <c r="B1058"/>
      <c r="C1058"/>
      <c r="E1058"/>
      <c r="F1058"/>
      <c r="G1058"/>
      <c r="H1058"/>
    </row>
    <row r="1059" spans="1:8">
      <c r="A1059"/>
      <c r="B1059"/>
      <c r="C1059"/>
      <c r="E1059"/>
      <c r="F1059"/>
      <c r="G1059"/>
      <c r="H1059"/>
    </row>
    <row r="1060" spans="1:8">
      <c r="A1060"/>
      <c r="B1060"/>
      <c r="C1060"/>
      <c r="E1060"/>
      <c r="F1060"/>
      <c r="G1060"/>
      <c r="H1060"/>
    </row>
    <row r="1061" spans="1:8">
      <c r="A1061"/>
      <c r="B1061"/>
      <c r="C1061"/>
      <c r="E1061"/>
      <c r="F1061"/>
      <c r="G1061"/>
      <c r="H1061"/>
    </row>
    <row r="1062" spans="1:8">
      <c r="A1062"/>
      <c r="B1062"/>
      <c r="C1062"/>
      <c r="E1062"/>
      <c r="F1062"/>
      <c r="G1062"/>
      <c r="H1062"/>
    </row>
    <row r="1063" spans="1:8">
      <c r="A1063"/>
      <c r="B1063"/>
      <c r="C1063"/>
      <c r="E1063"/>
      <c r="F1063"/>
      <c r="G1063"/>
      <c r="H1063"/>
    </row>
    <row r="1064" spans="1:8">
      <c r="A1064"/>
      <c r="B1064"/>
      <c r="C1064"/>
      <c r="E1064"/>
      <c r="F1064"/>
      <c r="G1064"/>
      <c r="H1064"/>
    </row>
    <row r="1065" spans="1:8">
      <c r="A1065"/>
      <c r="B1065"/>
      <c r="C1065"/>
      <c r="E1065"/>
      <c r="F1065"/>
      <c r="G1065"/>
      <c r="H1065"/>
    </row>
    <row r="1066" spans="1:8">
      <c r="A1066"/>
      <c r="B1066"/>
      <c r="C1066"/>
      <c r="E1066"/>
      <c r="F1066"/>
      <c r="G1066"/>
      <c r="H1066"/>
    </row>
    <row r="1067" spans="1:8">
      <c r="A1067"/>
      <c r="B1067"/>
      <c r="C1067"/>
      <c r="E1067"/>
      <c r="F1067"/>
      <c r="G1067"/>
      <c r="H1067"/>
    </row>
    <row r="1068" spans="1:8">
      <c r="A1068"/>
      <c r="B1068"/>
      <c r="C1068"/>
      <c r="E1068"/>
      <c r="F1068"/>
      <c r="G1068"/>
      <c r="H1068"/>
    </row>
    <row r="1069" spans="1:8">
      <c r="A1069"/>
      <c r="B1069"/>
      <c r="C1069"/>
      <c r="E1069"/>
      <c r="F1069"/>
      <c r="G1069"/>
      <c r="H1069"/>
    </row>
    <row r="1070" spans="1:8">
      <c r="A1070"/>
      <c r="B1070"/>
      <c r="C1070"/>
      <c r="E1070"/>
      <c r="F1070"/>
      <c r="G1070"/>
      <c r="H1070"/>
    </row>
    <row r="1071" spans="1:8">
      <c r="A1071"/>
      <c r="B1071"/>
      <c r="C1071"/>
      <c r="E1071"/>
      <c r="F1071"/>
      <c r="G1071"/>
      <c r="H1071"/>
    </row>
    <row r="1072" spans="1:8">
      <c r="A1072"/>
      <c r="B1072"/>
      <c r="C1072"/>
      <c r="E1072"/>
      <c r="F1072"/>
      <c r="G1072"/>
      <c r="H1072"/>
    </row>
    <row r="1073" spans="1:8">
      <c r="A1073"/>
      <c r="B1073"/>
      <c r="C1073"/>
      <c r="E1073"/>
      <c r="F1073"/>
      <c r="G1073"/>
      <c r="H1073"/>
    </row>
    <row r="1074" spans="1:8">
      <c r="A1074"/>
      <c r="B1074"/>
      <c r="C1074"/>
      <c r="E1074"/>
      <c r="F1074"/>
      <c r="G1074"/>
      <c r="H1074"/>
    </row>
    <row r="1075" spans="1:8">
      <c r="A1075"/>
      <c r="B1075"/>
      <c r="C1075"/>
      <c r="E1075"/>
      <c r="F1075"/>
      <c r="G1075"/>
      <c r="H1075"/>
    </row>
    <row r="1076" spans="1:8">
      <c r="A1076"/>
      <c r="B1076"/>
      <c r="C1076"/>
      <c r="E1076"/>
      <c r="F1076"/>
      <c r="G1076"/>
      <c r="H1076"/>
    </row>
    <row r="1077" spans="1:8">
      <c r="A1077"/>
      <c r="B1077"/>
      <c r="C1077"/>
      <c r="E1077"/>
      <c r="F1077"/>
      <c r="G1077"/>
      <c r="H1077"/>
    </row>
    <row r="1078" spans="1:8">
      <c r="A1078"/>
      <c r="B1078"/>
      <c r="C1078"/>
      <c r="E1078"/>
      <c r="F1078"/>
      <c r="G1078"/>
      <c r="H1078"/>
    </row>
    <row r="1079" spans="1:8">
      <c r="A1079"/>
      <c r="B1079"/>
      <c r="C1079"/>
      <c r="E1079"/>
      <c r="F1079"/>
      <c r="G1079"/>
      <c r="H1079"/>
    </row>
    <row r="1080" spans="1:8">
      <c r="A1080"/>
      <c r="B1080"/>
      <c r="C1080"/>
      <c r="E1080"/>
      <c r="F1080"/>
      <c r="G1080"/>
      <c r="H1080"/>
    </row>
    <row r="1081" spans="1:8">
      <c r="A1081"/>
      <c r="B1081"/>
      <c r="C1081"/>
      <c r="E1081"/>
      <c r="F1081"/>
      <c r="G1081"/>
      <c r="H1081"/>
    </row>
    <row r="1082" spans="1:8">
      <c r="A1082"/>
      <c r="B1082"/>
      <c r="C1082"/>
      <c r="E1082"/>
      <c r="F1082"/>
      <c r="G1082"/>
      <c r="H1082"/>
    </row>
    <row r="1083" spans="1:8">
      <c r="A1083"/>
      <c r="B1083"/>
      <c r="C1083"/>
      <c r="E1083"/>
      <c r="F1083"/>
      <c r="G1083"/>
      <c r="H1083"/>
    </row>
    <row r="1084" spans="1:8">
      <c r="A1084"/>
      <c r="B1084"/>
      <c r="C1084"/>
      <c r="E1084"/>
      <c r="F1084"/>
      <c r="G1084"/>
      <c r="H1084"/>
    </row>
    <row r="1085" spans="1:8">
      <c r="A1085"/>
      <c r="B1085"/>
      <c r="C1085"/>
      <c r="E1085"/>
      <c r="F1085"/>
      <c r="G1085"/>
      <c r="H1085"/>
    </row>
    <row r="1086" spans="1:8">
      <c r="A1086"/>
      <c r="B1086"/>
      <c r="C1086"/>
      <c r="E1086"/>
      <c r="F1086"/>
      <c r="G1086"/>
      <c r="H1086"/>
    </row>
    <row r="1087" spans="1:8">
      <c r="A1087"/>
      <c r="B1087"/>
      <c r="C1087"/>
      <c r="E1087"/>
      <c r="F1087"/>
      <c r="G1087"/>
      <c r="H1087"/>
    </row>
    <row r="1088" spans="1:8">
      <c r="A1088"/>
      <c r="B1088"/>
      <c r="C1088"/>
      <c r="E1088"/>
      <c r="F1088"/>
      <c r="G1088"/>
      <c r="H1088"/>
    </row>
    <row r="1089" spans="1:8">
      <c r="A1089"/>
      <c r="B1089"/>
      <c r="C1089"/>
      <c r="E1089"/>
      <c r="F1089"/>
      <c r="G1089"/>
      <c r="H1089"/>
    </row>
    <row r="1090" spans="1:8">
      <c r="A1090"/>
      <c r="B1090"/>
      <c r="C1090"/>
      <c r="E1090"/>
      <c r="F1090"/>
      <c r="G1090"/>
      <c r="H1090"/>
    </row>
    <row r="1091" spans="1:8">
      <c r="A1091"/>
      <c r="B1091"/>
      <c r="C1091"/>
      <c r="E1091"/>
      <c r="F1091"/>
      <c r="G1091"/>
      <c r="H1091"/>
    </row>
    <row r="1092" spans="1:8">
      <c r="A1092"/>
      <c r="B1092"/>
      <c r="C1092"/>
      <c r="E1092"/>
      <c r="F1092"/>
      <c r="G1092"/>
      <c r="H1092"/>
    </row>
    <row r="1093" spans="1:8">
      <c r="A1093"/>
      <c r="B1093"/>
      <c r="C1093"/>
      <c r="E1093"/>
      <c r="F1093"/>
      <c r="G1093"/>
      <c r="H1093"/>
    </row>
    <row r="1094" spans="1:8">
      <c r="A1094"/>
      <c r="B1094"/>
      <c r="C1094"/>
      <c r="E1094"/>
      <c r="F1094"/>
      <c r="G1094"/>
      <c r="H1094"/>
    </row>
    <row r="1095" spans="1:8">
      <c r="A1095"/>
      <c r="B1095"/>
      <c r="C1095"/>
      <c r="E1095"/>
      <c r="F1095"/>
      <c r="G1095"/>
      <c r="H1095"/>
    </row>
    <row r="1096" spans="1:8">
      <c r="A1096"/>
      <c r="B1096"/>
      <c r="C1096"/>
      <c r="E1096"/>
      <c r="F1096"/>
      <c r="G1096"/>
      <c r="H1096"/>
    </row>
    <row r="1097" spans="1:8">
      <c r="A1097"/>
      <c r="B1097"/>
      <c r="C1097"/>
      <c r="E1097"/>
      <c r="F1097"/>
      <c r="G1097"/>
      <c r="H1097"/>
    </row>
    <row r="1098" spans="1:8">
      <c r="A1098"/>
      <c r="B1098"/>
      <c r="C1098"/>
      <c r="E1098"/>
      <c r="F1098"/>
      <c r="G1098"/>
      <c r="H1098"/>
    </row>
    <row r="1099" spans="1:8">
      <c r="A1099"/>
      <c r="B1099"/>
      <c r="C1099"/>
      <c r="E1099"/>
      <c r="F1099"/>
      <c r="G1099"/>
      <c r="H1099"/>
    </row>
    <row r="1100" spans="1:8">
      <c r="A1100"/>
      <c r="B1100"/>
      <c r="C1100"/>
      <c r="E1100"/>
      <c r="F1100"/>
      <c r="G1100"/>
      <c r="H1100"/>
    </row>
    <row r="1101" spans="1:8">
      <c r="A1101"/>
      <c r="B1101"/>
      <c r="C1101"/>
      <c r="E1101"/>
      <c r="F1101"/>
      <c r="G1101"/>
      <c r="H1101"/>
    </row>
    <row r="1102" spans="1:8">
      <c r="A1102"/>
      <c r="B1102"/>
      <c r="C1102"/>
      <c r="E1102"/>
      <c r="F1102"/>
      <c r="G1102"/>
      <c r="H1102"/>
    </row>
    <row r="1103" spans="1:8">
      <c r="A1103"/>
      <c r="B1103"/>
      <c r="C1103"/>
      <c r="E1103"/>
      <c r="F1103"/>
      <c r="G1103"/>
      <c r="H1103"/>
    </row>
    <row r="1104" spans="1:8">
      <c r="A1104"/>
      <c r="B1104"/>
      <c r="C1104"/>
      <c r="E1104"/>
      <c r="F1104"/>
      <c r="G1104"/>
      <c r="H1104"/>
    </row>
    <row r="1105" spans="1:8">
      <c r="A1105"/>
      <c r="B1105"/>
      <c r="C1105"/>
      <c r="E1105"/>
      <c r="F1105"/>
      <c r="G1105"/>
      <c r="H1105"/>
    </row>
    <row r="1106" spans="1:8">
      <c r="A1106"/>
      <c r="B1106"/>
      <c r="C1106"/>
      <c r="E1106"/>
      <c r="F1106"/>
      <c r="G1106"/>
      <c r="H1106"/>
    </row>
    <row r="1107" spans="1:8">
      <c r="A1107"/>
      <c r="B1107"/>
      <c r="C1107"/>
      <c r="E1107"/>
      <c r="F1107"/>
      <c r="G1107"/>
      <c r="H1107"/>
    </row>
    <row r="1108" spans="1:8">
      <c r="A1108"/>
      <c r="B1108"/>
      <c r="C1108"/>
      <c r="E1108"/>
      <c r="F1108"/>
      <c r="G1108"/>
      <c r="H1108"/>
    </row>
    <row r="1109" spans="1:8">
      <c r="A1109"/>
      <c r="B1109"/>
      <c r="C1109"/>
      <c r="E1109"/>
      <c r="F1109"/>
      <c r="G1109"/>
      <c r="H1109"/>
    </row>
    <row r="1110" spans="1:8">
      <c r="A1110"/>
      <c r="B1110"/>
      <c r="C1110"/>
      <c r="E1110"/>
      <c r="F1110"/>
      <c r="G1110"/>
      <c r="H1110"/>
    </row>
    <row r="1111" spans="1:8">
      <c r="A1111"/>
      <c r="B1111"/>
      <c r="C1111"/>
      <c r="E1111"/>
      <c r="F1111"/>
      <c r="G1111"/>
      <c r="H1111"/>
    </row>
    <row r="1112" spans="1:8">
      <c r="A1112"/>
      <c r="B1112"/>
      <c r="C1112"/>
      <c r="E1112"/>
      <c r="F1112"/>
      <c r="G1112"/>
      <c r="H1112"/>
    </row>
    <row r="1113" spans="1:8">
      <c r="A1113"/>
      <c r="B1113"/>
      <c r="C1113"/>
      <c r="E1113"/>
      <c r="F1113"/>
      <c r="G1113"/>
      <c r="H1113"/>
    </row>
    <row r="1114" spans="1:8">
      <c r="A1114"/>
      <c r="B1114"/>
      <c r="C1114"/>
      <c r="E1114"/>
      <c r="F1114"/>
      <c r="G1114"/>
      <c r="H1114"/>
    </row>
    <row r="1115" spans="1:8">
      <c r="A1115"/>
      <c r="B1115"/>
      <c r="C1115"/>
      <c r="E1115"/>
      <c r="F1115"/>
      <c r="G1115"/>
      <c r="H1115"/>
    </row>
    <row r="1116" spans="1:8">
      <c r="A1116"/>
      <c r="B1116"/>
      <c r="C1116"/>
      <c r="E1116"/>
      <c r="F1116"/>
      <c r="G1116"/>
      <c r="H1116"/>
    </row>
    <row r="1117" spans="1:8">
      <c r="A1117"/>
      <c r="B1117"/>
      <c r="C1117"/>
      <c r="E1117"/>
      <c r="F1117"/>
      <c r="G1117"/>
      <c r="H1117"/>
    </row>
    <row r="1118" spans="1:8">
      <c r="A1118"/>
      <c r="B1118"/>
      <c r="C1118"/>
      <c r="E1118"/>
      <c r="F1118"/>
      <c r="G1118"/>
      <c r="H1118"/>
    </row>
    <row r="1119" spans="1:8">
      <c r="A1119"/>
      <c r="B1119"/>
      <c r="C1119"/>
      <c r="E1119"/>
      <c r="F1119"/>
      <c r="G1119"/>
      <c r="H1119"/>
    </row>
    <row r="1120" spans="1:8">
      <c r="A1120"/>
      <c r="B1120"/>
      <c r="C1120"/>
      <c r="E1120"/>
      <c r="F1120"/>
      <c r="G1120"/>
      <c r="H1120"/>
    </row>
    <row r="1121" spans="1:8">
      <c r="A1121"/>
      <c r="B1121"/>
      <c r="C1121"/>
      <c r="E1121"/>
      <c r="F1121"/>
      <c r="G1121"/>
      <c r="H1121"/>
    </row>
    <row r="1122" spans="1:8">
      <c r="A1122"/>
      <c r="B1122"/>
      <c r="C1122"/>
      <c r="E1122"/>
      <c r="F1122"/>
      <c r="G1122"/>
      <c r="H1122"/>
    </row>
    <row r="1123" spans="1:8">
      <c r="A1123"/>
      <c r="B1123"/>
      <c r="C1123"/>
      <c r="E1123"/>
      <c r="F1123"/>
      <c r="G1123"/>
      <c r="H1123"/>
    </row>
    <row r="1124" spans="1:8">
      <c r="A1124"/>
      <c r="B1124"/>
      <c r="C1124"/>
      <c r="E1124"/>
      <c r="F1124"/>
      <c r="G1124"/>
      <c r="H1124"/>
    </row>
    <row r="1125" spans="1:8">
      <c r="A1125"/>
      <c r="B1125"/>
      <c r="C1125"/>
      <c r="E1125"/>
      <c r="F1125"/>
      <c r="G1125"/>
      <c r="H1125"/>
    </row>
    <row r="1126" spans="1:8">
      <c r="A1126"/>
      <c r="B1126"/>
      <c r="C1126"/>
      <c r="E1126"/>
      <c r="F1126"/>
      <c r="G1126"/>
      <c r="H1126"/>
    </row>
    <row r="1127" spans="1:8">
      <c r="A1127"/>
      <c r="B1127"/>
      <c r="C1127"/>
      <c r="E1127"/>
      <c r="F1127"/>
      <c r="G1127"/>
      <c r="H1127"/>
    </row>
    <row r="1128" spans="1:8">
      <c r="A1128"/>
      <c r="B1128"/>
      <c r="C1128"/>
      <c r="E1128"/>
      <c r="F1128"/>
      <c r="G1128"/>
      <c r="H1128"/>
    </row>
    <row r="1129" spans="1:8">
      <c r="A1129"/>
      <c r="B1129"/>
      <c r="C1129"/>
      <c r="E1129"/>
      <c r="F1129"/>
      <c r="G1129"/>
      <c r="H1129"/>
    </row>
    <row r="1130" spans="1:8">
      <c r="A1130"/>
      <c r="B1130"/>
      <c r="C1130"/>
      <c r="E1130"/>
      <c r="F1130"/>
      <c r="G1130"/>
      <c r="H1130"/>
    </row>
    <row r="1131" spans="1:8">
      <c r="A1131"/>
      <c r="B1131"/>
      <c r="C1131"/>
      <c r="E1131"/>
      <c r="F1131"/>
      <c r="G1131"/>
      <c r="H1131"/>
    </row>
    <row r="1132" spans="1:8">
      <c r="A1132"/>
      <c r="B1132"/>
      <c r="C1132"/>
      <c r="E1132"/>
      <c r="F1132"/>
      <c r="G1132"/>
      <c r="H1132"/>
    </row>
    <row r="1133" spans="1:8">
      <c r="A1133"/>
      <c r="B1133"/>
      <c r="C1133"/>
      <c r="E1133"/>
      <c r="F1133"/>
      <c r="G1133"/>
      <c r="H1133"/>
    </row>
    <row r="1134" spans="1:8">
      <c r="A1134"/>
      <c r="B1134"/>
      <c r="C1134"/>
      <c r="E1134"/>
      <c r="F1134"/>
      <c r="G1134"/>
      <c r="H1134"/>
    </row>
    <row r="1135" spans="1:8">
      <c r="A1135"/>
      <c r="B1135"/>
      <c r="C1135"/>
      <c r="E1135"/>
      <c r="F1135"/>
      <c r="G1135"/>
      <c r="H1135"/>
    </row>
    <row r="1136" spans="1:8">
      <c r="A1136"/>
      <c r="B1136"/>
      <c r="C1136"/>
      <c r="E1136"/>
      <c r="F1136"/>
      <c r="G1136"/>
      <c r="H1136"/>
    </row>
    <row r="1137" spans="1:8">
      <c r="A1137"/>
      <c r="B1137"/>
      <c r="C1137"/>
      <c r="E1137"/>
      <c r="F1137"/>
      <c r="G1137"/>
      <c r="H1137"/>
    </row>
    <row r="1138" spans="1:8">
      <c r="A1138"/>
      <c r="B1138"/>
      <c r="C1138"/>
      <c r="E1138"/>
      <c r="F1138"/>
      <c r="G1138"/>
      <c r="H1138"/>
    </row>
    <row r="1139" spans="1:8">
      <c r="A1139"/>
      <c r="B1139"/>
      <c r="C1139"/>
      <c r="E1139"/>
      <c r="F1139"/>
      <c r="G1139"/>
      <c r="H1139"/>
    </row>
    <row r="1140" spans="1:8">
      <c r="A1140"/>
      <c r="B1140"/>
      <c r="C1140"/>
      <c r="E1140"/>
      <c r="F1140"/>
      <c r="G1140"/>
      <c r="H1140"/>
    </row>
    <row r="1141" spans="1:8">
      <c r="A1141"/>
      <c r="B1141"/>
      <c r="C1141"/>
      <c r="E1141"/>
      <c r="F1141"/>
      <c r="G1141"/>
      <c r="H1141"/>
    </row>
    <row r="1142" spans="1:8">
      <c r="A1142"/>
      <c r="B1142"/>
      <c r="C1142"/>
      <c r="E1142"/>
      <c r="F1142"/>
      <c r="G1142"/>
      <c r="H1142"/>
    </row>
    <row r="1143" spans="1:8">
      <c r="A1143"/>
      <c r="B1143"/>
      <c r="C1143"/>
      <c r="E1143"/>
      <c r="F1143"/>
      <c r="G1143"/>
      <c r="H1143"/>
    </row>
    <row r="1144" spans="1:8">
      <c r="A1144"/>
      <c r="B1144"/>
      <c r="C1144"/>
      <c r="E1144"/>
      <c r="F1144"/>
      <c r="G1144"/>
      <c r="H1144"/>
    </row>
    <row r="1145" spans="1:8">
      <c r="A1145"/>
      <c r="B1145"/>
      <c r="C1145"/>
      <c r="E1145"/>
      <c r="F1145"/>
      <c r="G1145"/>
      <c r="H1145"/>
    </row>
    <row r="1146" spans="1:8">
      <c r="A1146"/>
      <c r="B1146"/>
      <c r="C1146"/>
      <c r="E1146"/>
      <c r="F1146"/>
      <c r="G1146"/>
      <c r="H1146"/>
    </row>
    <row r="1147" spans="1:8">
      <c r="A1147"/>
      <c r="B1147"/>
      <c r="C1147"/>
      <c r="E1147"/>
      <c r="F1147"/>
      <c r="G1147"/>
      <c r="H1147"/>
    </row>
    <row r="1148" spans="1:8">
      <c r="A1148"/>
      <c r="B1148"/>
      <c r="C1148"/>
      <c r="E1148"/>
      <c r="F1148"/>
      <c r="G1148"/>
      <c r="H1148"/>
    </row>
    <row r="1149" spans="1:8">
      <c r="A1149"/>
      <c r="B1149"/>
      <c r="C1149"/>
      <c r="E1149"/>
      <c r="F1149"/>
      <c r="G1149"/>
      <c r="H1149"/>
    </row>
    <row r="1150" spans="1:8">
      <c r="A1150"/>
      <c r="B1150"/>
      <c r="C1150"/>
      <c r="E1150"/>
      <c r="F1150"/>
      <c r="G1150"/>
      <c r="H1150"/>
    </row>
    <row r="1151" spans="1:8">
      <c r="A1151"/>
      <c r="B1151"/>
      <c r="C1151"/>
      <c r="E1151"/>
      <c r="F1151"/>
      <c r="G1151"/>
      <c r="H1151"/>
    </row>
    <row r="1152" spans="1:8">
      <c r="A1152"/>
      <c r="B1152"/>
      <c r="C1152"/>
      <c r="E1152"/>
      <c r="F1152"/>
      <c r="G1152"/>
      <c r="H1152"/>
    </row>
    <row r="1153" spans="1:8">
      <c r="A1153"/>
      <c r="B1153"/>
      <c r="C1153"/>
      <c r="E1153"/>
      <c r="F1153"/>
      <c r="G1153"/>
      <c r="H1153"/>
    </row>
    <row r="1154" spans="1:8">
      <c r="A1154"/>
      <c r="B1154"/>
      <c r="C1154"/>
      <c r="E1154"/>
      <c r="F1154"/>
      <c r="G1154"/>
      <c r="H1154"/>
    </row>
    <row r="1155" spans="1:8">
      <c r="A1155"/>
      <c r="B1155"/>
      <c r="C1155"/>
      <c r="E1155"/>
      <c r="F1155"/>
      <c r="G1155"/>
      <c r="H1155"/>
    </row>
    <row r="1156" spans="1:8">
      <c r="A1156"/>
      <c r="B1156"/>
      <c r="C1156"/>
      <c r="E1156"/>
      <c r="F1156"/>
      <c r="G1156"/>
      <c r="H1156"/>
    </row>
    <row r="1157" spans="1:8">
      <c r="A1157"/>
      <c r="B1157"/>
      <c r="C1157"/>
      <c r="E1157"/>
      <c r="F1157"/>
      <c r="G1157"/>
      <c r="H1157"/>
    </row>
    <row r="1158" spans="1:8">
      <c r="A1158"/>
      <c r="B1158"/>
      <c r="C1158"/>
      <c r="E1158"/>
      <c r="F1158"/>
      <c r="G1158"/>
      <c r="H1158"/>
    </row>
    <row r="1159" spans="1:8">
      <c r="A1159"/>
      <c r="B1159"/>
      <c r="C1159"/>
      <c r="E1159"/>
      <c r="F1159"/>
      <c r="G1159"/>
      <c r="H1159"/>
    </row>
    <row r="1160" spans="1:8">
      <c r="A1160"/>
      <c r="B1160"/>
      <c r="C1160"/>
      <c r="E1160"/>
      <c r="F1160"/>
      <c r="G1160"/>
      <c r="H1160"/>
    </row>
    <row r="1161" spans="1:8">
      <c r="A1161"/>
      <c r="B1161"/>
      <c r="C1161"/>
      <c r="E1161"/>
      <c r="F1161"/>
      <c r="G1161"/>
      <c r="H1161"/>
    </row>
    <row r="1162" spans="1:8">
      <c r="A1162"/>
      <c r="B1162"/>
      <c r="C1162"/>
      <c r="E1162"/>
      <c r="F1162"/>
      <c r="G1162"/>
      <c r="H1162"/>
    </row>
    <row r="1163" spans="1:8">
      <c r="A1163"/>
      <c r="B1163"/>
      <c r="C1163"/>
      <c r="E1163"/>
      <c r="F1163"/>
      <c r="G1163"/>
      <c r="H1163"/>
    </row>
    <row r="1164" spans="1:8">
      <c r="A1164"/>
      <c r="B1164"/>
      <c r="C1164"/>
      <c r="E1164"/>
      <c r="F1164"/>
      <c r="G1164"/>
      <c r="H1164"/>
    </row>
    <row r="1165" spans="1:8">
      <c r="A1165"/>
      <c r="B1165"/>
      <c r="C1165"/>
      <c r="E1165"/>
      <c r="F1165"/>
      <c r="G1165"/>
      <c r="H1165"/>
    </row>
    <row r="1166" spans="1:8">
      <c r="A1166"/>
      <c r="B1166"/>
      <c r="C1166"/>
      <c r="E1166"/>
      <c r="F1166"/>
      <c r="G1166"/>
      <c r="H1166"/>
    </row>
    <row r="1167" spans="1:8">
      <c r="A1167"/>
      <c r="B1167"/>
      <c r="C1167"/>
      <c r="E1167"/>
      <c r="F1167"/>
      <c r="G1167"/>
      <c r="H1167"/>
    </row>
    <row r="1168" spans="1:8">
      <c r="A1168"/>
      <c r="B1168"/>
      <c r="C1168"/>
      <c r="E1168"/>
      <c r="F1168"/>
      <c r="G1168"/>
      <c r="H1168"/>
    </row>
    <row r="1169" spans="1:8">
      <c r="A1169"/>
      <c r="B1169"/>
      <c r="C1169"/>
      <c r="E1169"/>
      <c r="F1169"/>
      <c r="G1169"/>
      <c r="H1169"/>
    </row>
    <row r="1170" spans="1:8">
      <c r="A1170"/>
      <c r="B1170"/>
      <c r="C1170"/>
      <c r="E1170"/>
      <c r="F1170"/>
      <c r="G1170"/>
      <c r="H1170"/>
    </row>
    <row r="1171" spans="1:8">
      <c r="A1171"/>
      <c r="B1171"/>
      <c r="C1171"/>
      <c r="E1171"/>
      <c r="F1171"/>
      <c r="G1171"/>
      <c r="H1171"/>
    </row>
    <row r="1172" spans="1:8">
      <c r="A1172"/>
      <c r="B1172"/>
      <c r="C1172"/>
      <c r="E1172"/>
      <c r="F1172"/>
      <c r="G1172"/>
      <c r="H1172"/>
    </row>
    <row r="1173" spans="1:8">
      <c r="A1173"/>
      <c r="B1173"/>
      <c r="C1173"/>
      <c r="E1173"/>
      <c r="F1173"/>
      <c r="G1173"/>
      <c r="H1173"/>
    </row>
    <row r="1174" spans="1:8">
      <c r="A1174"/>
      <c r="B1174"/>
      <c r="C1174"/>
      <c r="E1174"/>
      <c r="F1174"/>
      <c r="G1174"/>
      <c r="H1174"/>
    </row>
    <row r="1175" spans="1:8">
      <c r="A1175"/>
      <c r="B1175"/>
      <c r="C1175"/>
      <c r="E1175"/>
      <c r="F1175"/>
      <c r="G1175"/>
      <c r="H1175"/>
    </row>
    <row r="1176" spans="1:8">
      <c r="A1176"/>
      <c r="B1176"/>
      <c r="C1176"/>
      <c r="E1176"/>
      <c r="F1176"/>
      <c r="G1176"/>
      <c r="H1176"/>
    </row>
    <row r="1177" spans="1:8">
      <c r="A1177"/>
      <c r="B1177"/>
      <c r="C1177"/>
      <c r="E1177"/>
      <c r="F1177"/>
      <c r="G1177"/>
      <c r="H1177"/>
    </row>
    <row r="1178" spans="1:8">
      <c r="A1178"/>
      <c r="B1178"/>
      <c r="C1178"/>
      <c r="E1178"/>
      <c r="F1178"/>
      <c r="G1178"/>
      <c r="H1178"/>
    </row>
    <row r="1179" spans="1:8">
      <c r="A1179"/>
      <c r="B1179"/>
      <c r="C1179"/>
      <c r="E1179"/>
      <c r="F1179"/>
      <c r="G1179"/>
      <c r="H1179"/>
    </row>
    <row r="1180" spans="1:8">
      <c r="A1180"/>
      <c r="B1180"/>
      <c r="C1180"/>
      <c r="E1180"/>
      <c r="F1180"/>
      <c r="G1180"/>
      <c r="H1180"/>
    </row>
    <row r="1181" spans="1:8">
      <c r="A1181"/>
      <c r="B1181"/>
      <c r="C1181"/>
      <c r="E1181"/>
      <c r="F1181"/>
      <c r="G1181"/>
      <c r="H1181"/>
    </row>
    <row r="1182" spans="1:8">
      <c r="A1182"/>
      <c r="B1182"/>
      <c r="C1182"/>
      <c r="E1182"/>
      <c r="F1182"/>
      <c r="G1182"/>
      <c r="H1182"/>
    </row>
    <row r="1183" spans="1:8">
      <c r="A1183"/>
      <c r="B1183"/>
      <c r="C1183"/>
      <c r="E1183"/>
      <c r="F1183"/>
      <c r="G1183"/>
      <c r="H1183"/>
    </row>
    <row r="1184" spans="1:8">
      <c r="A1184"/>
      <c r="B1184"/>
      <c r="C1184"/>
      <c r="E1184"/>
      <c r="F1184"/>
      <c r="G1184"/>
      <c r="H1184"/>
    </row>
    <row r="1185" spans="1:8">
      <c r="A1185"/>
      <c r="B1185"/>
      <c r="C1185"/>
      <c r="E1185"/>
      <c r="F1185"/>
      <c r="G1185"/>
      <c r="H1185"/>
    </row>
    <row r="1186" spans="1:8">
      <c r="A1186"/>
      <c r="B1186"/>
      <c r="C1186"/>
      <c r="E1186"/>
      <c r="F1186"/>
      <c r="G1186"/>
      <c r="H1186"/>
    </row>
    <row r="1187" spans="1:8">
      <c r="A1187"/>
      <c r="B1187"/>
      <c r="C1187"/>
      <c r="E1187"/>
      <c r="F1187"/>
      <c r="G1187"/>
      <c r="H1187"/>
    </row>
    <row r="1188" spans="1:8">
      <c r="A1188"/>
      <c r="B1188"/>
      <c r="C1188"/>
      <c r="E1188"/>
      <c r="F1188"/>
      <c r="G1188"/>
      <c r="H1188"/>
    </row>
    <row r="1189" spans="1:8">
      <c r="A1189"/>
      <c r="B1189"/>
      <c r="C1189"/>
      <c r="E1189"/>
      <c r="F1189"/>
      <c r="G1189"/>
      <c r="H1189"/>
    </row>
    <row r="1190" spans="1:8">
      <c r="A1190"/>
      <c r="B1190"/>
      <c r="C1190"/>
      <c r="E1190"/>
      <c r="F1190"/>
      <c r="G1190"/>
      <c r="H1190"/>
    </row>
    <row r="1191" spans="1:8">
      <c r="A1191"/>
      <c r="B1191"/>
      <c r="C1191"/>
      <c r="E1191"/>
      <c r="F1191"/>
      <c r="G1191"/>
      <c r="H1191"/>
    </row>
    <row r="1192" spans="1:8">
      <c r="A1192"/>
      <c r="B1192"/>
      <c r="C1192"/>
      <c r="E1192"/>
      <c r="F1192"/>
      <c r="G1192"/>
      <c r="H1192"/>
    </row>
    <row r="1193" spans="1:8">
      <c r="A1193"/>
      <c r="B1193"/>
      <c r="C1193"/>
      <c r="E1193"/>
      <c r="F1193"/>
      <c r="G1193"/>
      <c r="H1193"/>
    </row>
    <row r="1194" spans="1:8">
      <c r="A1194"/>
      <c r="B1194"/>
      <c r="C1194"/>
      <c r="E1194"/>
      <c r="F1194"/>
      <c r="G1194"/>
      <c r="H1194"/>
    </row>
    <row r="1195" spans="1:8">
      <c r="A1195"/>
      <c r="B1195"/>
      <c r="C1195"/>
      <c r="E1195"/>
      <c r="F1195"/>
      <c r="G1195"/>
      <c r="H1195"/>
    </row>
    <row r="1196" spans="1:8">
      <c r="A1196"/>
      <c r="B1196"/>
      <c r="C1196"/>
      <c r="E1196"/>
      <c r="F1196"/>
      <c r="G1196"/>
      <c r="H1196"/>
    </row>
    <row r="1197" spans="1:8">
      <c r="A1197"/>
      <c r="B1197"/>
      <c r="C1197"/>
      <c r="E1197"/>
      <c r="F1197"/>
      <c r="G1197"/>
      <c r="H1197"/>
    </row>
    <row r="1198" spans="1:8">
      <c r="A1198"/>
      <c r="B1198"/>
      <c r="C1198"/>
      <c r="E1198"/>
      <c r="F1198"/>
      <c r="G1198"/>
      <c r="H1198"/>
    </row>
    <row r="1199" spans="1:8">
      <c r="A1199"/>
      <c r="B1199"/>
      <c r="C1199"/>
      <c r="E1199"/>
      <c r="F1199"/>
      <c r="G1199"/>
      <c r="H1199"/>
    </row>
    <row r="1200" spans="1:8">
      <c r="A1200"/>
      <c r="B1200"/>
      <c r="C1200"/>
      <c r="E1200"/>
      <c r="F1200"/>
      <c r="G1200"/>
      <c r="H1200"/>
    </row>
    <row r="1201" spans="1:8">
      <c r="A1201"/>
      <c r="B1201"/>
      <c r="C1201"/>
      <c r="E1201"/>
      <c r="F1201"/>
      <c r="G1201"/>
      <c r="H1201"/>
    </row>
    <row r="1202" spans="1:8">
      <c r="A1202"/>
      <c r="B1202"/>
      <c r="C1202"/>
      <c r="E1202"/>
      <c r="F1202"/>
      <c r="G1202"/>
      <c r="H1202"/>
    </row>
    <row r="1203" spans="1:8">
      <c r="A1203"/>
      <c r="B1203"/>
      <c r="C1203"/>
      <c r="E1203"/>
      <c r="F1203"/>
      <c r="G1203"/>
      <c r="H1203"/>
    </row>
    <row r="1204" spans="1:8">
      <c r="A1204"/>
      <c r="B1204"/>
      <c r="C1204"/>
      <c r="E1204"/>
      <c r="F1204"/>
      <c r="G1204"/>
      <c r="H1204"/>
    </row>
    <row r="1205" spans="1:8">
      <c r="A1205"/>
      <c r="B1205"/>
      <c r="C1205"/>
      <c r="E1205"/>
      <c r="F1205"/>
      <c r="G1205"/>
      <c r="H1205"/>
    </row>
    <row r="1206" spans="1:8">
      <c r="A1206"/>
      <c r="B1206"/>
      <c r="C1206"/>
      <c r="E1206"/>
      <c r="F1206"/>
      <c r="G1206"/>
      <c r="H1206"/>
    </row>
    <row r="1207" spans="1:8">
      <c r="A1207"/>
      <c r="B1207"/>
      <c r="C1207"/>
      <c r="E1207"/>
      <c r="F1207"/>
      <c r="G1207"/>
      <c r="H1207"/>
    </row>
    <row r="1208" spans="1:8">
      <c r="A1208"/>
      <c r="B1208"/>
      <c r="C1208"/>
      <c r="E1208"/>
      <c r="F1208"/>
      <c r="G1208"/>
      <c r="H1208"/>
    </row>
    <row r="1209" spans="1:8">
      <c r="A1209"/>
      <c r="B1209"/>
      <c r="C1209"/>
      <c r="E1209"/>
      <c r="F1209"/>
      <c r="G1209"/>
      <c r="H1209"/>
    </row>
    <row r="1210" spans="1:8">
      <c r="A1210"/>
      <c r="B1210"/>
      <c r="C1210"/>
      <c r="E1210"/>
      <c r="F1210"/>
      <c r="G1210"/>
      <c r="H1210"/>
    </row>
    <row r="1211" spans="1:8">
      <c r="A1211"/>
      <c r="B1211"/>
      <c r="C1211"/>
      <c r="E1211"/>
      <c r="F1211"/>
      <c r="G1211"/>
      <c r="H1211"/>
    </row>
    <row r="1212" spans="1:8">
      <c r="A1212"/>
      <c r="B1212"/>
      <c r="C1212"/>
      <c r="E1212"/>
      <c r="F1212"/>
      <c r="G1212"/>
      <c r="H1212"/>
    </row>
    <row r="1213" spans="1:8">
      <c r="A1213"/>
      <c r="B1213"/>
      <c r="C1213"/>
      <c r="E1213"/>
      <c r="F1213"/>
      <c r="G1213"/>
      <c r="H1213"/>
    </row>
    <row r="1214" spans="1:8">
      <c r="A1214"/>
      <c r="B1214"/>
      <c r="C1214"/>
      <c r="E1214"/>
      <c r="F1214"/>
      <c r="G1214"/>
      <c r="H1214"/>
    </row>
    <row r="1215" spans="1:8">
      <c r="A1215"/>
      <c r="B1215"/>
      <c r="C1215"/>
      <c r="E1215"/>
      <c r="F1215"/>
      <c r="G1215"/>
      <c r="H1215"/>
    </row>
    <row r="1216" spans="1:8">
      <c r="A1216"/>
      <c r="B1216"/>
      <c r="C1216"/>
      <c r="E1216"/>
      <c r="F1216"/>
      <c r="G1216"/>
      <c r="H1216"/>
    </row>
    <row r="1217" spans="1:8">
      <c r="A1217"/>
      <c r="B1217"/>
      <c r="C1217"/>
      <c r="E1217"/>
      <c r="F1217"/>
      <c r="G1217"/>
      <c r="H1217"/>
    </row>
    <row r="1218" spans="1:8">
      <c r="A1218"/>
      <c r="B1218"/>
      <c r="C1218"/>
      <c r="E1218"/>
      <c r="F1218"/>
      <c r="G1218"/>
      <c r="H1218"/>
    </row>
    <row r="1219" spans="1:8">
      <c r="A1219"/>
      <c r="B1219"/>
      <c r="C1219"/>
      <c r="E1219"/>
      <c r="F1219"/>
      <c r="G1219"/>
      <c r="H1219"/>
    </row>
    <row r="1220" spans="1:8">
      <c r="A1220"/>
      <c r="B1220"/>
      <c r="C1220"/>
      <c r="E1220"/>
      <c r="F1220"/>
      <c r="G1220"/>
      <c r="H1220"/>
    </row>
    <row r="1221" spans="1:8">
      <c r="A1221"/>
      <c r="B1221"/>
      <c r="C1221"/>
      <c r="E1221"/>
      <c r="F1221"/>
      <c r="G1221"/>
      <c r="H1221"/>
    </row>
    <row r="1222" spans="1:8">
      <c r="A1222"/>
      <c r="B1222"/>
      <c r="C1222"/>
      <c r="E1222"/>
      <c r="F1222"/>
      <c r="G1222"/>
      <c r="H1222"/>
    </row>
    <row r="1223" spans="1:8">
      <c r="A1223"/>
      <c r="B1223"/>
      <c r="C1223"/>
      <c r="E1223"/>
      <c r="F1223"/>
      <c r="G1223"/>
      <c r="H1223"/>
    </row>
    <row r="1224" spans="1:8">
      <c r="A1224"/>
      <c r="B1224"/>
      <c r="C1224"/>
      <c r="E1224"/>
      <c r="F1224"/>
      <c r="G1224"/>
      <c r="H1224"/>
    </row>
    <row r="1225" spans="1:8">
      <c r="A1225"/>
      <c r="B1225"/>
      <c r="C1225"/>
      <c r="E1225"/>
      <c r="F1225"/>
      <c r="G1225"/>
      <c r="H1225"/>
    </row>
    <row r="1226" spans="1:8">
      <c r="A1226"/>
      <c r="B1226"/>
      <c r="C1226"/>
      <c r="E1226"/>
      <c r="F1226"/>
      <c r="G1226"/>
      <c r="H1226"/>
    </row>
    <row r="1227" spans="1:8">
      <c r="A1227"/>
      <c r="B1227"/>
      <c r="C1227"/>
      <c r="E1227"/>
      <c r="F1227"/>
      <c r="G1227"/>
      <c r="H1227"/>
    </row>
    <row r="1228" spans="1:8">
      <c r="A1228"/>
      <c r="B1228"/>
      <c r="C1228"/>
      <c r="E1228"/>
      <c r="F1228"/>
      <c r="G1228"/>
      <c r="H1228"/>
    </row>
    <row r="1229" spans="1:8">
      <c r="A1229"/>
      <c r="B1229"/>
      <c r="C1229"/>
      <c r="E1229"/>
      <c r="F1229"/>
      <c r="G1229"/>
      <c r="H1229"/>
    </row>
    <row r="1230" spans="1:8">
      <c r="A1230"/>
      <c r="B1230"/>
      <c r="C1230"/>
      <c r="E1230"/>
      <c r="F1230"/>
      <c r="G1230"/>
      <c r="H1230"/>
    </row>
    <row r="1231" spans="1:8">
      <c r="A1231"/>
      <c r="B1231"/>
      <c r="C1231"/>
      <c r="E1231"/>
      <c r="F1231"/>
      <c r="G1231"/>
      <c r="H1231"/>
    </row>
    <row r="1232" spans="1:8">
      <c r="A1232"/>
      <c r="B1232"/>
      <c r="C1232"/>
      <c r="E1232"/>
      <c r="F1232"/>
      <c r="G1232"/>
      <c r="H1232"/>
    </row>
    <row r="1233" spans="1:8">
      <c r="A1233"/>
      <c r="B1233"/>
      <c r="C1233"/>
      <c r="E1233"/>
      <c r="F1233"/>
      <c r="G1233"/>
      <c r="H1233"/>
    </row>
    <row r="1234" spans="1:8">
      <c r="A1234"/>
      <c r="B1234"/>
      <c r="C1234"/>
      <c r="E1234"/>
      <c r="F1234"/>
      <c r="G1234"/>
      <c r="H1234"/>
    </row>
    <row r="1235" spans="1:8">
      <c r="A1235"/>
      <c r="B1235"/>
      <c r="C1235"/>
      <c r="E1235"/>
      <c r="F1235"/>
      <c r="G1235"/>
      <c r="H1235"/>
    </row>
    <row r="1236" spans="1:8">
      <c r="A1236"/>
      <c r="B1236"/>
      <c r="C1236"/>
      <c r="E1236"/>
      <c r="F1236"/>
      <c r="G1236"/>
      <c r="H1236"/>
    </row>
    <row r="1237" spans="1:8">
      <c r="A1237"/>
      <c r="B1237"/>
      <c r="C1237"/>
      <c r="E1237"/>
      <c r="F1237"/>
      <c r="G1237"/>
      <c r="H1237"/>
    </row>
    <row r="1238" spans="1:8">
      <c r="A1238"/>
      <c r="B1238"/>
      <c r="C1238"/>
      <c r="E1238"/>
      <c r="F1238"/>
      <c r="G1238"/>
      <c r="H1238"/>
    </row>
    <row r="1239" spans="1:8">
      <c r="A1239"/>
      <c r="B1239"/>
      <c r="C1239"/>
      <c r="E1239"/>
      <c r="F1239"/>
      <c r="G1239"/>
      <c r="H1239"/>
    </row>
    <row r="1240" spans="1:8">
      <c r="A1240"/>
      <c r="B1240"/>
      <c r="C1240"/>
      <c r="E1240"/>
      <c r="F1240"/>
      <c r="G1240"/>
      <c r="H1240"/>
    </row>
    <row r="1241" spans="1:8">
      <c r="A1241"/>
      <c r="B1241"/>
      <c r="C1241"/>
      <c r="E1241"/>
      <c r="F1241"/>
      <c r="G1241"/>
      <c r="H1241"/>
    </row>
    <row r="1242" spans="1:8">
      <c r="A1242"/>
      <c r="B1242"/>
      <c r="C1242"/>
      <c r="E1242"/>
      <c r="F1242"/>
      <c r="G1242"/>
      <c r="H1242"/>
    </row>
    <row r="1243" spans="1:8">
      <c r="A1243"/>
      <c r="B1243"/>
      <c r="C1243"/>
      <c r="E1243"/>
      <c r="F1243"/>
      <c r="G1243"/>
      <c r="H1243"/>
    </row>
    <row r="1244" spans="1:8">
      <c r="A1244"/>
      <c r="B1244"/>
      <c r="C1244"/>
      <c r="E1244"/>
      <c r="F1244"/>
      <c r="G1244"/>
      <c r="H1244"/>
    </row>
    <row r="1245" spans="1:8">
      <c r="A1245"/>
      <c r="B1245"/>
      <c r="C1245"/>
      <c r="E1245"/>
      <c r="F1245"/>
      <c r="G1245"/>
      <c r="H1245"/>
    </row>
    <row r="1246" spans="1:8">
      <c r="A1246"/>
      <c r="B1246"/>
      <c r="C1246"/>
      <c r="E1246"/>
      <c r="F1246"/>
      <c r="G1246"/>
      <c r="H1246"/>
    </row>
    <row r="1247" spans="1:8">
      <c r="A1247"/>
      <c r="B1247"/>
      <c r="C1247"/>
      <c r="E1247"/>
      <c r="F1247"/>
      <c r="G1247"/>
      <c r="H1247"/>
    </row>
    <row r="1248" spans="1:8">
      <c r="A1248"/>
      <c r="B1248"/>
      <c r="C1248"/>
      <c r="E1248"/>
      <c r="F1248"/>
      <c r="G1248"/>
      <c r="H1248"/>
    </row>
    <row r="1249" spans="1:8">
      <c r="A1249"/>
      <c r="B1249"/>
      <c r="C1249"/>
      <c r="E1249"/>
      <c r="F1249"/>
      <c r="G1249"/>
      <c r="H1249"/>
    </row>
    <row r="1250" spans="1:8">
      <c r="A1250"/>
      <c r="B1250"/>
      <c r="C1250"/>
      <c r="E1250"/>
      <c r="F1250"/>
      <c r="G1250"/>
      <c r="H1250"/>
    </row>
    <row r="1251" spans="1:8">
      <c r="A1251"/>
      <c r="B1251"/>
      <c r="C1251"/>
      <c r="E1251"/>
      <c r="F1251"/>
      <c r="G1251"/>
      <c r="H1251"/>
    </row>
    <row r="1252" spans="1:8">
      <c r="A1252"/>
      <c r="B1252"/>
      <c r="C1252"/>
      <c r="E1252"/>
      <c r="F1252"/>
      <c r="G1252"/>
      <c r="H1252"/>
    </row>
    <row r="1253" spans="1:8">
      <c r="A1253"/>
      <c r="B1253"/>
      <c r="C1253"/>
      <c r="E1253"/>
      <c r="F1253"/>
      <c r="G1253"/>
      <c r="H1253"/>
    </row>
    <row r="1254" spans="1:8">
      <c r="A1254"/>
      <c r="B1254"/>
      <c r="C1254"/>
      <c r="E1254"/>
      <c r="F1254"/>
      <c r="G1254"/>
      <c r="H1254"/>
    </row>
    <row r="1255" spans="1:8">
      <c r="A1255"/>
      <c r="B1255"/>
      <c r="C1255"/>
      <c r="E1255"/>
      <c r="F1255"/>
      <c r="G1255"/>
      <c r="H1255"/>
    </row>
    <row r="1256" spans="1:8">
      <c r="A1256"/>
      <c r="B1256"/>
      <c r="C1256"/>
      <c r="E1256"/>
      <c r="F1256"/>
      <c r="G1256"/>
      <c r="H1256"/>
    </row>
    <row r="1257" spans="1:8">
      <c r="A1257"/>
      <c r="B1257"/>
      <c r="C1257"/>
      <c r="E1257"/>
      <c r="F1257"/>
      <c r="G1257"/>
      <c r="H1257"/>
    </row>
    <row r="1258" spans="1:8">
      <c r="A1258"/>
      <c r="B1258"/>
      <c r="C1258"/>
      <c r="E1258"/>
      <c r="F1258"/>
      <c r="G1258"/>
      <c r="H1258"/>
    </row>
    <row r="1259" spans="1:8">
      <c r="A1259"/>
      <c r="B1259"/>
      <c r="C1259"/>
      <c r="E1259"/>
      <c r="F1259"/>
      <c r="G1259"/>
      <c r="H1259"/>
    </row>
    <row r="1260" spans="1:8">
      <c r="A1260"/>
      <c r="B1260"/>
      <c r="C1260"/>
      <c r="E1260"/>
      <c r="F1260"/>
      <c r="G1260"/>
      <c r="H1260"/>
    </row>
    <row r="1261" spans="1:8">
      <c r="A1261"/>
      <c r="B1261"/>
      <c r="C1261"/>
      <c r="E1261"/>
      <c r="F1261"/>
      <c r="G1261"/>
      <c r="H1261"/>
    </row>
    <row r="1262" spans="1:8">
      <c r="A1262"/>
      <c r="B1262"/>
      <c r="C1262"/>
      <c r="E1262"/>
      <c r="F1262"/>
      <c r="G1262"/>
      <c r="H1262"/>
    </row>
    <row r="1263" spans="1:8">
      <c r="A1263"/>
      <c r="B1263"/>
      <c r="C1263"/>
      <c r="E1263"/>
      <c r="F1263"/>
      <c r="G1263"/>
      <c r="H1263"/>
    </row>
    <row r="1264" spans="1:8">
      <c r="A1264"/>
      <c r="B1264"/>
      <c r="C1264"/>
      <c r="E1264"/>
      <c r="F1264"/>
      <c r="G1264"/>
      <c r="H1264"/>
    </row>
    <row r="1265" spans="1:8">
      <c r="A1265"/>
      <c r="B1265"/>
      <c r="C1265"/>
      <c r="E1265"/>
      <c r="F1265"/>
      <c r="G1265"/>
      <c r="H1265"/>
    </row>
    <row r="1266" spans="1:8">
      <c r="A1266"/>
      <c r="B1266"/>
      <c r="C1266"/>
      <c r="E1266"/>
      <c r="F1266"/>
      <c r="G1266"/>
      <c r="H1266"/>
    </row>
    <row r="1267" spans="1:8">
      <c r="A1267"/>
      <c r="B1267"/>
      <c r="C1267"/>
      <c r="E1267"/>
      <c r="F1267"/>
      <c r="G1267"/>
      <c r="H1267"/>
    </row>
    <row r="1268" spans="1:8">
      <c r="A1268"/>
      <c r="B1268"/>
      <c r="C1268"/>
      <c r="E1268"/>
      <c r="F1268"/>
      <c r="G1268"/>
      <c r="H1268"/>
    </row>
    <row r="1269" spans="1:8">
      <c r="A1269"/>
      <c r="B1269"/>
      <c r="C1269"/>
      <c r="E1269"/>
      <c r="F1269"/>
      <c r="G1269"/>
      <c r="H1269"/>
    </row>
    <row r="1270" spans="1:8">
      <c r="A1270"/>
      <c r="B1270"/>
      <c r="C1270"/>
      <c r="E1270"/>
      <c r="F1270"/>
      <c r="G1270"/>
      <c r="H1270"/>
    </row>
    <row r="1271" spans="1:8">
      <c r="A1271"/>
      <c r="B1271"/>
      <c r="C1271"/>
      <c r="E1271"/>
      <c r="F1271"/>
      <c r="G1271"/>
      <c r="H1271"/>
    </row>
    <row r="1272" spans="1:8">
      <c r="A1272"/>
      <c r="B1272"/>
      <c r="C1272"/>
      <c r="E1272"/>
      <c r="F1272"/>
      <c r="G1272"/>
      <c r="H1272"/>
    </row>
    <row r="1273" spans="1:8">
      <c r="A1273"/>
      <c r="B1273"/>
      <c r="C1273"/>
      <c r="E1273"/>
      <c r="F1273"/>
      <c r="G1273"/>
      <c r="H1273"/>
    </row>
    <row r="1274" spans="1:8">
      <c r="A1274"/>
      <c r="B1274"/>
      <c r="C1274"/>
      <c r="E1274"/>
      <c r="F1274"/>
      <c r="G1274"/>
      <c r="H1274"/>
    </row>
    <row r="1275" spans="1:8">
      <c r="A1275"/>
      <c r="B1275"/>
      <c r="C1275"/>
      <c r="E1275"/>
      <c r="F1275"/>
      <c r="G1275"/>
      <c r="H1275"/>
    </row>
    <row r="1276" spans="1:8">
      <c r="A1276"/>
      <c r="B1276"/>
      <c r="C1276"/>
      <c r="E1276"/>
      <c r="F1276"/>
      <c r="G1276"/>
      <c r="H1276"/>
    </row>
    <row r="1277" spans="1:8">
      <c r="A1277"/>
      <c r="B1277"/>
      <c r="C1277"/>
      <c r="E1277"/>
      <c r="F1277"/>
      <c r="G1277"/>
      <c r="H1277"/>
    </row>
    <row r="1278" spans="1:8">
      <c r="A1278"/>
      <c r="B1278"/>
      <c r="C1278"/>
      <c r="E1278"/>
      <c r="F1278"/>
      <c r="G1278"/>
      <c r="H1278"/>
    </row>
    <row r="1279" spans="1:8">
      <c r="A1279"/>
      <c r="B1279"/>
      <c r="C1279"/>
      <c r="E1279"/>
      <c r="F1279"/>
      <c r="G1279"/>
      <c r="H1279"/>
    </row>
    <row r="1280" spans="1:8">
      <c r="A1280"/>
      <c r="B1280"/>
      <c r="C1280"/>
      <c r="E1280"/>
      <c r="F1280"/>
      <c r="G1280"/>
      <c r="H1280"/>
    </row>
    <row r="1281" spans="1:8">
      <c r="A1281"/>
      <c r="B1281"/>
      <c r="C1281"/>
      <c r="E1281"/>
      <c r="F1281"/>
      <c r="G1281"/>
      <c r="H1281"/>
    </row>
    <row r="1282" spans="1:8">
      <c r="A1282"/>
      <c r="B1282"/>
      <c r="C1282"/>
      <c r="E1282"/>
      <c r="F1282"/>
      <c r="G1282"/>
      <c r="H1282"/>
    </row>
    <row r="1283" spans="1:8">
      <c r="A1283"/>
      <c r="B1283"/>
      <c r="C1283"/>
      <c r="E1283"/>
      <c r="F1283"/>
      <c r="G1283"/>
      <c r="H1283"/>
    </row>
    <row r="1284" spans="1:8">
      <c r="A1284"/>
      <c r="B1284"/>
      <c r="C1284"/>
      <c r="E1284"/>
      <c r="F1284"/>
      <c r="G1284"/>
      <c r="H1284"/>
    </row>
    <row r="1285" spans="1:8">
      <c r="A1285"/>
      <c r="B1285"/>
      <c r="C1285"/>
      <c r="E1285"/>
      <c r="F1285"/>
      <c r="G1285"/>
      <c r="H1285"/>
    </row>
    <row r="1286" spans="1:8">
      <c r="A1286"/>
      <c r="B1286"/>
      <c r="C1286"/>
      <c r="E1286"/>
      <c r="F1286"/>
      <c r="G1286"/>
      <c r="H1286"/>
    </row>
    <row r="1287" spans="1:8">
      <c r="A1287"/>
      <c r="B1287"/>
      <c r="C1287"/>
      <c r="E1287"/>
      <c r="F1287"/>
      <c r="G1287"/>
      <c r="H1287"/>
    </row>
    <row r="1288" spans="1:8">
      <c r="A1288"/>
      <c r="B1288"/>
      <c r="C1288"/>
      <c r="E1288"/>
      <c r="F1288"/>
      <c r="G1288"/>
      <c r="H1288"/>
    </row>
    <row r="1289" spans="1:8">
      <c r="A1289"/>
      <c r="B1289"/>
      <c r="C1289"/>
      <c r="E1289"/>
      <c r="F1289"/>
      <c r="G1289"/>
      <c r="H1289"/>
    </row>
    <row r="1290" spans="1:8">
      <c r="A1290"/>
      <c r="B1290"/>
      <c r="C1290"/>
      <c r="E1290"/>
      <c r="F1290"/>
      <c r="G1290"/>
      <c r="H1290"/>
    </row>
    <row r="1291" spans="1:8">
      <c r="A1291"/>
      <c r="B1291"/>
      <c r="C1291"/>
      <c r="E1291"/>
      <c r="F1291"/>
      <c r="G1291"/>
      <c r="H1291"/>
    </row>
    <row r="1292" spans="1:8">
      <c r="A1292"/>
      <c r="B1292"/>
      <c r="C1292"/>
      <c r="E1292"/>
      <c r="F1292"/>
      <c r="G1292"/>
      <c r="H1292"/>
    </row>
    <row r="1293" spans="1:8">
      <c r="A1293"/>
      <c r="B1293"/>
      <c r="C1293"/>
      <c r="E1293"/>
      <c r="F1293"/>
      <c r="G1293"/>
      <c r="H1293"/>
    </row>
    <row r="1294" spans="1:8">
      <c r="A1294"/>
      <c r="B1294"/>
      <c r="C1294"/>
      <c r="E1294"/>
      <c r="F1294"/>
      <c r="G1294"/>
      <c r="H1294"/>
    </row>
    <row r="1295" spans="1:8">
      <c r="A1295"/>
      <c r="B1295"/>
      <c r="C1295"/>
      <c r="E1295"/>
      <c r="F1295"/>
      <c r="G1295"/>
      <c r="H1295"/>
    </row>
    <row r="1296" spans="1:8">
      <c r="A1296"/>
      <c r="B1296"/>
      <c r="C1296"/>
      <c r="E1296"/>
      <c r="F1296"/>
      <c r="G1296"/>
      <c r="H1296"/>
    </row>
    <row r="1297" spans="1:8">
      <c r="A1297"/>
      <c r="B1297"/>
      <c r="C1297"/>
      <c r="E1297"/>
      <c r="F1297"/>
      <c r="G1297"/>
      <c r="H1297"/>
    </row>
    <row r="1298" spans="1:8">
      <c r="A1298"/>
      <c r="B1298"/>
      <c r="C1298"/>
      <c r="E1298"/>
      <c r="F1298"/>
      <c r="G1298"/>
      <c r="H1298"/>
    </row>
    <row r="1299" spans="1:8">
      <c r="A1299"/>
      <c r="B1299"/>
      <c r="C1299"/>
      <c r="E1299"/>
      <c r="F1299"/>
      <c r="G1299"/>
      <c r="H1299"/>
    </row>
    <row r="1300" spans="1:8">
      <c r="A1300"/>
      <c r="B1300"/>
      <c r="C1300"/>
      <c r="E1300"/>
      <c r="F1300"/>
      <c r="G1300"/>
      <c r="H1300"/>
    </row>
    <row r="1301" spans="1:8">
      <c r="A1301"/>
      <c r="B1301"/>
      <c r="C1301"/>
      <c r="E1301"/>
      <c r="F1301"/>
      <c r="G1301"/>
      <c r="H1301"/>
    </row>
    <row r="1302" spans="1:8">
      <c r="A1302"/>
      <c r="B1302"/>
      <c r="C1302"/>
      <c r="E1302"/>
      <c r="F1302"/>
      <c r="G1302"/>
      <c r="H1302"/>
    </row>
    <row r="1303" spans="1:8">
      <c r="A1303"/>
      <c r="B1303"/>
      <c r="C1303"/>
      <c r="E1303"/>
      <c r="F1303"/>
      <c r="G1303"/>
      <c r="H1303"/>
    </row>
    <row r="1304" spans="1:8">
      <c r="A1304"/>
      <c r="B1304"/>
      <c r="C1304"/>
      <c r="E1304"/>
      <c r="F1304"/>
      <c r="G1304"/>
      <c r="H1304"/>
    </row>
    <row r="1305" spans="1:8">
      <c r="A1305"/>
      <c r="B1305"/>
      <c r="C1305"/>
      <c r="E1305"/>
      <c r="F1305"/>
      <c r="G1305"/>
      <c r="H1305"/>
    </row>
    <row r="1306" spans="1:8">
      <c r="A1306"/>
      <c r="B1306"/>
      <c r="C1306"/>
      <c r="E1306"/>
      <c r="F1306"/>
      <c r="G1306"/>
      <c r="H1306"/>
    </row>
    <row r="1307" spans="1:8">
      <c r="A1307"/>
      <c r="B1307"/>
      <c r="C1307"/>
      <c r="E1307"/>
      <c r="F1307"/>
      <c r="G1307"/>
      <c r="H1307"/>
    </row>
    <row r="1308" spans="1:8">
      <c r="A1308"/>
      <c r="B1308"/>
      <c r="C1308"/>
      <c r="E1308"/>
      <c r="F1308"/>
      <c r="G1308"/>
      <c r="H1308"/>
    </row>
    <row r="1309" spans="1:8">
      <c r="A1309"/>
      <c r="B1309"/>
      <c r="C1309"/>
      <c r="E1309"/>
      <c r="F1309"/>
      <c r="G1309"/>
      <c r="H1309"/>
    </row>
    <row r="1310" spans="1:8">
      <c r="A1310"/>
      <c r="B1310"/>
      <c r="C1310"/>
      <c r="E1310"/>
      <c r="F1310"/>
      <c r="G1310"/>
      <c r="H1310"/>
    </row>
    <row r="1311" spans="1:8">
      <c r="A1311"/>
      <c r="B1311"/>
      <c r="C1311"/>
      <c r="E1311"/>
      <c r="F1311"/>
      <c r="G1311"/>
      <c r="H1311"/>
    </row>
    <row r="1312" spans="1:8">
      <c r="A1312"/>
      <c r="B1312"/>
      <c r="C1312"/>
      <c r="E1312"/>
      <c r="F1312"/>
      <c r="G1312"/>
      <c r="H1312"/>
    </row>
    <row r="1313" spans="1:8">
      <c r="A1313"/>
      <c r="B1313"/>
      <c r="C1313"/>
      <c r="E1313"/>
      <c r="F1313"/>
      <c r="G1313"/>
      <c r="H1313"/>
    </row>
    <row r="1314" spans="1:8">
      <c r="A1314"/>
      <c r="B1314"/>
      <c r="C1314"/>
      <c r="E1314"/>
      <c r="F1314"/>
      <c r="G1314"/>
      <c r="H1314"/>
    </row>
    <row r="1315" spans="1:8">
      <c r="A1315"/>
      <c r="B1315"/>
      <c r="C1315"/>
      <c r="E1315"/>
      <c r="F1315"/>
      <c r="G1315"/>
      <c r="H1315"/>
    </row>
    <row r="1316" spans="1:8">
      <c r="A1316"/>
      <c r="B1316"/>
      <c r="C1316"/>
      <c r="E1316"/>
      <c r="F1316"/>
      <c r="G1316"/>
      <c r="H1316"/>
    </row>
    <row r="1317" spans="1:8">
      <c r="A1317"/>
      <c r="B1317"/>
      <c r="C1317"/>
      <c r="E1317"/>
      <c r="F1317"/>
      <c r="G1317"/>
      <c r="H1317"/>
    </row>
    <row r="1318" spans="1:8">
      <c r="A1318"/>
      <c r="B1318"/>
      <c r="C1318"/>
      <c r="E1318"/>
      <c r="F1318"/>
      <c r="G1318"/>
      <c r="H1318"/>
    </row>
    <row r="1319" spans="1:8">
      <c r="A1319"/>
      <c r="B1319"/>
      <c r="C1319"/>
      <c r="E1319"/>
      <c r="F1319"/>
      <c r="G1319"/>
      <c r="H1319"/>
    </row>
    <row r="1320" spans="1:8">
      <c r="A1320"/>
      <c r="B1320"/>
      <c r="C1320"/>
      <c r="E1320"/>
      <c r="F1320"/>
      <c r="G1320"/>
      <c r="H1320"/>
    </row>
    <row r="1321" spans="1:8">
      <c r="A1321"/>
      <c r="B1321"/>
      <c r="C1321"/>
      <c r="E1321"/>
      <c r="F1321"/>
      <c r="G1321"/>
      <c r="H1321"/>
    </row>
    <row r="1322" spans="1:8">
      <c r="A1322"/>
      <c r="B1322"/>
      <c r="C1322"/>
      <c r="E1322"/>
      <c r="F1322"/>
      <c r="G1322"/>
      <c r="H1322"/>
    </row>
    <row r="1323" spans="1:8">
      <c r="A1323"/>
      <c r="B1323"/>
      <c r="C1323"/>
      <c r="E1323"/>
      <c r="F1323"/>
      <c r="G1323"/>
      <c r="H1323"/>
    </row>
    <row r="1324" spans="1:8">
      <c r="A1324"/>
      <c r="B1324"/>
      <c r="C1324"/>
      <c r="E1324"/>
      <c r="F1324"/>
      <c r="G1324"/>
      <c r="H1324"/>
    </row>
    <row r="1325" spans="1:8">
      <c r="A1325"/>
      <c r="B1325"/>
      <c r="C1325"/>
      <c r="E1325"/>
      <c r="F1325"/>
      <c r="G1325"/>
      <c r="H1325"/>
    </row>
    <row r="1326" spans="1:8">
      <c r="A1326"/>
      <c r="B1326"/>
      <c r="C1326"/>
      <c r="E1326"/>
      <c r="F1326"/>
      <c r="G1326"/>
      <c r="H1326"/>
    </row>
    <row r="1327" spans="1:8">
      <c r="A1327"/>
      <c r="B1327"/>
      <c r="C1327"/>
      <c r="E1327"/>
      <c r="F1327"/>
      <c r="G1327"/>
      <c r="H1327"/>
    </row>
    <row r="1328" spans="1:8">
      <c r="A1328"/>
      <c r="B1328"/>
      <c r="C1328"/>
      <c r="E1328"/>
      <c r="F1328"/>
      <c r="G1328"/>
      <c r="H1328"/>
    </row>
    <row r="1329" spans="1:8">
      <c r="A1329"/>
      <c r="B1329"/>
      <c r="C1329"/>
      <c r="E1329"/>
      <c r="F1329"/>
      <c r="G1329"/>
      <c r="H1329"/>
    </row>
    <row r="1330" spans="1:8">
      <c r="A1330"/>
      <c r="B1330"/>
      <c r="C1330"/>
      <c r="E1330"/>
      <c r="F1330"/>
      <c r="G1330"/>
      <c r="H1330"/>
    </row>
    <row r="1331" spans="1:8">
      <c r="A1331"/>
      <c r="B1331"/>
      <c r="C1331"/>
      <c r="E1331"/>
      <c r="F1331"/>
      <c r="G1331"/>
      <c r="H1331"/>
    </row>
    <row r="1332" spans="1:8">
      <c r="A1332"/>
      <c r="B1332"/>
      <c r="C1332"/>
      <c r="E1332"/>
      <c r="F1332"/>
      <c r="G1332"/>
      <c r="H1332"/>
    </row>
    <row r="1333" spans="1:8">
      <c r="A1333"/>
      <c r="B1333"/>
      <c r="C1333"/>
      <c r="E1333"/>
      <c r="F1333"/>
      <c r="G1333"/>
      <c r="H1333"/>
    </row>
    <row r="1334" spans="1:8">
      <c r="A1334"/>
      <c r="B1334"/>
      <c r="C1334"/>
      <c r="E1334"/>
      <c r="F1334"/>
      <c r="G1334"/>
      <c r="H1334"/>
    </row>
    <row r="1335" spans="1:8">
      <c r="A1335"/>
      <c r="B1335"/>
      <c r="C1335"/>
      <c r="E1335"/>
      <c r="F1335"/>
      <c r="G1335"/>
      <c r="H1335"/>
    </row>
    <row r="1336" spans="1:8">
      <c r="A1336"/>
      <c r="B1336"/>
      <c r="C1336"/>
      <c r="E1336"/>
      <c r="F1336"/>
      <c r="G1336"/>
      <c r="H1336"/>
    </row>
    <row r="1337" spans="1:8">
      <c r="A1337"/>
      <c r="B1337"/>
      <c r="C1337"/>
      <c r="E1337"/>
      <c r="F1337"/>
      <c r="G1337"/>
      <c r="H1337"/>
    </row>
    <row r="1338" spans="1:8">
      <c r="A1338"/>
      <c r="B1338"/>
      <c r="C1338"/>
      <c r="E1338"/>
      <c r="F1338"/>
      <c r="G1338"/>
      <c r="H1338"/>
    </row>
    <row r="1339" spans="1:8">
      <c r="A1339"/>
      <c r="B1339"/>
      <c r="C1339"/>
      <c r="E1339"/>
      <c r="F1339"/>
      <c r="G1339"/>
      <c r="H1339"/>
    </row>
    <row r="1340" spans="1:8">
      <c r="A1340"/>
      <c r="B1340"/>
      <c r="C1340"/>
      <c r="E1340"/>
      <c r="F1340"/>
      <c r="G1340"/>
      <c r="H1340"/>
    </row>
    <row r="1341" spans="1:8">
      <c r="A1341"/>
      <c r="B1341"/>
      <c r="C1341"/>
      <c r="E1341"/>
      <c r="F1341"/>
      <c r="G1341"/>
      <c r="H1341"/>
    </row>
    <row r="1342" spans="1:8">
      <c r="A1342"/>
      <c r="B1342"/>
      <c r="C1342"/>
      <c r="E1342"/>
      <c r="F1342"/>
      <c r="G1342"/>
      <c r="H1342"/>
    </row>
    <row r="1343" spans="1:8">
      <c r="A1343"/>
      <c r="B1343"/>
      <c r="C1343"/>
      <c r="E1343"/>
      <c r="F1343"/>
      <c r="G1343"/>
      <c r="H1343"/>
    </row>
    <row r="1344" spans="1:8">
      <c r="A1344"/>
      <c r="B1344"/>
      <c r="C1344"/>
      <c r="E1344"/>
      <c r="F1344"/>
      <c r="G1344"/>
      <c r="H1344"/>
    </row>
    <row r="1345" spans="1:8">
      <c r="A1345"/>
      <c r="B1345"/>
      <c r="C1345"/>
      <c r="E1345"/>
      <c r="F1345"/>
      <c r="G1345"/>
      <c r="H1345"/>
    </row>
    <row r="1346" spans="1:8">
      <c r="A1346"/>
      <c r="B1346"/>
      <c r="C1346"/>
      <c r="E1346"/>
      <c r="F1346"/>
      <c r="G1346"/>
      <c r="H1346"/>
    </row>
    <row r="1347" spans="1:8">
      <c r="A1347"/>
      <c r="B1347"/>
      <c r="C1347"/>
      <c r="E1347"/>
      <c r="F1347"/>
      <c r="G1347"/>
      <c r="H1347"/>
    </row>
    <row r="1348" spans="1:8">
      <c r="A1348"/>
      <c r="B1348"/>
      <c r="C1348"/>
      <c r="E1348"/>
      <c r="F1348"/>
      <c r="G1348"/>
      <c r="H1348"/>
    </row>
    <row r="1349" spans="1:8">
      <c r="A1349"/>
      <c r="B1349"/>
      <c r="C1349"/>
      <c r="E1349"/>
      <c r="F1349"/>
      <c r="G1349"/>
      <c r="H1349"/>
    </row>
    <row r="1350" spans="1:8">
      <c r="A1350"/>
      <c r="B1350"/>
      <c r="C1350"/>
      <c r="E1350"/>
      <c r="F1350"/>
      <c r="G1350"/>
      <c r="H1350"/>
    </row>
    <row r="1351" spans="1:8">
      <c r="A1351"/>
      <c r="B1351"/>
      <c r="C1351"/>
      <c r="E1351"/>
      <c r="F1351"/>
      <c r="G1351"/>
      <c r="H1351"/>
    </row>
    <row r="1352" spans="1:8">
      <c r="A1352"/>
      <c r="B1352"/>
      <c r="C1352"/>
      <c r="E1352"/>
      <c r="F1352"/>
      <c r="G1352"/>
      <c r="H1352"/>
    </row>
    <row r="1353" spans="1:8">
      <c r="A1353"/>
      <c r="B1353"/>
      <c r="C1353"/>
      <c r="E1353"/>
      <c r="F1353"/>
      <c r="G1353"/>
      <c r="H1353"/>
    </row>
    <row r="1354" spans="1:8">
      <c r="A1354"/>
      <c r="B1354"/>
      <c r="C1354"/>
      <c r="E1354"/>
      <c r="F1354"/>
      <c r="G1354"/>
      <c r="H1354"/>
    </row>
    <row r="1355" spans="1:8">
      <c r="A1355"/>
      <c r="B1355"/>
      <c r="C1355"/>
      <c r="E1355"/>
      <c r="F1355"/>
      <c r="G1355"/>
      <c r="H1355"/>
    </row>
    <row r="1356" spans="1:8">
      <c r="A1356"/>
      <c r="B1356"/>
      <c r="C1356"/>
      <c r="E1356"/>
      <c r="F1356"/>
      <c r="G1356"/>
      <c r="H1356"/>
    </row>
    <row r="1357" spans="1:8">
      <c r="A1357"/>
      <c r="B1357"/>
      <c r="C1357"/>
      <c r="E1357"/>
      <c r="F1357"/>
      <c r="G1357"/>
      <c r="H1357"/>
    </row>
    <row r="1358" spans="1:8">
      <c r="A1358"/>
      <c r="B1358"/>
      <c r="C1358"/>
      <c r="E1358"/>
      <c r="F1358"/>
      <c r="G1358"/>
      <c r="H1358"/>
    </row>
    <row r="1359" spans="1:8">
      <c r="A1359"/>
      <c r="B1359"/>
      <c r="C1359"/>
      <c r="E1359"/>
      <c r="F1359"/>
      <c r="G1359"/>
      <c r="H1359"/>
    </row>
    <row r="1360" spans="1:8">
      <c r="A1360"/>
      <c r="B1360"/>
      <c r="C1360"/>
      <c r="E1360"/>
      <c r="F1360"/>
      <c r="G1360"/>
      <c r="H1360"/>
    </row>
    <row r="1361" spans="1:8">
      <c r="A1361"/>
      <c r="B1361"/>
      <c r="C1361"/>
      <c r="E1361"/>
      <c r="F1361"/>
      <c r="G1361"/>
      <c r="H1361"/>
    </row>
    <row r="1362" spans="1:8">
      <c r="A1362"/>
      <c r="B1362"/>
      <c r="C1362"/>
      <c r="E1362"/>
      <c r="F1362"/>
      <c r="G1362"/>
      <c r="H1362"/>
    </row>
    <row r="1363" spans="1:8">
      <c r="A1363"/>
      <c r="B1363"/>
      <c r="C1363"/>
      <c r="E1363"/>
      <c r="F1363"/>
      <c r="G1363"/>
      <c r="H1363"/>
    </row>
    <row r="1364" spans="1:8">
      <c r="A1364"/>
      <c r="B1364"/>
      <c r="C1364"/>
      <c r="E1364"/>
      <c r="F1364"/>
      <c r="G1364"/>
      <c r="H1364"/>
    </row>
    <row r="1365" spans="1:8">
      <c r="A1365"/>
      <c r="B1365"/>
      <c r="C1365"/>
      <c r="E1365"/>
      <c r="F1365"/>
      <c r="G1365"/>
      <c r="H1365"/>
    </row>
    <row r="1366" spans="1:8">
      <c r="A1366"/>
      <c r="B1366"/>
      <c r="C1366"/>
      <c r="E1366"/>
      <c r="F1366"/>
      <c r="G1366"/>
      <c r="H1366"/>
    </row>
    <row r="1367" spans="1:8">
      <c r="A1367"/>
      <c r="B1367"/>
      <c r="C1367"/>
      <c r="E1367"/>
      <c r="F1367"/>
      <c r="G1367"/>
      <c r="H1367"/>
    </row>
    <row r="1368" spans="1:8">
      <c r="A1368"/>
      <c r="B1368"/>
      <c r="C1368"/>
      <c r="E1368"/>
      <c r="F1368"/>
      <c r="G1368"/>
      <c r="H1368"/>
    </row>
    <row r="1369" spans="1:8">
      <c r="A1369"/>
      <c r="B1369"/>
      <c r="C1369"/>
      <c r="E1369"/>
      <c r="F1369"/>
      <c r="G1369"/>
      <c r="H1369"/>
    </row>
    <row r="1370" spans="1:8">
      <c r="A1370"/>
      <c r="B1370"/>
      <c r="C1370"/>
      <c r="E1370"/>
      <c r="F1370"/>
      <c r="G1370"/>
      <c r="H1370"/>
    </row>
    <row r="1371" spans="1:8">
      <c r="A1371"/>
      <c r="B1371"/>
      <c r="C1371"/>
      <c r="E1371"/>
      <c r="F1371"/>
      <c r="G1371"/>
      <c r="H1371"/>
    </row>
    <row r="1372" spans="1:8">
      <c r="A1372"/>
      <c r="B1372"/>
      <c r="C1372"/>
      <c r="E1372"/>
      <c r="F1372"/>
      <c r="G1372"/>
      <c r="H1372"/>
    </row>
    <row r="1373" spans="1:8">
      <c r="A1373"/>
      <c r="B1373"/>
      <c r="C1373"/>
      <c r="E1373"/>
      <c r="F1373"/>
      <c r="G1373"/>
      <c r="H1373"/>
    </row>
    <row r="1374" spans="1:8">
      <c r="A1374"/>
      <c r="B1374"/>
      <c r="C1374"/>
      <c r="E1374"/>
      <c r="F1374"/>
      <c r="G1374"/>
      <c r="H1374"/>
    </row>
    <row r="1375" spans="1:8">
      <c r="A1375"/>
      <c r="B1375"/>
      <c r="C1375"/>
      <c r="E1375"/>
      <c r="F1375"/>
      <c r="G1375"/>
      <c r="H1375"/>
    </row>
    <row r="1376" spans="1:8">
      <c r="A1376"/>
      <c r="B1376"/>
      <c r="C1376"/>
      <c r="E1376"/>
      <c r="F1376"/>
      <c r="G1376"/>
      <c r="H1376"/>
    </row>
    <row r="1377" spans="1:8">
      <c r="A1377"/>
      <c r="B1377"/>
      <c r="C1377"/>
      <c r="E1377"/>
      <c r="F1377"/>
      <c r="G1377"/>
      <c r="H1377"/>
    </row>
    <row r="1378" spans="1:8">
      <c r="A1378"/>
      <c r="B1378"/>
      <c r="C1378"/>
      <c r="E1378"/>
      <c r="F1378"/>
      <c r="G1378"/>
      <c r="H1378"/>
    </row>
    <row r="1379" spans="1:8">
      <c r="A1379"/>
      <c r="B1379"/>
      <c r="C1379"/>
      <c r="E1379"/>
      <c r="F1379"/>
      <c r="G1379"/>
      <c r="H1379"/>
    </row>
    <row r="1380" spans="1:8">
      <c r="A1380"/>
      <c r="B1380"/>
      <c r="C1380"/>
      <c r="E1380"/>
      <c r="F1380"/>
      <c r="G1380"/>
      <c r="H1380"/>
    </row>
    <row r="1381" spans="1:8">
      <c r="A1381"/>
      <c r="B1381"/>
      <c r="C1381"/>
      <c r="E1381"/>
      <c r="F1381"/>
      <c r="G1381"/>
      <c r="H1381"/>
    </row>
    <row r="1382" spans="1:8">
      <c r="A1382"/>
      <c r="B1382"/>
      <c r="C1382"/>
      <c r="E1382"/>
      <c r="F1382"/>
      <c r="G1382"/>
      <c r="H1382"/>
    </row>
    <row r="1383" spans="1:8">
      <c r="A1383"/>
      <c r="B1383"/>
      <c r="C1383"/>
      <c r="E1383"/>
      <c r="F1383"/>
      <c r="G1383"/>
      <c r="H1383"/>
    </row>
    <row r="1384" spans="1:8">
      <c r="A1384"/>
      <c r="B1384"/>
      <c r="C1384"/>
      <c r="E1384"/>
      <c r="F1384"/>
      <c r="G1384"/>
      <c r="H1384"/>
    </row>
    <row r="1385" spans="1:8">
      <c r="A1385"/>
      <c r="B1385"/>
      <c r="C1385"/>
      <c r="E1385"/>
      <c r="F1385"/>
      <c r="G1385"/>
      <c r="H1385"/>
    </row>
    <row r="1386" spans="1:8">
      <c r="A1386"/>
      <c r="B1386"/>
      <c r="C1386"/>
      <c r="E1386"/>
      <c r="F1386"/>
      <c r="G1386"/>
      <c r="H1386"/>
    </row>
    <row r="1387" spans="1:8">
      <c r="A1387"/>
      <c r="B1387"/>
      <c r="C1387"/>
      <c r="E1387"/>
      <c r="F1387"/>
      <c r="G1387"/>
      <c r="H1387"/>
    </row>
    <row r="1388" spans="1:8">
      <c r="A1388"/>
      <c r="B1388"/>
      <c r="C1388"/>
      <c r="E1388"/>
      <c r="F1388"/>
      <c r="G1388"/>
      <c r="H1388"/>
    </row>
    <row r="1389" spans="1:8">
      <c r="A1389"/>
      <c r="B1389"/>
      <c r="C1389"/>
      <c r="E1389"/>
      <c r="F1389"/>
      <c r="G1389"/>
      <c r="H1389"/>
    </row>
    <row r="1390" spans="1:8">
      <c r="A1390"/>
      <c r="B1390"/>
      <c r="C1390"/>
      <c r="E1390"/>
      <c r="F1390"/>
      <c r="G1390"/>
      <c r="H1390"/>
    </row>
    <row r="1391" spans="1:8">
      <c r="A1391"/>
      <c r="B1391"/>
      <c r="C1391"/>
      <c r="E1391"/>
      <c r="F1391"/>
      <c r="G1391"/>
      <c r="H1391"/>
    </row>
    <row r="1392" spans="1:8">
      <c r="A1392"/>
      <c r="B1392"/>
      <c r="C1392"/>
      <c r="E1392"/>
      <c r="F1392"/>
      <c r="G1392"/>
      <c r="H1392"/>
    </row>
    <row r="1393" spans="1:8">
      <c r="A1393"/>
      <c r="B1393"/>
      <c r="C1393"/>
      <c r="E1393"/>
      <c r="F1393"/>
      <c r="G1393"/>
      <c r="H1393"/>
    </row>
    <row r="1394" spans="1:8">
      <c r="A1394"/>
      <c r="B1394"/>
      <c r="C1394"/>
      <c r="E1394"/>
      <c r="F1394"/>
      <c r="G1394"/>
      <c r="H1394"/>
    </row>
    <row r="1395" spans="1:8">
      <c r="A1395"/>
      <c r="B1395"/>
      <c r="C1395"/>
      <c r="E1395"/>
      <c r="F1395"/>
      <c r="G1395"/>
      <c r="H1395"/>
    </row>
    <row r="1396" spans="1:8">
      <c r="A1396"/>
      <c r="B1396"/>
      <c r="C1396"/>
      <c r="E1396"/>
      <c r="F1396"/>
      <c r="G1396"/>
      <c r="H1396"/>
    </row>
    <row r="1397" spans="1:8">
      <c r="A1397"/>
      <c r="B1397"/>
      <c r="C1397"/>
      <c r="E1397"/>
      <c r="F1397"/>
      <c r="G1397"/>
      <c r="H1397"/>
    </row>
    <row r="1398" spans="1:8">
      <c r="A1398"/>
      <c r="B1398"/>
      <c r="C1398"/>
      <c r="E1398"/>
      <c r="F1398"/>
      <c r="G1398"/>
      <c r="H1398"/>
    </row>
    <row r="1399" spans="1:8">
      <c r="A1399"/>
      <c r="B1399"/>
      <c r="C1399"/>
      <c r="E1399"/>
      <c r="F1399"/>
      <c r="G1399"/>
      <c r="H1399"/>
    </row>
    <row r="1400" spans="1:8">
      <c r="A1400"/>
      <c r="B1400"/>
      <c r="C1400"/>
      <c r="E1400"/>
      <c r="F1400"/>
      <c r="G1400"/>
      <c r="H1400"/>
    </row>
    <row r="1401" spans="1:8">
      <c r="A1401"/>
      <c r="B1401"/>
      <c r="C1401"/>
      <c r="E1401"/>
      <c r="F1401"/>
      <c r="G1401"/>
      <c r="H1401"/>
    </row>
    <row r="1402" spans="1:8">
      <c r="A1402"/>
      <c r="B1402"/>
      <c r="C1402"/>
      <c r="E1402"/>
      <c r="F1402"/>
      <c r="G1402"/>
      <c r="H1402"/>
    </row>
    <row r="1403" spans="1:8">
      <c r="A1403"/>
      <c r="B1403"/>
      <c r="C1403"/>
      <c r="E1403"/>
      <c r="F1403"/>
      <c r="G1403"/>
      <c r="H1403"/>
    </row>
    <row r="1404" spans="1:8">
      <c r="A1404"/>
      <c r="B1404"/>
      <c r="C1404"/>
      <c r="E1404"/>
      <c r="F1404"/>
      <c r="G1404"/>
      <c r="H1404"/>
    </row>
    <row r="1405" spans="1:8">
      <c r="A1405"/>
      <c r="B1405"/>
      <c r="C1405"/>
      <c r="E1405"/>
      <c r="F1405"/>
      <c r="G1405"/>
      <c r="H1405"/>
    </row>
    <row r="1406" spans="1:8">
      <c r="A1406"/>
      <c r="B1406"/>
      <c r="C1406"/>
      <c r="E1406"/>
      <c r="F1406"/>
      <c r="G1406"/>
      <c r="H1406"/>
    </row>
    <row r="1407" spans="1:8">
      <c r="A1407"/>
      <c r="B1407"/>
      <c r="C1407"/>
      <c r="E1407"/>
      <c r="F1407"/>
      <c r="G1407"/>
      <c r="H1407"/>
    </row>
    <row r="1408" spans="1:8">
      <c r="A1408"/>
      <c r="B1408"/>
      <c r="C1408"/>
      <c r="E1408"/>
      <c r="F1408"/>
      <c r="G1408"/>
      <c r="H1408"/>
    </row>
    <row r="1409" spans="1:8">
      <c r="A1409"/>
      <c r="B1409"/>
      <c r="C1409"/>
      <c r="E1409"/>
      <c r="F1409"/>
      <c r="G1409"/>
      <c r="H1409"/>
    </row>
    <row r="1410" spans="1:8">
      <c r="A1410"/>
      <c r="B1410"/>
      <c r="C1410"/>
      <c r="E1410"/>
      <c r="F1410"/>
      <c r="G1410"/>
      <c r="H1410"/>
    </row>
    <row r="1411" spans="1:8">
      <c r="A1411"/>
      <c r="B1411"/>
      <c r="C1411"/>
      <c r="E1411"/>
      <c r="F1411"/>
      <c r="G1411"/>
      <c r="H1411"/>
    </row>
    <row r="1412" spans="1:8">
      <c r="A1412"/>
      <c r="B1412"/>
      <c r="C1412"/>
      <c r="E1412"/>
      <c r="F1412"/>
      <c r="G1412"/>
      <c r="H1412"/>
    </row>
    <row r="1413" spans="1:8">
      <c r="A1413"/>
      <c r="B1413"/>
      <c r="C1413"/>
      <c r="E1413"/>
      <c r="F1413"/>
      <c r="G1413"/>
      <c r="H1413"/>
    </row>
    <row r="1414" spans="1:8">
      <c r="A1414"/>
      <c r="B1414"/>
      <c r="C1414"/>
      <c r="E1414"/>
      <c r="F1414"/>
      <c r="G1414"/>
      <c r="H1414"/>
    </row>
    <row r="1415" spans="1:8">
      <c r="A1415"/>
      <c r="B1415"/>
      <c r="C1415"/>
      <c r="E1415"/>
      <c r="F1415"/>
      <c r="G1415"/>
      <c r="H1415"/>
    </row>
    <row r="1416" spans="1:8">
      <c r="A1416"/>
      <c r="B1416"/>
      <c r="C1416"/>
      <c r="E1416"/>
      <c r="F1416"/>
      <c r="G1416"/>
      <c r="H1416"/>
    </row>
    <row r="1417" spans="1:8">
      <c r="A1417"/>
      <c r="B1417"/>
      <c r="C1417"/>
      <c r="E1417"/>
      <c r="F1417"/>
      <c r="G1417"/>
      <c r="H1417"/>
    </row>
    <row r="1418" spans="1:8">
      <c r="A1418"/>
      <c r="B1418"/>
      <c r="C1418"/>
      <c r="E1418"/>
      <c r="F1418"/>
      <c r="G1418"/>
      <c r="H1418"/>
    </row>
    <row r="1419" spans="1:8">
      <c r="A1419"/>
      <c r="B1419"/>
      <c r="C1419"/>
      <c r="E1419"/>
      <c r="F1419"/>
      <c r="G1419"/>
      <c r="H1419"/>
    </row>
    <row r="1420" spans="1:8">
      <c r="A1420"/>
      <c r="B1420"/>
      <c r="C1420"/>
      <c r="E1420"/>
      <c r="F1420"/>
      <c r="G1420"/>
      <c r="H1420"/>
    </row>
    <row r="1421" spans="1:8">
      <c r="A1421"/>
      <c r="B1421"/>
      <c r="C1421"/>
      <c r="E1421"/>
      <c r="F1421"/>
      <c r="G1421"/>
      <c r="H1421"/>
    </row>
    <row r="1422" spans="1:8">
      <c r="A1422"/>
      <c r="B1422"/>
      <c r="C1422"/>
      <c r="E1422"/>
      <c r="F1422"/>
      <c r="G1422"/>
      <c r="H1422"/>
    </row>
    <row r="1423" spans="1:8">
      <c r="A1423"/>
      <c r="B1423"/>
      <c r="C1423"/>
      <c r="E1423"/>
      <c r="F1423"/>
      <c r="G1423"/>
      <c r="H1423"/>
    </row>
    <row r="1424" spans="1:8">
      <c r="A1424"/>
      <c r="B1424"/>
      <c r="C1424"/>
      <c r="E1424"/>
      <c r="F1424"/>
      <c r="G1424"/>
      <c r="H1424"/>
    </row>
    <row r="1425" spans="1:8">
      <c r="A1425"/>
      <c r="B1425"/>
      <c r="C1425"/>
      <c r="E1425"/>
      <c r="F1425"/>
      <c r="G1425"/>
      <c r="H1425"/>
    </row>
    <row r="1426" spans="1:8">
      <c r="A1426"/>
      <c r="B1426"/>
      <c r="C1426"/>
      <c r="E1426"/>
      <c r="F1426"/>
      <c r="G1426"/>
      <c r="H1426"/>
    </row>
    <row r="1427" spans="1:8">
      <c r="A1427"/>
      <c r="B1427"/>
      <c r="C1427"/>
      <c r="E1427"/>
      <c r="F1427"/>
      <c r="G1427"/>
      <c r="H1427"/>
    </row>
    <row r="1428" spans="1:8">
      <c r="A1428"/>
      <c r="B1428"/>
      <c r="C1428"/>
      <c r="E1428"/>
      <c r="F1428"/>
      <c r="G1428"/>
      <c r="H1428"/>
    </row>
    <row r="1429" spans="1:8">
      <c r="A1429"/>
      <c r="B1429"/>
      <c r="C1429"/>
      <c r="E1429"/>
      <c r="F1429"/>
      <c r="G1429"/>
      <c r="H1429"/>
    </row>
    <row r="1430" spans="1:8">
      <c r="A1430"/>
      <c r="B1430"/>
      <c r="C1430"/>
      <c r="E1430"/>
      <c r="F1430"/>
      <c r="G1430"/>
      <c r="H1430"/>
    </row>
    <row r="1431" spans="1:8">
      <c r="A1431"/>
      <c r="B1431"/>
      <c r="C1431"/>
      <c r="E1431"/>
      <c r="F1431"/>
      <c r="G1431"/>
      <c r="H1431"/>
    </row>
    <row r="1432" spans="1:8">
      <c r="A1432"/>
      <c r="B1432"/>
      <c r="C1432"/>
      <c r="E1432"/>
      <c r="F1432"/>
      <c r="G1432"/>
      <c r="H1432"/>
    </row>
    <row r="1433" spans="1:8">
      <c r="A1433"/>
      <c r="B1433"/>
      <c r="C1433"/>
      <c r="E1433"/>
      <c r="F1433"/>
      <c r="G1433"/>
      <c r="H1433"/>
    </row>
    <row r="1434" spans="1:8">
      <c r="A1434"/>
      <c r="B1434"/>
      <c r="C1434"/>
      <c r="E1434"/>
      <c r="F1434"/>
      <c r="G1434"/>
      <c r="H1434"/>
    </row>
    <row r="1435" spans="1:8">
      <c r="A1435"/>
      <c r="B1435"/>
      <c r="C1435"/>
      <c r="E1435"/>
      <c r="F1435"/>
      <c r="G1435"/>
      <c r="H1435"/>
    </row>
    <row r="1436" spans="1:8">
      <c r="A1436"/>
      <c r="B1436"/>
      <c r="C1436"/>
      <c r="E1436"/>
      <c r="F1436"/>
      <c r="G1436"/>
      <c r="H1436"/>
    </row>
    <row r="1437" spans="1:8">
      <c r="A1437"/>
      <c r="B1437"/>
      <c r="C1437"/>
      <c r="E1437"/>
      <c r="F1437"/>
      <c r="G1437"/>
      <c r="H1437"/>
    </row>
    <row r="1438" spans="1:8">
      <c r="A1438"/>
      <c r="B1438"/>
      <c r="C1438"/>
      <c r="E1438"/>
      <c r="F1438"/>
      <c r="G1438"/>
      <c r="H1438"/>
    </row>
    <row r="1439" spans="1:8">
      <c r="A1439"/>
      <c r="B1439"/>
      <c r="C1439"/>
      <c r="E1439"/>
      <c r="F1439"/>
      <c r="G1439"/>
      <c r="H1439"/>
    </row>
    <row r="1440" spans="1:8">
      <c r="A1440"/>
      <c r="B1440"/>
      <c r="C1440"/>
      <c r="E1440"/>
      <c r="F1440"/>
      <c r="G1440"/>
      <c r="H1440"/>
    </row>
    <row r="1441" spans="1:8">
      <c r="A1441"/>
      <c r="B1441"/>
      <c r="C1441"/>
      <c r="E1441"/>
      <c r="F1441"/>
      <c r="G1441"/>
      <c r="H1441"/>
    </row>
    <row r="1442" spans="1:8">
      <c r="A1442"/>
      <c r="B1442"/>
      <c r="C1442"/>
      <c r="E1442"/>
      <c r="F1442"/>
      <c r="G1442"/>
      <c r="H1442"/>
    </row>
    <row r="1443" spans="1:8">
      <c r="A1443"/>
      <c r="B1443"/>
      <c r="C1443"/>
      <c r="E1443"/>
      <c r="F1443"/>
      <c r="G1443"/>
      <c r="H1443"/>
    </row>
    <row r="1444" spans="1:8">
      <c r="A1444"/>
      <c r="B1444"/>
      <c r="C1444"/>
      <c r="E1444"/>
      <c r="F1444"/>
      <c r="G1444"/>
      <c r="H1444"/>
    </row>
    <row r="1445" spans="1:8">
      <c r="A1445"/>
      <c r="B1445"/>
      <c r="C1445"/>
      <c r="E1445"/>
      <c r="F1445"/>
      <c r="G1445"/>
      <c r="H1445"/>
    </row>
    <row r="1446" spans="1:8">
      <c r="A1446"/>
      <c r="B1446"/>
      <c r="C1446"/>
      <c r="E1446"/>
      <c r="F1446"/>
      <c r="G1446"/>
      <c r="H1446"/>
    </row>
    <row r="1447" spans="1:8">
      <c r="A1447"/>
      <c r="B1447"/>
      <c r="C1447"/>
      <c r="E1447"/>
      <c r="F1447"/>
      <c r="G1447"/>
      <c r="H1447"/>
    </row>
    <row r="1448" spans="1:8">
      <c r="A1448"/>
      <c r="B1448"/>
      <c r="C1448"/>
      <c r="E1448"/>
      <c r="F1448"/>
      <c r="G1448"/>
      <c r="H1448"/>
    </row>
    <row r="1449" spans="1:8">
      <c r="A1449"/>
      <c r="B1449"/>
      <c r="C1449"/>
      <c r="E1449"/>
      <c r="F1449"/>
      <c r="G1449"/>
      <c r="H1449"/>
    </row>
    <row r="1450" spans="1:8">
      <c r="A1450"/>
      <c r="B1450"/>
      <c r="C1450"/>
      <c r="E1450"/>
      <c r="F1450"/>
      <c r="G1450"/>
      <c r="H1450"/>
    </row>
    <row r="1451" spans="1:8">
      <c r="A1451"/>
      <c r="B1451"/>
      <c r="C1451"/>
      <c r="E1451"/>
      <c r="F1451"/>
      <c r="G1451"/>
      <c r="H1451"/>
    </row>
    <row r="1452" spans="1:8">
      <c r="A1452"/>
      <c r="B1452"/>
      <c r="C1452"/>
      <c r="E1452"/>
      <c r="F1452"/>
      <c r="G1452"/>
      <c r="H1452"/>
    </row>
    <row r="1453" spans="1:8">
      <c r="A1453"/>
      <c r="B1453"/>
      <c r="C1453"/>
      <c r="E1453"/>
      <c r="F1453"/>
      <c r="G1453"/>
      <c r="H1453"/>
    </row>
    <row r="1454" spans="1:8">
      <c r="A1454"/>
      <c r="B1454"/>
      <c r="C1454"/>
      <c r="E1454"/>
      <c r="F1454"/>
      <c r="G1454"/>
      <c r="H1454"/>
    </row>
    <row r="1455" spans="1:8">
      <c r="A1455"/>
      <c r="B1455"/>
      <c r="C1455"/>
      <c r="E1455"/>
      <c r="F1455"/>
      <c r="G1455"/>
      <c r="H1455"/>
    </row>
    <row r="1456" spans="1:8">
      <c r="A1456"/>
      <c r="B1456"/>
      <c r="C1456"/>
      <c r="E1456"/>
      <c r="F1456"/>
      <c r="G1456"/>
      <c r="H1456"/>
    </row>
    <row r="1457" spans="1:8">
      <c r="A1457"/>
      <c r="B1457"/>
      <c r="C1457"/>
      <c r="E1457"/>
      <c r="F1457"/>
      <c r="G1457"/>
      <c r="H1457"/>
    </row>
    <row r="1458" spans="1:8">
      <c r="A1458"/>
      <c r="B1458"/>
      <c r="C1458"/>
      <c r="E1458"/>
      <c r="F1458"/>
      <c r="G1458"/>
      <c r="H1458"/>
    </row>
    <row r="1459" spans="1:8">
      <c r="A1459"/>
      <c r="B1459"/>
      <c r="C1459"/>
      <c r="E1459"/>
      <c r="F1459"/>
      <c r="G1459"/>
      <c r="H1459"/>
    </row>
    <row r="1460" spans="1:8">
      <c r="A1460"/>
      <c r="B1460"/>
      <c r="C1460"/>
      <c r="E1460"/>
      <c r="F1460"/>
      <c r="G1460"/>
      <c r="H1460"/>
    </row>
    <row r="1461" spans="1:8">
      <c r="A1461"/>
      <c r="B1461"/>
      <c r="C1461"/>
      <c r="E1461"/>
      <c r="F1461"/>
      <c r="G1461"/>
      <c r="H1461"/>
    </row>
    <row r="1462" spans="1:8">
      <c r="A1462"/>
      <c r="B1462"/>
      <c r="C1462"/>
      <c r="E1462"/>
      <c r="F1462"/>
      <c r="G1462"/>
      <c r="H1462"/>
    </row>
    <row r="1463" spans="1:8">
      <c r="A1463"/>
      <c r="B1463"/>
      <c r="C1463"/>
      <c r="E1463"/>
      <c r="F1463"/>
      <c r="G1463"/>
      <c r="H1463"/>
    </row>
    <row r="1464" spans="1:8">
      <c r="A1464"/>
      <c r="B1464"/>
      <c r="C1464"/>
      <c r="E1464"/>
      <c r="F1464"/>
      <c r="G1464"/>
      <c r="H1464"/>
    </row>
    <row r="1465" spans="1:8">
      <c r="A1465"/>
      <c r="B1465"/>
      <c r="C1465"/>
      <c r="E1465"/>
      <c r="F1465"/>
      <c r="G1465"/>
      <c r="H1465"/>
    </row>
    <row r="1466" spans="1:8">
      <c r="A1466"/>
      <c r="B1466"/>
      <c r="C1466"/>
      <c r="E1466"/>
      <c r="F1466"/>
      <c r="G1466"/>
      <c r="H1466"/>
    </row>
    <row r="1467" spans="1:8">
      <c r="A1467"/>
      <c r="B1467"/>
      <c r="C1467"/>
      <c r="E1467"/>
      <c r="F1467"/>
      <c r="G1467"/>
      <c r="H1467"/>
    </row>
    <row r="1468" spans="1:8">
      <c r="A1468"/>
      <c r="B1468"/>
      <c r="C1468"/>
      <c r="E1468"/>
      <c r="F1468"/>
      <c r="G1468"/>
      <c r="H1468"/>
    </row>
    <row r="1469" spans="1:8">
      <c r="A1469"/>
      <c r="B1469"/>
      <c r="C1469"/>
      <c r="E1469"/>
      <c r="F1469"/>
      <c r="G1469"/>
      <c r="H1469"/>
    </row>
    <row r="1470" spans="1:8">
      <c r="A1470"/>
      <c r="B1470"/>
      <c r="C1470"/>
      <c r="E1470"/>
      <c r="F1470"/>
      <c r="G1470"/>
      <c r="H1470"/>
    </row>
    <row r="1471" spans="1:8">
      <c r="A1471"/>
      <c r="B1471"/>
      <c r="C1471"/>
      <c r="E1471"/>
      <c r="F1471"/>
      <c r="G1471"/>
      <c r="H1471"/>
    </row>
    <row r="1472" spans="1:8">
      <c r="A1472"/>
      <c r="B1472"/>
      <c r="C1472"/>
      <c r="E1472"/>
      <c r="F1472"/>
      <c r="G1472"/>
      <c r="H1472"/>
    </row>
    <row r="1473" spans="1:8">
      <c r="A1473"/>
      <c r="B1473"/>
      <c r="C1473"/>
      <c r="E1473"/>
      <c r="F1473"/>
      <c r="G1473"/>
      <c r="H1473"/>
    </row>
    <row r="1474" spans="1:8">
      <c r="A1474"/>
      <c r="B1474"/>
      <c r="C1474"/>
      <c r="E1474"/>
      <c r="F1474"/>
      <c r="G1474"/>
      <c r="H1474"/>
    </row>
    <row r="1475" spans="1:8">
      <c r="A1475"/>
      <c r="B1475"/>
      <c r="C1475"/>
      <c r="E1475"/>
      <c r="F1475"/>
      <c r="G1475"/>
      <c r="H1475"/>
    </row>
    <row r="1476" spans="1:8">
      <c r="A1476"/>
      <c r="B1476"/>
      <c r="C1476"/>
      <c r="E1476"/>
      <c r="F1476"/>
      <c r="G1476"/>
      <c r="H1476"/>
    </row>
    <row r="1477" spans="1:8">
      <c r="A1477"/>
      <c r="B1477"/>
      <c r="C1477"/>
      <c r="E1477"/>
      <c r="F1477"/>
      <c r="G1477"/>
      <c r="H1477"/>
    </row>
    <row r="1478" spans="1:8">
      <c r="A1478"/>
      <c r="B1478"/>
      <c r="C1478"/>
      <c r="E1478"/>
      <c r="F1478"/>
      <c r="G1478"/>
      <c r="H1478"/>
    </row>
    <row r="1479" spans="1:8">
      <c r="A1479"/>
      <c r="B1479"/>
      <c r="C1479"/>
      <c r="E1479"/>
      <c r="F1479"/>
      <c r="G1479"/>
      <c r="H1479"/>
    </row>
    <row r="1480" spans="1:8">
      <c r="A1480"/>
      <c r="B1480"/>
      <c r="C1480"/>
      <c r="E1480"/>
      <c r="F1480"/>
      <c r="G1480"/>
      <c r="H1480"/>
    </row>
    <row r="1481" spans="1:8">
      <c r="A1481"/>
      <c r="B1481"/>
      <c r="C1481"/>
      <c r="E1481"/>
      <c r="F1481"/>
      <c r="G1481"/>
      <c r="H1481"/>
    </row>
    <row r="1482" spans="1:8">
      <c r="A1482"/>
      <c r="B1482"/>
      <c r="C1482"/>
      <c r="E1482"/>
      <c r="F1482"/>
      <c r="G1482"/>
      <c r="H1482"/>
    </row>
    <row r="1483" spans="1:8">
      <c r="A1483"/>
      <c r="B1483"/>
      <c r="C1483"/>
      <c r="E1483"/>
      <c r="F1483"/>
      <c r="G1483"/>
      <c r="H1483"/>
    </row>
    <row r="1484" spans="1:8">
      <c r="A1484"/>
      <c r="B1484"/>
      <c r="C1484"/>
      <c r="E1484"/>
      <c r="F1484"/>
      <c r="G1484"/>
      <c r="H1484"/>
    </row>
    <row r="1485" spans="1:8">
      <c r="A1485"/>
      <c r="B1485"/>
      <c r="C1485"/>
      <c r="E1485"/>
      <c r="F1485"/>
      <c r="G1485"/>
      <c r="H1485"/>
    </row>
    <row r="1486" spans="1:8">
      <c r="A1486"/>
      <c r="B1486"/>
      <c r="C1486"/>
      <c r="E1486"/>
      <c r="F1486"/>
      <c r="G1486"/>
      <c r="H1486"/>
    </row>
    <row r="1487" spans="1:8">
      <c r="A1487"/>
      <c r="B1487"/>
      <c r="C1487"/>
      <c r="E1487"/>
      <c r="F1487"/>
      <c r="G1487"/>
      <c r="H1487"/>
    </row>
    <row r="1488" spans="1:8">
      <c r="A1488"/>
      <c r="B1488"/>
      <c r="C1488"/>
      <c r="E1488"/>
      <c r="F1488"/>
      <c r="G1488"/>
      <c r="H1488"/>
    </row>
    <row r="1489" spans="1:8">
      <c r="A1489"/>
      <c r="B1489"/>
      <c r="C1489"/>
      <c r="E1489"/>
      <c r="F1489"/>
      <c r="G1489"/>
      <c r="H1489"/>
    </row>
    <row r="1490" spans="1:8">
      <c r="A1490"/>
      <c r="B1490"/>
      <c r="C1490"/>
      <c r="E1490"/>
      <c r="F1490"/>
      <c r="G1490"/>
      <c r="H1490"/>
    </row>
    <row r="1491" spans="1:8">
      <c r="A1491"/>
      <c r="B1491"/>
      <c r="C1491"/>
      <c r="E1491"/>
      <c r="F1491"/>
      <c r="G1491"/>
      <c r="H1491"/>
    </row>
    <row r="1492" spans="1:8">
      <c r="A1492"/>
      <c r="B1492"/>
      <c r="C1492"/>
      <c r="E1492"/>
      <c r="F1492"/>
      <c r="G1492"/>
      <c r="H1492"/>
    </row>
    <row r="1493" spans="1:8">
      <c r="A1493"/>
      <c r="B1493"/>
      <c r="C1493"/>
      <c r="E1493"/>
      <c r="F1493"/>
      <c r="G1493"/>
      <c r="H1493"/>
    </row>
    <row r="1494" spans="1:8">
      <c r="A1494"/>
      <c r="B1494"/>
      <c r="C1494"/>
      <c r="E1494"/>
      <c r="F1494"/>
      <c r="G1494"/>
      <c r="H1494"/>
    </row>
    <row r="1495" spans="1:8">
      <c r="A1495"/>
      <c r="B1495"/>
      <c r="C1495"/>
      <c r="E1495"/>
      <c r="F1495"/>
      <c r="G1495"/>
      <c r="H1495"/>
    </row>
    <row r="1496" spans="1:8">
      <c r="A1496"/>
      <c r="B1496"/>
      <c r="C1496"/>
      <c r="E1496"/>
      <c r="F1496"/>
      <c r="G1496"/>
      <c r="H1496"/>
    </row>
    <row r="1497" spans="1:8">
      <c r="A1497"/>
      <c r="B1497"/>
      <c r="C1497"/>
      <c r="E1497"/>
      <c r="F1497"/>
      <c r="G1497"/>
      <c r="H1497"/>
    </row>
    <row r="1498" spans="1:8">
      <c r="A1498"/>
      <c r="B1498"/>
      <c r="C1498"/>
      <c r="E1498"/>
      <c r="F1498"/>
      <c r="G1498"/>
      <c r="H1498"/>
    </row>
    <row r="1499" spans="1:8">
      <c r="A1499"/>
      <c r="B1499"/>
      <c r="C1499"/>
      <c r="E1499"/>
      <c r="F1499"/>
      <c r="G1499"/>
      <c r="H1499"/>
    </row>
    <row r="1500" spans="1:8">
      <c r="A1500"/>
      <c r="B1500"/>
      <c r="C1500"/>
      <c r="E1500"/>
      <c r="F1500"/>
      <c r="G1500"/>
      <c r="H1500"/>
    </row>
    <row r="1501" spans="1:8">
      <c r="A1501"/>
      <c r="B1501"/>
      <c r="C1501"/>
      <c r="E1501"/>
      <c r="F1501"/>
      <c r="G1501"/>
      <c r="H1501"/>
    </row>
    <row r="1502" spans="1:8">
      <c r="A1502"/>
      <c r="B1502"/>
      <c r="C1502"/>
      <c r="E1502"/>
      <c r="F1502"/>
      <c r="G1502"/>
      <c r="H1502"/>
    </row>
    <row r="1503" spans="1:8">
      <c r="A1503"/>
      <c r="B1503"/>
      <c r="C1503"/>
      <c r="E1503"/>
      <c r="F1503"/>
      <c r="G1503"/>
      <c r="H1503"/>
    </row>
    <row r="1504" spans="1:8">
      <c r="A1504"/>
      <c r="B1504"/>
      <c r="C1504"/>
      <c r="E1504"/>
      <c r="F1504"/>
      <c r="G1504"/>
      <c r="H1504"/>
    </row>
    <row r="1505" spans="1:8">
      <c r="A1505"/>
      <c r="B1505"/>
      <c r="C1505"/>
      <c r="E1505"/>
      <c r="F1505"/>
      <c r="G1505"/>
      <c r="H1505"/>
    </row>
    <row r="1506" spans="1:8">
      <c r="A1506"/>
      <c r="B1506"/>
      <c r="C1506"/>
      <c r="E1506"/>
      <c r="F1506"/>
      <c r="G1506"/>
      <c r="H1506"/>
    </row>
    <row r="1507" spans="1:8">
      <c r="A1507"/>
      <c r="B1507"/>
      <c r="C1507"/>
      <c r="E1507"/>
      <c r="F1507"/>
      <c r="G1507"/>
      <c r="H1507"/>
    </row>
    <row r="1508" spans="1:8">
      <c r="A1508"/>
      <c r="B1508"/>
      <c r="C1508"/>
      <c r="E1508"/>
      <c r="F1508"/>
      <c r="G1508"/>
      <c r="H1508"/>
    </row>
    <row r="1509" spans="1:8">
      <c r="A1509"/>
      <c r="B1509"/>
      <c r="C1509"/>
      <c r="E1509"/>
      <c r="F1509"/>
      <c r="G1509"/>
      <c r="H1509"/>
    </row>
    <row r="1510" spans="1:8">
      <c r="A1510"/>
      <c r="B1510"/>
      <c r="C1510"/>
      <c r="E1510"/>
      <c r="F1510"/>
      <c r="G1510"/>
      <c r="H1510"/>
    </row>
    <row r="1511" spans="1:8">
      <c r="A1511"/>
      <c r="B1511"/>
      <c r="C1511"/>
      <c r="E1511"/>
      <c r="F1511"/>
      <c r="G1511"/>
      <c r="H1511"/>
    </row>
    <row r="1512" spans="1:8">
      <c r="A1512"/>
      <c r="B1512"/>
      <c r="C1512"/>
      <c r="E1512"/>
      <c r="F1512"/>
      <c r="G1512"/>
      <c r="H1512"/>
    </row>
    <row r="1513" spans="1:8">
      <c r="A1513"/>
      <c r="B1513"/>
      <c r="C1513"/>
      <c r="E1513"/>
      <c r="F1513"/>
      <c r="G1513"/>
      <c r="H1513"/>
    </row>
    <row r="1514" spans="1:8">
      <c r="A1514"/>
      <c r="B1514"/>
      <c r="C1514"/>
      <c r="E1514"/>
      <c r="F1514"/>
      <c r="G1514"/>
      <c r="H1514"/>
    </row>
    <row r="1515" spans="1:8">
      <c r="A1515"/>
      <c r="B1515"/>
      <c r="C1515"/>
      <c r="E1515"/>
      <c r="F1515"/>
      <c r="G1515"/>
      <c r="H1515"/>
    </row>
    <row r="1516" spans="1:8">
      <c r="A1516"/>
      <c r="B1516"/>
      <c r="C1516"/>
      <c r="E1516"/>
      <c r="F1516"/>
      <c r="G1516"/>
      <c r="H1516"/>
    </row>
    <row r="1517" spans="1:8">
      <c r="A1517"/>
      <c r="B1517"/>
      <c r="C1517"/>
      <c r="E1517"/>
      <c r="F1517"/>
      <c r="G1517"/>
      <c r="H1517"/>
    </row>
    <row r="1518" spans="1:8">
      <c r="A1518"/>
      <c r="B1518"/>
      <c r="C1518"/>
      <c r="E1518"/>
      <c r="F1518"/>
      <c r="G1518"/>
      <c r="H1518"/>
    </row>
    <row r="1519" spans="1:8">
      <c r="A1519"/>
      <c r="B1519"/>
      <c r="C1519"/>
      <c r="E1519"/>
      <c r="F1519"/>
      <c r="G1519"/>
      <c r="H1519"/>
    </row>
    <row r="1520" spans="1:8">
      <c r="A1520"/>
      <c r="B1520"/>
      <c r="C1520"/>
      <c r="E1520"/>
      <c r="F1520"/>
      <c r="G1520"/>
      <c r="H1520"/>
    </row>
    <row r="1521" spans="1:8">
      <c r="A1521"/>
      <c r="B1521"/>
      <c r="C1521"/>
      <c r="E1521"/>
      <c r="F1521"/>
      <c r="G1521"/>
      <c r="H1521"/>
    </row>
    <row r="1522" spans="1:8">
      <c r="A1522"/>
      <c r="B1522"/>
      <c r="C1522"/>
      <c r="E1522"/>
      <c r="F1522"/>
      <c r="G1522"/>
      <c r="H1522"/>
    </row>
    <row r="1523" spans="1:8">
      <c r="A1523"/>
      <c r="B1523"/>
      <c r="C1523"/>
      <c r="E1523"/>
      <c r="F1523"/>
      <c r="G1523"/>
      <c r="H1523"/>
    </row>
    <row r="1524" spans="1:8">
      <c r="A1524"/>
      <c r="B1524"/>
      <c r="C1524"/>
      <c r="E1524"/>
      <c r="F1524"/>
      <c r="G1524"/>
      <c r="H1524"/>
    </row>
    <row r="1525" spans="1:8">
      <c r="A1525"/>
      <c r="B1525"/>
      <c r="C1525"/>
      <c r="E1525"/>
      <c r="F1525"/>
      <c r="G1525"/>
      <c r="H1525"/>
    </row>
    <row r="1526" spans="1:8">
      <c r="A1526"/>
      <c r="B1526"/>
      <c r="C1526"/>
      <c r="E1526"/>
      <c r="F1526"/>
      <c r="G1526"/>
      <c r="H1526"/>
    </row>
    <row r="1527" spans="1:8">
      <c r="A1527"/>
      <c r="B1527"/>
      <c r="C1527"/>
      <c r="E1527"/>
      <c r="F1527"/>
      <c r="G1527"/>
      <c r="H1527"/>
    </row>
    <row r="1528" spans="1:8">
      <c r="A1528"/>
      <c r="B1528"/>
      <c r="C1528"/>
      <c r="E1528"/>
      <c r="F1528"/>
      <c r="G1528"/>
      <c r="H1528"/>
    </row>
    <row r="1529" spans="1:8">
      <c r="A1529"/>
      <c r="B1529"/>
      <c r="C1529"/>
      <c r="E1529"/>
      <c r="F1529"/>
      <c r="G1529"/>
      <c r="H1529"/>
    </row>
    <row r="1530" spans="1:8">
      <c r="A1530"/>
      <c r="B1530"/>
      <c r="C1530"/>
      <c r="E1530"/>
      <c r="F1530"/>
      <c r="G1530"/>
      <c r="H1530"/>
    </row>
    <row r="1531" spans="1:8">
      <c r="A1531"/>
      <c r="B1531"/>
      <c r="C1531"/>
      <c r="E1531"/>
      <c r="F1531"/>
      <c r="G1531"/>
      <c r="H1531"/>
    </row>
    <row r="1532" spans="1:8">
      <c r="A1532"/>
      <c r="B1532"/>
      <c r="C1532"/>
      <c r="E1532"/>
      <c r="F1532"/>
      <c r="G1532"/>
      <c r="H1532"/>
    </row>
    <row r="1533" spans="1:8">
      <c r="A1533"/>
      <c r="B1533"/>
      <c r="C1533"/>
      <c r="E1533"/>
      <c r="F1533"/>
      <c r="G1533"/>
      <c r="H1533"/>
    </row>
    <row r="1534" spans="1:8">
      <c r="A1534"/>
      <c r="B1534"/>
      <c r="C1534"/>
      <c r="E1534"/>
      <c r="F1534"/>
      <c r="G1534"/>
      <c r="H1534"/>
    </row>
    <row r="1535" spans="1:8">
      <c r="A1535"/>
      <c r="B1535"/>
      <c r="C1535"/>
      <c r="E1535"/>
      <c r="F1535"/>
      <c r="G1535"/>
      <c r="H1535"/>
    </row>
    <row r="1536" spans="1:8">
      <c r="A1536"/>
      <c r="B1536"/>
      <c r="C1536"/>
      <c r="E1536"/>
      <c r="F1536"/>
      <c r="G1536"/>
      <c r="H1536"/>
    </row>
    <row r="1537" spans="1:8">
      <c r="A1537"/>
      <c r="B1537"/>
      <c r="C1537"/>
      <c r="E1537"/>
      <c r="F1537"/>
      <c r="G1537"/>
      <c r="H1537"/>
    </row>
    <row r="1538" spans="1:8">
      <c r="A1538"/>
      <c r="B1538"/>
      <c r="C1538"/>
      <c r="E1538"/>
      <c r="F1538"/>
      <c r="G1538"/>
      <c r="H1538"/>
    </row>
    <row r="1539" spans="1:8">
      <c r="A1539"/>
      <c r="B1539"/>
      <c r="C1539"/>
      <c r="E1539"/>
      <c r="F1539"/>
      <c r="G1539"/>
      <c r="H1539"/>
    </row>
    <row r="1540" spans="1:8">
      <c r="A1540"/>
      <c r="B1540"/>
      <c r="C1540"/>
      <c r="E1540"/>
      <c r="F1540"/>
      <c r="G1540"/>
      <c r="H1540"/>
    </row>
    <row r="1541" spans="1:8">
      <c r="A1541"/>
      <c r="B1541"/>
      <c r="C1541"/>
      <c r="E1541"/>
      <c r="F1541"/>
      <c r="G1541"/>
      <c r="H1541"/>
    </row>
    <row r="1542" spans="1:8">
      <c r="A1542"/>
      <c r="B1542"/>
      <c r="C1542"/>
      <c r="E1542"/>
      <c r="F1542"/>
      <c r="G1542"/>
      <c r="H1542"/>
    </row>
    <row r="1543" spans="1:8">
      <c r="A1543"/>
      <c r="B1543"/>
      <c r="C1543"/>
      <c r="E1543"/>
      <c r="F1543"/>
      <c r="G1543"/>
      <c r="H1543"/>
    </row>
    <row r="1544" spans="1:8">
      <c r="A1544"/>
      <c r="B1544"/>
      <c r="C1544"/>
      <c r="E1544"/>
      <c r="F1544"/>
      <c r="G1544"/>
      <c r="H1544"/>
    </row>
    <row r="1545" spans="1:8">
      <c r="A1545"/>
      <c r="B1545"/>
      <c r="C1545"/>
      <c r="E1545"/>
      <c r="F1545"/>
      <c r="G1545"/>
      <c r="H1545"/>
    </row>
    <row r="1546" spans="1:8">
      <c r="A1546"/>
      <c r="B1546"/>
      <c r="C1546"/>
      <c r="E1546"/>
      <c r="F1546"/>
      <c r="G1546"/>
      <c r="H1546"/>
    </row>
    <row r="1547" spans="1:8">
      <c r="A1547"/>
      <c r="B1547"/>
      <c r="C1547"/>
      <c r="E1547"/>
      <c r="F1547"/>
      <c r="G1547"/>
      <c r="H1547"/>
    </row>
    <row r="1548" spans="1:8">
      <c r="A1548"/>
      <c r="B1548"/>
      <c r="C1548"/>
      <c r="E1548"/>
      <c r="F1548"/>
      <c r="G1548"/>
      <c r="H1548"/>
    </row>
    <row r="1549" spans="1:8">
      <c r="A1549"/>
      <c r="B1549"/>
      <c r="C1549"/>
      <c r="E1549"/>
      <c r="F1549"/>
      <c r="G1549"/>
      <c r="H1549"/>
    </row>
    <row r="1550" spans="1:8">
      <c r="A1550"/>
      <c r="B1550"/>
      <c r="C1550"/>
      <c r="E1550"/>
      <c r="F1550"/>
      <c r="G1550"/>
      <c r="H1550"/>
    </row>
    <row r="1551" spans="1:8">
      <c r="A1551"/>
      <c r="B1551"/>
      <c r="C1551"/>
      <c r="E1551"/>
      <c r="F1551"/>
      <c r="G1551"/>
      <c r="H1551"/>
    </row>
    <row r="1552" spans="1:8">
      <c r="A1552"/>
      <c r="B1552"/>
      <c r="C1552"/>
      <c r="E1552"/>
      <c r="F1552"/>
      <c r="G1552"/>
      <c r="H1552"/>
    </row>
    <row r="1553" spans="1:8">
      <c r="A1553"/>
      <c r="B1553"/>
      <c r="C1553"/>
      <c r="E1553"/>
      <c r="F1553"/>
      <c r="G1553"/>
      <c r="H1553"/>
    </row>
    <row r="1554" spans="1:8">
      <c r="A1554"/>
      <c r="B1554"/>
      <c r="C1554"/>
      <c r="E1554"/>
      <c r="F1554"/>
      <c r="G1554"/>
      <c r="H1554"/>
    </row>
    <row r="1555" spans="1:8">
      <c r="A1555"/>
      <c r="B1555"/>
      <c r="C1555"/>
      <c r="E1555"/>
      <c r="F1555"/>
      <c r="G1555"/>
      <c r="H1555"/>
    </row>
    <row r="1556" spans="1:8">
      <c r="A1556"/>
      <c r="B1556"/>
      <c r="C1556"/>
      <c r="E1556"/>
      <c r="F1556"/>
      <c r="G1556"/>
      <c r="H1556"/>
    </row>
    <row r="1557" spans="1:8">
      <c r="A1557"/>
      <c r="B1557"/>
      <c r="C1557"/>
      <c r="E1557"/>
      <c r="F1557"/>
      <c r="G1557"/>
      <c r="H1557"/>
    </row>
    <row r="1558" spans="1:8">
      <c r="A1558"/>
      <c r="B1558"/>
      <c r="C1558"/>
      <c r="E1558"/>
      <c r="F1558"/>
      <c r="G1558"/>
      <c r="H1558"/>
    </row>
    <row r="1559" spans="1:8">
      <c r="A1559"/>
      <c r="B1559"/>
      <c r="C1559"/>
      <c r="E1559"/>
      <c r="F1559"/>
      <c r="G1559"/>
      <c r="H1559"/>
    </row>
    <row r="1560" spans="1:8">
      <c r="A1560"/>
      <c r="B1560"/>
      <c r="C1560"/>
      <c r="E1560"/>
      <c r="F1560"/>
      <c r="G1560"/>
      <c r="H1560"/>
    </row>
    <row r="1561" spans="1:8">
      <c r="A1561"/>
      <c r="B1561"/>
      <c r="C1561"/>
      <c r="E1561"/>
      <c r="F1561"/>
      <c r="G1561"/>
      <c r="H1561"/>
    </row>
    <row r="1562" spans="1:8">
      <c r="A1562"/>
      <c r="B1562"/>
      <c r="C1562"/>
      <c r="E1562"/>
      <c r="F1562"/>
      <c r="G1562"/>
      <c r="H1562"/>
    </row>
    <row r="1563" spans="1:8">
      <c r="A1563"/>
      <c r="B1563"/>
      <c r="C1563"/>
      <c r="E1563"/>
      <c r="F1563"/>
      <c r="G1563"/>
      <c r="H1563"/>
    </row>
    <row r="1564" spans="1:8">
      <c r="A1564"/>
      <c r="B1564"/>
      <c r="C1564"/>
      <c r="E1564"/>
      <c r="F1564"/>
      <c r="G1564"/>
      <c r="H1564"/>
    </row>
    <row r="1565" spans="1:8">
      <c r="A1565"/>
      <c r="B1565"/>
      <c r="C1565"/>
      <c r="E1565"/>
      <c r="F1565"/>
      <c r="G1565"/>
      <c r="H1565"/>
    </row>
    <row r="1566" spans="1:8">
      <c r="A1566"/>
      <c r="B1566"/>
      <c r="C1566"/>
      <c r="E1566"/>
      <c r="F1566"/>
      <c r="G1566"/>
      <c r="H1566"/>
    </row>
    <row r="1567" spans="1:8">
      <c r="A1567"/>
      <c r="B1567"/>
      <c r="C1567"/>
      <c r="E1567"/>
      <c r="F1567"/>
      <c r="G1567"/>
      <c r="H1567"/>
    </row>
    <row r="1568" spans="1:8">
      <c r="A1568"/>
      <c r="B1568"/>
      <c r="C1568"/>
      <c r="E1568"/>
      <c r="F1568"/>
      <c r="G1568"/>
      <c r="H1568"/>
    </row>
    <row r="1569" spans="1:8">
      <c r="A1569"/>
      <c r="B1569"/>
      <c r="C1569"/>
      <c r="E1569"/>
      <c r="F1569"/>
      <c r="G1569"/>
      <c r="H1569"/>
    </row>
    <row r="1570" spans="1:8">
      <c r="A1570"/>
      <c r="B1570"/>
      <c r="C1570"/>
      <c r="E1570"/>
      <c r="F1570"/>
      <c r="G1570"/>
      <c r="H1570"/>
    </row>
    <row r="1571" spans="1:8">
      <c r="A1571"/>
      <c r="B1571"/>
      <c r="C1571"/>
      <c r="E1571"/>
      <c r="F1571"/>
      <c r="G1571"/>
      <c r="H1571"/>
    </row>
    <row r="1572" spans="1:8">
      <c r="A1572"/>
      <c r="B1572"/>
      <c r="C1572"/>
      <c r="E1572"/>
      <c r="F1572"/>
      <c r="G1572"/>
      <c r="H1572"/>
    </row>
    <row r="1573" spans="1:8">
      <c r="A1573"/>
      <c r="B1573"/>
      <c r="C1573"/>
      <c r="E1573"/>
      <c r="F1573"/>
      <c r="G1573"/>
      <c r="H1573"/>
    </row>
    <row r="1574" spans="1:8">
      <c r="A1574"/>
      <c r="B1574"/>
      <c r="C1574"/>
      <c r="E1574"/>
      <c r="F1574"/>
      <c r="G1574"/>
      <c r="H1574"/>
    </row>
    <row r="1575" spans="1:8">
      <c r="A1575"/>
      <c r="B1575"/>
      <c r="C1575"/>
      <c r="E1575"/>
      <c r="F1575"/>
      <c r="G1575"/>
      <c r="H1575"/>
    </row>
    <row r="1576" spans="1:8">
      <c r="A1576"/>
      <c r="B1576"/>
      <c r="C1576"/>
      <c r="E1576"/>
      <c r="F1576"/>
      <c r="G1576"/>
      <c r="H1576"/>
    </row>
    <row r="1577" spans="1:8">
      <c r="A1577"/>
      <c r="B1577"/>
      <c r="C1577"/>
      <c r="E1577"/>
      <c r="F1577"/>
      <c r="G1577"/>
      <c r="H1577"/>
    </row>
    <row r="1578" spans="1:8">
      <c r="A1578"/>
      <c r="B1578"/>
      <c r="C1578"/>
      <c r="E1578"/>
      <c r="F1578"/>
      <c r="G1578"/>
      <c r="H1578"/>
    </row>
    <row r="1579" spans="1:8">
      <c r="A1579"/>
      <c r="B1579"/>
      <c r="C1579"/>
      <c r="E1579"/>
      <c r="F1579"/>
      <c r="G1579"/>
      <c r="H1579"/>
    </row>
    <row r="1580" spans="1:8">
      <c r="A1580"/>
      <c r="B1580"/>
      <c r="C1580"/>
      <c r="E1580"/>
      <c r="F1580"/>
      <c r="G1580"/>
      <c r="H1580"/>
    </row>
    <row r="1581" spans="1:8">
      <c r="A1581"/>
      <c r="B1581"/>
      <c r="C1581"/>
      <c r="E1581"/>
      <c r="F1581"/>
      <c r="G1581"/>
      <c r="H1581"/>
    </row>
    <row r="1582" spans="1:8">
      <c r="A1582"/>
      <c r="B1582"/>
      <c r="C1582"/>
      <c r="E1582"/>
      <c r="F1582"/>
      <c r="G1582"/>
      <c r="H1582"/>
    </row>
    <row r="1583" spans="1:8">
      <c r="A1583"/>
      <c r="B1583"/>
      <c r="C1583"/>
      <c r="E1583"/>
      <c r="F1583"/>
      <c r="G1583"/>
      <c r="H1583"/>
    </row>
    <row r="1584" spans="1:8">
      <c r="A1584"/>
      <c r="B1584"/>
      <c r="C1584"/>
      <c r="E1584"/>
      <c r="F1584"/>
      <c r="G1584"/>
      <c r="H1584"/>
    </row>
    <row r="1585" spans="1:8">
      <c r="A1585"/>
      <c r="B1585"/>
      <c r="C1585"/>
      <c r="E1585"/>
      <c r="F1585"/>
      <c r="G1585"/>
      <c r="H1585"/>
    </row>
    <row r="1586" spans="1:8">
      <c r="A1586"/>
      <c r="B1586"/>
      <c r="C1586"/>
      <c r="E1586"/>
      <c r="F1586"/>
      <c r="G1586"/>
      <c r="H1586"/>
    </row>
    <row r="1587" spans="1:8">
      <c r="A1587"/>
      <c r="B1587"/>
      <c r="C1587"/>
      <c r="E1587"/>
      <c r="F1587"/>
      <c r="G1587"/>
      <c r="H1587"/>
    </row>
    <row r="1588" spans="1:8">
      <c r="A1588"/>
      <c r="B1588"/>
      <c r="C1588"/>
      <c r="E1588"/>
      <c r="F1588"/>
      <c r="G1588"/>
      <c r="H1588"/>
    </row>
    <row r="1589" spans="1:8">
      <c r="A1589"/>
      <c r="B1589"/>
      <c r="C1589"/>
      <c r="E1589"/>
      <c r="F1589"/>
      <c r="G1589"/>
      <c r="H1589"/>
    </row>
    <row r="1590" spans="1:8">
      <c r="A1590"/>
      <c r="B1590"/>
      <c r="C1590"/>
      <c r="E1590"/>
      <c r="F1590"/>
      <c r="G1590"/>
      <c r="H1590"/>
    </row>
    <row r="1591" spans="1:8">
      <c r="A1591"/>
      <c r="B1591"/>
      <c r="C1591"/>
      <c r="E1591"/>
      <c r="F1591"/>
      <c r="G1591"/>
      <c r="H1591"/>
    </row>
    <row r="1592" spans="1:8">
      <c r="A1592"/>
      <c r="B1592"/>
      <c r="C1592"/>
      <c r="E1592"/>
      <c r="F1592"/>
      <c r="G1592"/>
      <c r="H1592"/>
    </row>
    <row r="1593" spans="1:8">
      <c r="A1593"/>
      <c r="B1593"/>
      <c r="C1593"/>
      <c r="E1593"/>
      <c r="F1593"/>
      <c r="G1593"/>
      <c r="H1593"/>
    </row>
    <row r="1594" spans="1:8">
      <c r="A1594"/>
      <c r="B1594"/>
      <c r="C1594"/>
      <c r="E1594"/>
      <c r="F1594"/>
      <c r="G1594"/>
      <c r="H1594"/>
    </row>
    <row r="1595" spans="1:8">
      <c r="A1595"/>
      <c r="B1595"/>
      <c r="C1595"/>
      <c r="E1595"/>
      <c r="F1595"/>
      <c r="G1595"/>
      <c r="H1595"/>
    </row>
    <row r="1596" spans="1:8">
      <c r="A1596"/>
      <c r="B1596"/>
      <c r="C1596"/>
      <c r="E1596"/>
      <c r="F1596"/>
      <c r="G1596"/>
      <c r="H1596"/>
    </row>
    <row r="1597" spans="1:8">
      <c r="A1597"/>
      <c r="B1597"/>
      <c r="C1597"/>
      <c r="E1597"/>
      <c r="F1597"/>
      <c r="G1597"/>
      <c r="H1597"/>
    </row>
    <row r="1598" spans="1:8">
      <c r="A1598"/>
      <c r="B1598"/>
      <c r="C1598"/>
      <c r="E1598"/>
      <c r="F1598"/>
      <c r="G1598"/>
      <c r="H1598"/>
    </row>
    <row r="1599" spans="1:8">
      <c r="A1599"/>
      <c r="B1599"/>
      <c r="C1599"/>
      <c r="E1599"/>
      <c r="F1599"/>
      <c r="G1599"/>
      <c r="H1599"/>
    </row>
    <row r="1600" spans="1:8">
      <c r="A1600"/>
      <c r="B1600"/>
      <c r="C1600"/>
      <c r="E1600"/>
      <c r="F1600"/>
      <c r="G1600"/>
      <c r="H1600"/>
    </row>
    <row r="1601" spans="1:8">
      <c r="A1601"/>
      <c r="B1601"/>
      <c r="C1601"/>
      <c r="E1601"/>
      <c r="F1601"/>
      <c r="G1601"/>
      <c r="H1601"/>
    </row>
    <row r="1602" spans="1:8">
      <c r="A1602"/>
      <c r="B1602"/>
      <c r="C1602"/>
      <c r="E1602"/>
      <c r="F1602"/>
      <c r="G1602"/>
      <c r="H1602"/>
    </row>
    <row r="1603" spans="1:8">
      <c r="A1603"/>
      <c r="B1603"/>
      <c r="C1603"/>
      <c r="E1603"/>
      <c r="F1603"/>
      <c r="G1603"/>
      <c r="H1603"/>
    </row>
    <row r="1604" spans="1:8">
      <c r="A1604"/>
      <c r="B1604"/>
      <c r="C1604"/>
      <c r="E1604"/>
      <c r="F1604"/>
      <c r="G1604"/>
      <c r="H1604"/>
    </row>
    <row r="1605" spans="1:8">
      <c r="A1605"/>
      <c r="B1605"/>
      <c r="C1605"/>
      <c r="E1605"/>
      <c r="F1605"/>
      <c r="G1605"/>
      <c r="H1605"/>
    </row>
    <row r="1606" spans="1:8">
      <c r="A1606"/>
      <c r="B1606"/>
      <c r="C1606"/>
      <c r="E1606"/>
      <c r="F1606"/>
      <c r="G1606"/>
      <c r="H1606"/>
    </row>
    <row r="1607" spans="1:8">
      <c r="A1607"/>
      <c r="B1607"/>
      <c r="C1607"/>
      <c r="E1607"/>
      <c r="F1607"/>
      <c r="G1607"/>
      <c r="H1607"/>
    </row>
    <row r="1608" spans="1:8">
      <c r="A1608"/>
      <c r="B1608"/>
      <c r="C1608"/>
      <c r="E1608"/>
      <c r="F1608"/>
      <c r="G1608"/>
      <c r="H1608"/>
    </row>
    <row r="1609" spans="1:8">
      <c r="A1609"/>
      <c r="B1609"/>
      <c r="C1609"/>
      <c r="E1609"/>
      <c r="F1609"/>
      <c r="G1609"/>
      <c r="H1609"/>
    </row>
    <row r="1610" spans="1:8">
      <c r="A1610"/>
      <c r="B1610"/>
      <c r="C1610"/>
      <c r="E1610"/>
      <c r="F1610"/>
      <c r="G1610"/>
      <c r="H1610"/>
    </row>
    <row r="1611" spans="1:8">
      <c r="A1611"/>
      <c r="B1611"/>
      <c r="C1611"/>
      <c r="E1611"/>
      <c r="F1611"/>
      <c r="G1611"/>
      <c r="H1611"/>
    </row>
    <row r="1612" spans="1:8">
      <c r="A1612"/>
      <c r="B1612"/>
      <c r="C1612"/>
      <c r="E1612"/>
      <c r="F1612"/>
      <c r="G1612"/>
      <c r="H1612"/>
    </row>
    <row r="1613" spans="1:8">
      <c r="A1613"/>
      <c r="B1613"/>
      <c r="C1613"/>
      <c r="E1613"/>
      <c r="F1613"/>
      <c r="G1613"/>
      <c r="H1613"/>
    </row>
    <row r="1614" spans="1:8">
      <c r="A1614"/>
      <c r="B1614"/>
      <c r="C1614"/>
      <c r="E1614"/>
      <c r="F1614"/>
      <c r="G1614"/>
      <c r="H1614"/>
    </row>
    <row r="1615" spans="1:8">
      <c r="A1615"/>
      <c r="B1615"/>
      <c r="C1615"/>
      <c r="E1615"/>
      <c r="F1615"/>
      <c r="G1615"/>
      <c r="H1615"/>
    </row>
    <row r="1616" spans="1:8">
      <c r="A1616"/>
      <c r="B1616"/>
      <c r="C1616"/>
      <c r="E1616"/>
      <c r="F1616"/>
      <c r="G1616"/>
      <c r="H1616"/>
    </row>
    <row r="1617" spans="1:8">
      <c r="A1617"/>
      <c r="B1617"/>
      <c r="C1617"/>
      <c r="E1617"/>
      <c r="F1617"/>
      <c r="G1617"/>
      <c r="H1617"/>
    </row>
    <row r="1618" spans="1:8">
      <c r="A1618"/>
      <c r="B1618"/>
      <c r="C1618"/>
      <c r="E1618"/>
      <c r="F1618"/>
      <c r="G1618"/>
      <c r="H1618"/>
    </row>
    <row r="1619" spans="1:8">
      <c r="A1619"/>
      <c r="B1619"/>
      <c r="C1619"/>
      <c r="E1619"/>
      <c r="F1619"/>
      <c r="G1619"/>
      <c r="H1619"/>
    </row>
    <row r="1620" spans="1:8">
      <c r="A1620"/>
      <c r="B1620"/>
      <c r="C1620"/>
      <c r="E1620"/>
      <c r="F1620"/>
      <c r="G1620"/>
      <c r="H1620"/>
    </row>
    <row r="1621" spans="1:8">
      <c r="A1621"/>
      <c r="B1621"/>
      <c r="C1621"/>
      <c r="E1621"/>
      <c r="F1621"/>
      <c r="G1621"/>
      <c r="H1621"/>
    </row>
    <row r="1622" spans="1:8">
      <c r="A1622"/>
      <c r="B1622"/>
      <c r="C1622"/>
      <c r="E1622"/>
      <c r="F1622"/>
      <c r="G1622"/>
      <c r="H1622"/>
    </row>
    <row r="1623" spans="1:8">
      <c r="A1623"/>
      <c r="B1623"/>
      <c r="C1623"/>
      <c r="E1623"/>
      <c r="F1623"/>
      <c r="G1623"/>
      <c r="H1623"/>
    </row>
    <row r="1624" spans="1:8">
      <c r="A1624"/>
      <c r="B1624"/>
      <c r="C1624"/>
      <c r="E1624"/>
      <c r="F1624"/>
      <c r="G1624"/>
      <c r="H1624"/>
    </row>
    <row r="1625" spans="1:8">
      <c r="A1625"/>
      <c r="B1625"/>
      <c r="C1625"/>
      <c r="E1625"/>
      <c r="F1625"/>
      <c r="G1625"/>
      <c r="H1625"/>
    </row>
    <row r="1626" spans="1:8">
      <c r="A1626"/>
      <c r="B1626"/>
      <c r="C1626"/>
      <c r="E1626"/>
      <c r="F1626"/>
      <c r="G1626"/>
      <c r="H1626"/>
    </row>
    <row r="1627" spans="1:8">
      <c r="A1627"/>
      <c r="B1627"/>
      <c r="C1627"/>
      <c r="E1627"/>
      <c r="F1627"/>
      <c r="G1627"/>
      <c r="H1627"/>
    </row>
    <row r="1628" spans="1:8">
      <c r="A1628"/>
      <c r="B1628"/>
      <c r="C1628"/>
      <c r="E1628"/>
      <c r="F1628"/>
      <c r="G1628"/>
      <c r="H1628"/>
    </row>
    <row r="1629" spans="1:8">
      <c r="A1629"/>
      <c r="B1629"/>
      <c r="C1629"/>
      <c r="E1629"/>
      <c r="F1629"/>
      <c r="G1629"/>
      <c r="H1629"/>
    </row>
    <row r="1630" spans="1:8">
      <c r="A1630"/>
      <c r="B1630"/>
      <c r="C1630"/>
      <c r="E1630"/>
      <c r="F1630"/>
      <c r="G1630"/>
      <c r="H1630"/>
    </row>
    <row r="1631" spans="1:8">
      <c r="A1631"/>
      <c r="B1631"/>
      <c r="C1631"/>
      <c r="E1631"/>
      <c r="F1631"/>
      <c r="G1631"/>
      <c r="H1631"/>
    </row>
    <row r="1632" spans="1:8">
      <c r="A1632"/>
      <c r="B1632"/>
      <c r="C1632"/>
      <c r="E1632"/>
      <c r="F1632"/>
      <c r="G1632"/>
      <c r="H1632"/>
    </row>
    <row r="1633" spans="1:8">
      <c r="A1633"/>
      <c r="B1633"/>
      <c r="C1633"/>
      <c r="E1633"/>
      <c r="F1633"/>
      <c r="G1633"/>
      <c r="H1633"/>
    </row>
    <row r="1634" spans="1:8">
      <c r="A1634"/>
      <c r="B1634"/>
      <c r="C1634"/>
      <c r="E1634"/>
      <c r="F1634"/>
      <c r="G1634"/>
      <c r="H1634"/>
    </row>
    <row r="1635" spans="1:8">
      <c r="A1635"/>
      <c r="B1635"/>
      <c r="C1635"/>
      <c r="E1635"/>
      <c r="F1635"/>
      <c r="G1635"/>
      <c r="H1635"/>
    </row>
    <row r="1636" spans="1:8">
      <c r="A1636"/>
      <c r="B1636"/>
      <c r="C1636"/>
      <c r="E1636"/>
      <c r="F1636"/>
      <c r="G1636"/>
      <c r="H1636"/>
    </row>
    <row r="1637" spans="1:8">
      <c r="A1637"/>
      <c r="B1637"/>
      <c r="C1637"/>
      <c r="E1637"/>
      <c r="F1637"/>
      <c r="G1637"/>
      <c r="H1637"/>
    </row>
    <row r="1638" spans="1:8">
      <c r="A1638"/>
      <c r="B1638"/>
      <c r="C1638"/>
      <c r="E1638"/>
      <c r="F1638"/>
      <c r="G1638"/>
      <c r="H1638"/>
    </row>
    <row r="1639" spans="1:8">
      <c r="A1639"/>
      <c r="B1639"/>
      <c r="C1639"/>
      <c r="E1639"/>
      <c r="F1639"/>
      <c r="G1639"/>
      <c r="H1639"/>
    </row>
    <row r="1640" spans="1:8">
      <c r="A1640"/>
      <c r="B1640"/>
      <c r="C1640"/>
      <c r="E1640"/>
      <c r="F1640"/>
      <c r="G1640"/>
      <c r="H1640"/>
    </row>
    <row r="1641" spans="1:8">
      <c r="A1641"/>
      <c r="B1641"/>
      <c r="C1641"/>
      <c r="E1641"/>
      <c r="F1641"/>
      <c r="G1641"/>
      <c r="H1641"/>
    </row>
    <row r="1642" spans="1:8">
      <c r="A1642"/>
      <c r="B1642"/>
      <c r="C1642"/>
      <c r="E1642"/>
      <c r="F1642"/>
      <c r="G1642"/>
      <c r="H1642"/>
    </row>
    <row r="1643" spans="1:8">
      <c r="A1643"/>
      <c r="B1643"/>
      <c r="C1643"/>
      <c r="E1643"/>
      <c r="F1643"/>
      <c r="G1643"/>
      <c r="H1643"/>
    </row>
    <row r="1644" spans="1:8">
      <c r="A1644"/>
      <c r="B1644"/>
      <c r="C1644"/>
      <c r="E1644"/>
      <c r="F1644"/>
      <c r="G1644"/>
      <c r="H1644"/>
    </row>
    <row r="1645" spans="1:8">
      <c r="A1645"/>
      <c r="B1645"/>
      <c r="C1645"/>
      <c r="E1645"/>
      <c r="F1645"/>
      <c r="G1645"/>
      <c r="H1645"/>
    </row>
    <row r="1646" spans="1:8">
      <c r="A1646"/>
      <c r="B1646"/>
      <c r="C1646"/>
      <c r="E1646"/>
      <c r="F1646"/>
      <c r="G1646"/>
      <c r="H1646"/>
    </row>
    <row r="1647" spans="1:8">
      <c r="A1647"/>
      <c r="B1647"/>
      <c r="C1647"/>
      <c r="E1647"/>
      <c r="F1647"/>
      <c r="G1647"/>
      <c r="H1647"/>
    </row>
    <row r="1648" spans="1:8">
      <c r="A1648"/>
      <c r="B1648"/>
      <c r="C1648"/>
      <c r="E1648"/>
      <c r="F1648"/>
      <c r="G1648"/>
      <c r="H1648"/>
    </row>
    <row r="1649" spans="1:8">
      <c r="A1649"/>
      <c r="B1649"/>
      <c r="C1649"/>
      <c r="E1649"/>
      <c r="F1649"/>
      <c r="G1649"/>
      <c r="H1649"/>
    </row>
    <row r="1650" spans="1:8">
      <c r="A1650"/>
      <c r="B1650"/>
      <c r="C1650"/>
      <c r="E1650"/>
      <c r="F1650"/>
      <c r="G1650"/>
      <c r="H1650"/>
    </row>
    <row r="1651" spans="1:8">
      <c r="A1651"/>
      <c r="B1651"/>
      <c r="C1651"/>
      <c r="E1651"/>
      <c r="F1651"/>
      <c r="G1651"/>
      <c r="H1651"/>
    </row>
    <row r="1652" spans="1:8">
      <c r="A1652"/>
      <c r="B1652"/>
      <c r="C1652"/>
      <c r="E1652"/>
      <c r="F1652"/>
      <c r="G1652"/>
      <c r="H1652"/>
    </row>
    <row r="1653" spans="1:8">
      <c r="A1653"/>
      <c r="B1653"/>
      <c r="C1653"/>
      <c r="E1653"/>
      <c r="F1653"/>
      <c r="G1653"/>
      <c r="H1653"/>
    </row>
    <row r="1654" spans="1:8">
      <c r="A1654"/>
      <c r="B1654"/>
      <c r="C1654"/>
      <c r="E1654"/>
      <c r="F1654"/>
      <c r="G1654"/>
      <c r="H1654"/>
    </row>
    <row r="1655" spans="1:8">
      <c r="A1655"/>
      <c r="B1655"/>
      <c r="C1655"/>
      <c r="E1655"/>
      <c r="F1655"/>
      <c r="G1655"/>
      <c r="H1655"/>
    </row>
    <row r="1656" spans="1:8">
      <c r="A1656"/>
      <c r="B1656"/>
      <c r="C1656"/>
      <c r="E1656"/>
      <c r="F1656"/>
      <c r="G1656"/>
      <c r="H1656"/>
    </row>
    <row r="1657" spans="1:8">
      <c r="A1657"/>
      <c r="B1657"/>
      <c r="C1657"/>
      <c r="E1657"/>
      <c r="F1657"/>
      <c r="G1657"/>
      <c r="H1657"/>
    </row>
    <row r="1658" spans="1:8">
      <c r="A1658"/>
      <c r="B1658"/>
      <c r="C1658"/>
      <c r="E1658"/>
      <c r="F1658"/>
      <c r="G1658"/>
      <c r="H1658"/>
    </row>
    <row r="1659" spans="1:8">
      <c r="A1659"/>
      <c r="B1659"/>
      <c r="C1659"/>
      <c r="E1659"/>
      <c r="F1659"/>
      <c r="G1659"/>
      <c r="H1659"/>
    </row>
    <row r="1660" spans="1:8">
      <c r="A1660"/>
      <c r="B1660"/>
      <c r="C1660"/>
      <c r="E1660"/>
      <c r="F1660"/>
      <c r="G1660"/>
      <c r="H1660"/>
    </row>
    <row r="1661" spans="1:8">
      <c r="A1661"/>
      <c r="B1661"/>
      <c r="C1661"/>
      <c r="E1661"/>
      <c r="F1661"/>
      <c r="G1661"/>
      <c r="H1661"/>
    </row>
    <row r="1662" spans="1:8">
      <c r="A1662"/>
      <c r="B1662"/>
      <c r="C1662"/>
      <c r="E1662"/>
      <c r="F1662"/>
      <c r="G1662"/>
      <c r="H1662"/>
    </row>
    <row r="1663" spans="1:8">
      <c r="A1663"/>
      <c r="B1663"/>
      <c r="C1663"/>
      <c r="E1663"/>
      <c r="F1663"/>
      <c r="G1663"/>
      <c r="H1663"/>
    </row>
    <row r="1664" spans="1:8">
      <c r="A1664"/>
      <c r="B1664"/>
      <c r="C1664"/>
      <c r="E1664"/>
      <c r="F1664"/>
      <c r="G1664"/>
      <c r="H1664"/>
    </row>
    <row r="1665" spans="1:8">
      <c r="A1665"/>
      <c r="B1665"/>
      <c r="C1665"/>
      <c r="E1665"/>
      <c r="F1665"/>
      <c r="G1665"/>
      <c r="H1665"/>
    </row>
    <row r="1666" spans="1:8">
      <c r="A1666"/>
      <c r="B1666"/>
      <c r="C1666"/>
      <c r="E1666"/>
      <c r="F1666"/>
      <c r="G1666"/>
      <c r="H1666"/>
    </row>
    <row r="1667" spans="1:8">
      <c r="A1667"/>
      <c r="B1667"/>
      <c r="C1667"/>
      <c r="E1667"/>
      <c r="F1667"/>
      <c r="G1667"/>
      <c r="H1667"/>
    </row>
    <row r="1668" spans="1:8">
      <c r="A1668"/>
      <c r="B1668"/>
      <c r="C1668"/>
      <c r="E1668"/>
      <c r="F1668"/>
      <c r="G1668"/>
      <c r="H1668"/>
    </row>
    <row r="1669" spans="1:8">
      <c r="A1669"/>
      <c r="B1669"/>
      <c r="C1669"/>
      <c r="E1669"/>
      <c r="F1669"/>
      <c r="G1669"/>
      <c r="H1669"/>
    </row>
    <row r="1670" spans="1:8">
      <c r="A1670"/>
      <c r="B1670"/>
      <c r="C1670"/>
      <c r="E1670"/>
      <c r="F1670"/>
      <c r="G1670"/>
      <c r="H1670"/>
    </row>
    <row r="1671" spans="1:8">
      <c r="A1671"/>
      <c r="B1671"/>
      <c r="C1671"/>
      <c r="E1671"/>
      <c r="F1671"/>
      <c r="G1671"/>
      <c r="H1671"/>
    </row>
    <row r="1672" spans="1:8">
      <c r="A1672"/>
      <c r="B1672"/>
      <c r="C1672"/>
      <c r="E1672"/>
      <c r="F1672"/>
      <c r="G1672"/>
      <c r="H1672"/>
    </row>
    <row r="1673" spans="1:8">
      <c r="A1673"/>
      <c r="B1673"/>
      <c r="C1673"/>
      <c r="E1673"/>
      <c r="F1673"/>
      <c r="G1673"/>
      <c r="H1673"/>
    </row>
    <row r="1674" spans="1:8">
      <c r="A1674"/>
      <c r="B1674"/>
      <c r="C1674"/>
      <c r="E1674"/>
      <c r="F1674"/>
      <c r="G1674"/>
      <c r="H1674"/>
    </row>
    <row r="1675" spans="1:8">
      <c r="A1675"/>
      <c r="B1675"/>
      <c r="C1675"/>
      <c r="E1675"/>
      <c r="F1675"/>
      <c r="G1675"/>
      <c r="H1675"/>
    </row>
    <row r="1676" spans="1:8">
      <c r="A1676"/>
      <c r="B1676"/>
      <c r="C1676"/>
      <c r="E1676"/>
      <c r="F1676"/>
      <c r="G1676"/>
      <c r="H1676"/>
    </row>
    <row r="1677" spans="1:8">
      <c r="A1677"/>
      <c r="B1677"/>
      <c r="C1677"/>
      <c r="E1677"/>
      <c r="F1677"/>
      <c r="G1677"/>
      <c r="H1677"/>
    </row>
    <row r="1678" spans="1:8">
      <c r="A1678"/>
      <c r="B1678"/>
      <c r="C1678"/>
      <c r="E1678"/>
      <c r="F1678"/>
      <c r="G1678"/>
      <c r="H1678"/>
    </row>
    <row r="1679" spans="1:8">
      <c r="A1679"/>
      <c r="B1679"/>
      <c r="C1679"/>
      <c r="E1679"/>
      <c r="F1679"/>
      <c r="G1679"/>
      <c r="H1679"/>
    </row>
    <row r="1680" spans="1:8">
      <c r="A1680"/>
      <c r="B1680"/>
      <c r="C1680"/>
      <c r="E1680"/>
      <c r="F1680"/>
      <c r="G1680"/>
      <c r="H1680"/>
    </row>
    <row r="1681" spans="1:8">
      <c r="A1681"/>
      <c r="B1681"/>
      <c r="C1681"/>
      <c r="E1681"/>
      <c r="F1681"/>
      <c r="G1681"/>
      <c r="H1681"/>
    </row>
    <row r="1682" spans="1:8">
      <c r="A1682"/>
      <c r="B1682"/>
      <c r="C1682"/>
      <c r="E1682"/>
      <c r="F1682"/>
      <c r="G1682"/>
      <c r="H1682"/>
    </row>
    <row r="1683" spans="1:8">
      <c r="A1683"/>
      <c r="B1683"/>
      <c r="C1683"/>
      <c r="E1683"/>
      <c r="F1683"/>
      <c r="G1683"/>
      <c r="H1683"/>
    </row>
    <row r="1684" spans="1:8">
      <c r="A1684"/>
      <c r="B1684"/>
      <c r="C1684"/>
      <c r="E1684"/>
      <c r="F1684"/>
      <c r="G1684"/>
      <c r="H1684"/>
    </row>
    <row r="1685" spans="1:8">
      <c r="A1685"/>
      <c r="B1685"/>
      <c r="C1685"/>
      <c r="E1685"/>
      <c r="F1685"/>
      <c r="G1685"/>
      <c r="H1685"/>
    </row>
    <row r="1686" spans="1:8">
      <c r="A1686"/>
      <c r="B1686"/>
      <c r="C1686"/>
      <c r="E1686"/>
      <c r="F1686"/>
      <c r="G1686"/>
      <c r="H1686"/>
    </row>
    <row r="1687" spans="1:8">
      <c r="A1687"/>
      <c r="B1687"/>
      <c r="C1687"/>
      <c r="E1687"/>
      <c r="F1687"/>
      <c r="G1687"/>
      <c r="H1687"/>
    </row>
    <row r="1688" spans="1:8">
      <c r="A1688"/>
      <c r="B1688"/>
      <c r="C1688"/>
      <c r="E1688"/>
      <c r="F1688"/>
      <c r="G1688"/>
      <c r="H1688"/>
    </row>
    <row r="1689" spans="1:8">
      <c r="A1689"/>
      <c r="B1689"/>
      <c r="C1689"/>
      <c r="E1689"/>
      <c r="F1689"/>
      <c r="G1689"/>
      <c r="H1689"/>
    </row>
    <row r="1690" spans="1:8">
      <c r="A1690"/>
      <c r="B1690"/>
      <c r="C1690"/>
      <c r="E1690"/>
      <c r="F1690"/>
      <c r="G1690"/>
      <c r="H1690"/>
    </row>
    <row r="1691" spans="1:8">
      <c r="A1691"/>
      <c r="B1691"/>
      <c r="C1691"/>
      <c r="E1691"/>
      <c r="F1691"/>
      <c r="G1691"/>
      <c r="H1691"/>
    </row>
    <row r="1692" spans="1:8">
      <c r="A1692"/>
      <c r="B1692"/>
      <c r="C1692"/>
      <c r="E1692"/>
      <c r="F1692"/>
      <c r="G1692"/>
      <c r="H1692"/>
    </row>
    <row r="1693" spans="1:8">
      <c r="A1693"/>
      <c r="B1693"/>
      <c r="C1693"/>
      <c r="E1693"/>
      <c r="F1693"/>
      <c r="G1693"/>
      <c r="H1693"/>
    </row>
    <row r="1694" spans="1:8">
      <c r="A1694"/>
      <c r="B1694"/>
      <c r="C1694"/>
      <c r="E1694"/>
      <c r="F1694"/>
      <c r="G1694"/>
      <c r="H1694"/>
    </row>
    <row r="1695" spans="1:8">
      <c r="A1695"/>
      <c r="B1695"/>
      <c r="C1695"/>
      <c r="E1695"/>
      <c r="F1695"/>
      <c r="G1695"/>
      <c r="H1695"/>
    </row>
    <row r="1696" spans="1:8">
      <c r="A1696"/>
      <c r="B1696"/>
      <c r="C1696"/>
      <c r="E1696"/>
      <c r="F1696"/>
      <c r="G1696"/>
      <c r="H1696"/>
    </row>
    <row r="1697" spans="1:8">
      <c r="A1697"/>
      <c r="B1697"/>
      <c r="C1697"/>
      <c r="E1697"/>
      <c r="F1697"/>
      <c r="G1697"/>
      <c r="H1697"/>
    </row>
    <row r="1698" spans="1:8">
      <c r="A1698"/>
      <c r="B1698"/>
      <c r="C1698"/>
      <c r="E1698"/>
      <c r="F1698"/>
      <c r="G1698"/>
      <c r="H1698"/>
    </row>
    <row r="1699" spans="1:8">
      <c r="A1699"/>
      <c r="B1699"/>
      <c r="C1699"/>
      <c r="E1699"/>
      <c r="F1699"/>
      <c r="G1699"/>
      <c r="H1699"/>
    </row>
    <row r="1700" spans="1:8">
      <c r="A1700"/>
      <c r="B1700"/>
      <c r="C1700"/>
      <c r="E1700"/>
      <c r="F1700"/>
      <c r="G1700"/>
      <c r="H1700"/>
    </row>
    <row r="1701" spans="1:8">
      <c r="A1701"/>
      <c r="B1701"/>
      <c r="C1701"/>
      <c r="E1701"/>
      <c r="F1701"/>
      <c r="G1701"/>
      <c r="H1701"/>
    </row>
    <row r="1702" spans="1:8">
      <c r="A1702"/>
      <c r="B1702"/>
      <c r="C1702"/>
      <c r="E1702"/>
      <c r="F1702"/>
      <c r="G1702"/>
      <c r="H1702"/>
    </row>
    <row r="1703" spans="1:8">
      <c r="A1703"/>
      <c r="B1703"/>
      <c r="C1703"/>
      <c r="E1703"/>
      <c r="F1703"/>
      <c r="G1703"/>
      <c r="H1703"/>
    </row>
    <row r="1704" spans="1:8">
      <c r="A1704"/>
      <c r="B1704"/>
      <c r="C1704"/>
      <c r="E1704"/>
      <c r="F1704"/>
      <c r="G1704"/>
      <c r="H1704"/>
    </row>
    <row r="1705" spans="1:8">
      <c r="A1705"/>
      <c r="B1705"/>
      <c r="C1705"/>
      <c r="E1705"/>
      <c r="F1705"/>
      <c r="G1705"/>
      <c r="H1705"/>
    </row>
    <row r="1706" spans="1:8">
      <c r="A1706"/>
      <c r="B1706"/>
      <c r="C1706"/>
      <c r="E1706"/>
      <c r="F1706"/>
      <c r="G1706"/>
      <c r="H1706"/>
    </row>
    <row r="1707" spans="1:8">
      <c r="A1707"/>
      <c r="B1707"/>
      <c r="C1707"/>
      <c r="E1707"/>
      <c r="F1707"/>
      <c r="G1707"/>
      <c r="H1707"/>
    </row>
    <row r="1708" spans="1:8">
      <c r="A1708"/>
      <c r="B1708"/>
      <c r="C1708"/>
      <c r="E1708"/>
      <c r="F1708"/>
      <c r="G1708"/>
      <c r="H1708"/>
    </row>
    <row r="1709" spans="1:8">
      <c r="A1709"/>
      <c r="B1709"/>
      <c r="C1709"/>
      <c r="E1709"/>
      <c r="F1709"/>
      <c r="G1709"/>
      <c r="H1709"/>
    </row>
    <row r="1710" spans="1:8">
      <c r="A1710"/>
      <c r="B1710"/>
      <c r="C1710"/>
      <c r="E1710"/>
      <c r="F1710"/>
      <c r="G1710"/>
      <c r="H1710"/>
    </row>
    <row r="1711" spans="1:8">
      <c r="A1711"/>
      <c r="B1711"/>
      <c r="C1711"/>
      <c r="E1711"/>
      <c r="F1711"/>
      <c r="G1711"/>
      <c r="H1711"/>
    </row>
    <row r="1712" spans="1:8">
      <c r="A1712"/>
      <c r="B1712"/>
      <c r="C1712"/>
      <c r="E1712"/>
      <c r="F1712"/>
      <c r="G1712"/>
      <c r="H1712"/>
    </row>
    <row r="1713" spans="1:8">
      <c r="A1713"/>
      <c r="B1713"/>
      <c r="C1713"/>
      <c r="E1713"/>
      <c r="F1713"/>
      <c r="G1713"/>
      <c r="H1713"/>
    </row>
    <row r="1714" spans="1:8">
      <c r="A1714"/>
      <c r="B1714"/>
      <c r="C1714"/>
      <c r="E1714"/>
      <c r="F1714"/>
      <c r="G1714"/>
      <c r="H1714"/>
    </row>
    <row r="1715" spans="1:8">
      <c r="A1715"/>
      <c r="B1715"/>
      <c r="C1715"/>
      <c r="E1715"/>
      <c r="F1715"/>
      <c r="G1715"/>
      <c r="H1715"/>
    </row>
    <row r="1716" spans="1:8">
      <c r="A1716"/>
      <c r="B1716"/>
      <c r="C1716"/>
      <c r="E1716"/>
      <c r="F1716"/>
      <c r="G1716"/>
      <c r="H1716"/>
    </row>
    <row r="1717" spans="1:8">
      <c r="A1717"/>
      <c r="B1717"/>
      <c r="C1717"/>
      <c r="E1717"/>
      <c r="F1717"/>
      <c r="G1717"/>
      <c r="H1717"/>
    </row>
    <row r="1718" spans="1:8">
      <c r="A1718"/>
      <c r="B1718"/>
      <c r="C1718"/>
      <c r="E1718"/>
      <c r="F1718"/>
      <c r="G1718"/>
      <c r="H1718"/>
    </row>
    <row r="1719" spans="1:8">
      <c r="A1719"/>
      <c r="B1719"/>
      <c r="C1719"/>
      <c r="E1719"/>
      <c r="F1719"/>
      <c r="G1719"/>
      <c r="H1719"/>
    </row>
    <row r="1720" spans="1:8">
      <c r="A1720"/>
      <c r="B1720"/>
      <c r="C1720"/>
      <c r="E1720"/>
      <c r="F1720"/>
      <c r="G1720"/>
      <c r="H1720"/>
    </row>
    <row r="1721" spans="1:8">
      <c r="A1721"/>
      <c r="B1721"/>
      <c r="C1721"/>
      <c r="E1721"/>
      <c r="F1721"/>
      <c r="G1721"/>
      <c r="H1721"/>
    </row>
    <row r="1722" spans="1:8">
      <c r="A1722"/>
      <c r="B1722"/>
      <c r="C1722"/>
      <c r="E1722"/>
      <c r="F1722"/>
      <c r="G1722"/>
      <c r="H1722"/>
    </row>
    <row r="1723" spans="1:8">
      <c r="A1723"/>
      <c r="B1723"/>
      <c r="C1723"/>
      <c r="E1723"/>
      <c r="F1723"/>
      <c r="G1723"/>
      <c r="H1723"/>
    </row>
    <row r="1724" spans="1:8">
      <c r="A1724"/>
      <c r="B1724"/>
      <c r="C1724"/>
      <c r="E1724"/>
      <c r="F1724"/>
      <c r="G1724"/>
      <c r="H1724"/>
    </row>
    <row r="1725" spans="1:8">
      <c r="A1725"/>
      <c r="B1725"/>
      <c r="C1725"/>
      <c r="E1725"/>
      <c r="F1725"/>
      <c r="G1725"/>
      <c r="H1725"/>
    </row>
    <row r="1726" spans="1:8">
      <c r="A1726"/>
      <c r="B1726"/>
      <c r="C1726"/>
      <c r="E1726"/>
      <c r="F1726"/>
      <c r="G1726"/>
      <c r="H1726"/>
    </row>
    <row r="1727" spans="1:8">
      <c r="A1727"/>
      <c r="B1727"/>
      <c r="C1727"/>
      <c r="E1727"/>
      <c r="F1727"/>
      <c r="G1727"/>
      <c r="H1727"/>
    </row>
    <row r="1728" spans="1:8">
      <c r="A1728"/>
      <c r="B1728"/>
      <c r="C1728"/>
      <c r="E1728"/>
      <c r="F1728"/>
      <c r="G1728"/>
      <c r="H1728"/>
    </row>
    <row r="1729" spans="1:8">
      <c r="A1729"/>
      <c r="B1729"/>
      <c r="C1729"/>
      <c r="E1729"/>
      <c r="F1729"/>
      <c r="G1729"/>
      <c r="H1729"/>
    </row>
    <row r="1730" spans="1:8">
      <c r="A1730"/>
      <c r="B1730"/>
      <c r="C1730"/>
      <c r="E1730"/>
      <c r="F1730"/>
      <c r="G1730"/>
      <c r="H1730"/>
    </row>
    <row r="1731" spans="1:8">
      <c r="A1731"/>
      <c r="B1731"/>
      <c r="C1731"/>
      <c r="E1731"/>
      <c r="F1731"/>
      <c r="G1731"/>
      <c r="H1731"/>
    </row>
    <row r="1732" spans="1:8">
      <c r="A1732"/>
      <c r="B1732"/>
      <c r="C1732"/>
      <c r="E1732"/>
      <c r="F1732"/>
      <c r="G1732"/>
      <c r="H1732"/>
    </row>
    <row r="1733" spans="1:8">
      <c r="A1733"/>
      <c r="B1733"/>
      <c r="C1733"/>
      <c r="E1733"/>
      <c r="F1733"/>
      <c r="G1733"/>
      <c r="H1733"/>
    </row>
    <row r="1734" spans="1:8">
      <c r="A1734"/>
      <c r="B1734"/>
      <c r="C1734"/>
      <c r="E1734"/>
      <c r="F1734"/>
      <c r="G1734"/>
      <c r="H1734"/>
    </row>
    <row r="1735" spans="1:8">
      <c r="A1735"/>
      <c r="B1735"/>
      <c r="C1735"/>
      <c r="E1735"/>
      <c r="F1735"/>
      <c r="G1735"/>
      <c r="H1735"/>
    </row>
    <row r="1736" spans="1:8">
      <c r="A1736"/>
      <c r="B1736"/>
      <c r="C1736"/>
      <c r="E1736"/>
      <c r="F1736"/>
      <c r="G1736"/>
      <c r="H1736"/>
    </row>
    <row r="1737" spans="1:8">
      <c r="A1737"/>
      <c r="B1737"/>
      <c r="C1737"/>
      <c r="E1737"/>
      <c r="F1737"/>
      <c r="G1737"/>
      <c r="H1737"/>
    </row>
    <row r="1738" spans="1:8">
      <c r="A1738"/>
      <c r="B1738"/>
      <c r="C1738"/>
      <c r="E1738"/>
      <c r="F1738"/>
      <c r="G1738"/>
      <c r="H1738"/>
    </row>
    <row r="1739" spans="1:8">
      <c r="A1739"/>
      <c r="B1739"/>
      <c r="C1739"/>
      <c r="E1739"/>
      <c r="F1739"/>
      <c r="G1739"/>
      <c r="H1739"/>
    </row>
    <row r="1740" spans="1:8">
      <c r="A1740"/>
      <c r="B1740"/>
      <c r="C1740"/>
      <c r="E1740"/>
      <c r="F1740"/>
      <c r="G1740"/>
      <c r="H1740"/>
    </row>
    <row r="1741" spans="1:8">
      <c r="A1741"/>
      <c r="B1741"/>
      <c r="C1741"/>
      <c r="E1741"/>
      <c r="F1741"/>
      <c r="G1741"/>
      <c r="H1741"/>
    </row>
    <row r="1742" spans="1:8">
      <c r="A1742"/>
      <c r="B1742"/>
      <c r="C1742"/>
      <c r="E1742"/>
      <c r="F1742"/>
      <c r="G1742"/>
      <c r="H1742"/>
    </row>
    <row r="1743" spans="1:8">
      <c r="A1743"/>
      <c r="B1743"/>
      <c r="C1743"/>
      <c r="E1743"/>
      <c r="F1743"/>
      <c r="G1743"/>
      <c r="H1743"/>
    </row>
    <row r="1744" spans="1:8">
      <c r="A1744"/>
      <c r="B1744"/>
      <c r="C1744"/>
      <c r="E1744"/>
      <c r="F1744"/>
      <c r="G1744"/>
      <c r="H1744"/>
    </row>
    <row r="1745" spans="1:8">
      <c r="A1745"/>
      <c r="B1745"/>
      <c r="C1745"/>
      <c r="E1745"/>
      <c r="F1745"/>
      <c r="G1745"/>
      <c r="H1745"/>
    </row>
    <row r="1746" spans="1:8">
      <c r="A1746"/>
      <c r="B1746"/>
      <c r="C1746"/>
      <c r="E1746"/>
      <c r="F1746"/>
      <c r="G1746"/>
      <c r="H1746"/>
    </row>
    <row r="1747" spans="1:8">
      <c r="A1747"/>
      <c r="B1747"/>
      <c r="C1747"/>
      <c r="E1747"/>
      <c r="F1747"/>
      <c r="G1747"/>
      <c r="H1747"/>
    </row>
    <row r="1748" spans="1:8">
      <c r="A1748"/>
      <c r="B1748"/>
      <c r="C1748"/>
      <c r="E1748"/>
      <c r="F1748"/>
      <c r="G1748"/>
      <c r="H1748"/>
    </row>
    <row r="1749" spans="1:8">
      <c r="A1749"/>
      <c r="B1749"/>
      <c r="C1749"/>
      <c r="E1749"/>
      <c r="F1749"/>
      <c r="G1749"/>
      <c r="H1749"/>
    </row>
    <row r="1750" spans="1:8">
      <c r="A1750"/>
      <c r="B1750"/>
      <c r="C1750"/>
      <c r="E1750"/>
      <c r="F1750"/>
      <c r="G1750"/>
      <c r="H1750"/>
    </row>
    <row r="1751" spans="1:8">
      <c r="A1751"/>
      <c r="B1751"/>
      <c r="C1751"/>
      <c r="E1751"/>
      <c r="F1751"/>
      <c r="G1751"/>
      <c r="H1751"/>
    </row>
    <row r="1752" spans="1:8">
      <c r="A1752"/>
      <c r="B1752"/>
      <c r="C1752"/>
      <c r="E1752"/>
      <c r="F1752"/>
      <c r="G1752"/>
      <c r="H1752"/>
    </row>
    <row r="1753" spans="1:8">
      <c r="A1753"/>
      <c r="B1753"/>
      <c r="C1753"/>
      <c r="E1753"/>
      <c r="F1753"/>
      <c r="G1753"/>
      <c r="H1753"/>
    </row>
    <row r="1754" spans="1:8">
      <c r="A1754"/>
      <c r="B1754"/>
      <c r="C1754"/>
      <c r="E1754"/>
      <c r="F1754"/>
      <c r="G1754"/>
      <c r="H1754"/>
    </row>
    <row r="1755" spans="1:8">
      <c r="A1755"/>
      <c r="B1755"/>
      <c r="C1755"/>
      <c r="E1755"/>
      <c r="F1755"/>
      <c r="G1755"/>
      <c r="H1755"/>
    </row>
    <row r="1756" spans="1:8">
      <c r="A1756"/>
      <c r="B1756"/>
      <c r="C1756"/>
      <c r="E1756"/>
      <c r="F1756"/>
      <c r="G1756"/>
      <c r="H1756"/>
    </row>
    <row r="1757" spans="1:8">
      <c r="A1757"/>
      <c r="B1757"/>
      <c r="C1757"/>
      <c r="E1757"/>
      <c r="F1757"/>
      <c r="G1757"/>
      <c r="H1757"/>
    </row>
    <row r="1758" spans="1:8">
      <c r="A1758"/>
      <c r="B1758"/>
      <c r="C1758"/>
      <c r="E1758"/>
      <c r="F1758"/>
      <c r="G1758"/>
      <c r="H1758"/>
    </row>
    <row r="1759" spans="1:8">
      <c r="A1759"/>
      <c r="B1759"/>
      <c r="C1759"/>
      <c r="E1759"/>
      <c r="F1759"/>
      <c r="G1759"/>
      <c r="H1759"/>
    </row>
    <row r="1760" spans="1:8">
      <c r="A1760"/>
      <c r="B1760"/>
      <c r="C1760"/>
      <c r="E1760"/>
      <c r="F1760"/>
      <c r="G1760"/>
      <c r="H1760"/>
    </row>
    <row r="1761" spans="1:8">
      <c r="A1761"/>
      <c r="B1761"/>
      <c r="C1761"/>
      <c r="E1761"/>
      <c r="F1761"/>
      <c r="G1761"/>
      <c r="H1761"/>
    </row>
    <row r="1762" spans="1:8">
      <c r="A1762"/>
      <c r="B1762"/>
      <c r="C1762"/>
      <c r="E1762"/>
      <c r="F1762"/>
      <c r="G1762"/>
      <c r="H1762"/>
    </row>
    <row r="1763" spans="1:8">
      <c r="A1763"/>
      <c r="B1763"/>
      <c r="C1763"/>
      <c r="E1763"/>
      <c r="F1763"/>
      <c r="G1763"/>
      <c r="H1763"/>
    </row>
    <row r="1764" spans="1:8">
      <c r="A1764"/>
      <c r="B1764"/>
      <c r="C1764"/>
      <c r="E1764"/>
      <c r="F1764"/>
      <c r="G1764"/>
      <c r="H1764"/>
    </row>
    <row r="1765" spans="1:8">
      <c r="A1765"/>
      <c r="B1765"/>
      <c r="C1765"/>
      <c r="E1765"/>
      <c r="F1765"/>
      <c r="G1765"/>
      <c r="H1765"/>
    </row>
    <row r="1766" spans="1:8">
      <c r="A1766"/>
      <c r="B1766"/>
      <c r="C1766"/>
      <c r="E1766"/>
      <c r="F1766"/>
      <c r="G1766"/>
      <c r="H1766"/>
    </row>
    <row r="1767" spans="1:8">
      <c r="A1767"/>
      <c r="B1767"/>
      <c r="C1767"/>
      <c r="E1767"/>
      <c r="F1767"/>
      <c r="G1767"/>
      <c r="H1767"/>
    </row>
    <row r="1768" spans="1:8">
      <c r="A1768"/>
      <c r="B1768"/>
      <c r="C1768"/>
      <c r="E1768"/>
      <c r="F1768"/>
      <c r="G1768"/>
      <c r="H1768"/>
    </row>
    <row r="1769" spans="1:8">
      <c r="A1769"/>
      <c r="B1769"/>
      <c r="C1769"/>
      <c r="E1769"/>
      <c r="F1769"/>
      <c r="G1769"/>
      <c r="H1769"/>
    </row>
    <row r="1770" spans="1:8">
      <c r="A1770"/>
      <c r="B1770"/>
      <c r="C1770"/>
      <c r="E1770"/>
      <c r="F1770"/>
      <c r="G1770"/>
      <c r="H1770"/>
    </row>
    <row r="1771" spans="1:8">
      <c r="A1771"/>
      <c r="B1771"/>
      <c r="C1771"/>
      <c r="E1771"/>
      <c r="F1771"/>
      <c r="G1771"/>
      <c r="H1771"/>
    </row>
    <row r="1772" spans="1:8">
      <c r="A1772"/>
      <c r="B1772"/>
      <c r="C1772"/>
      <c r="E1772"/>
      <c r="F1772"/>
      <c r="G1772"/>
      <c r="H1772"/>
    </row>
    <row r="1773" spans="1:8">
      <c r="A1773"/>
      <c r="B1773"/>
      <c r="C1773"/>
      <c r="E1773"/>
      <c r="F1773"/>
      <c r="G1773"/>
      <c r="H1773"/>
    </row>
    <row r="1774" spans="1:8">
      <c r="A1774"/>
      <c r="B1774"/>
      <c r="C1774"/>
      <c r="E1774"/>
      <c r="F1774"/>
      <c r="G1774"/>
      <c r="H1774"/>
    </row>
    <row r="1775" spans="1:8">
      <c r="A1775"/>
      <c r="B1775"/>
      <c r="C1775"/>
      <c r="E1775"/>
      <c r="F1775"/>
      <c r="G1775"/>
      <c r="H1775"/>
    </row>
    <row r="1776" spans="1:8">
      <c r="A1776"/>
      <c r="B1776"/>
      <c r="C1776"/>
      <c r="E1776"/>
      <c r="F1776"/>
      <c r="G1776"/>
      <c r="H1776"/>
    </row>
    <row r="1777" spans="1:8">
      <c r="A1777"/>
      <c r="B1777"/>
      <c r="C1777"/>
      <c r="E1777"/>
      <c r="F1777"/>
      <c r="G1777"/>
      <c r="H1777"/>
    </row>
    <row r="1778" spans="1:8">
      <c r="A1778"/>
      <c r="B1778"/>
      <c r="C1778"/>
      <c r="E1778"/>
      <c r="F1778"/>
      <c r="G1778"/>
      <c r="H1778"/>
    </row>
    <row r="1779" spans="1:8">
      <c r="A1779"/>
      <c r="B1779"/>
      <c r="C1779"/>
      <c r="E1779"/>
      <c r="F1779"/>
      <c r="G1779"/>
      <c r="H1779"/>
    </row>
    <row r="1780" spans="1:8">
      <c r="A1780"/>
      <c r="B1780"/>
      <c r="C1780"/>
      <c r="E1780"/>
      <c r="F1780"/>
      <c r="G1780"/>
      <c r="H1780"/>
    </row>
    <row r="1781" spans="1:8">
      <c r="A1781"/>
      <c r="B1781"/>
      <c r="C1781"/>
      <c r="E1781"/>
      <c r="F1781"/>
      <c r="G1781"/>
      <c r="H1781"/>
    </row>
    <row r="1782" spans="1:8">
      <c r="A1782"/>
      <c r="B1782"/>
      <c r="C1782"/>
      <c r="E1782"/>
      <c r="F1782"/>
      <c r="G1782"/>
      <c r="H1782"/>
    </row>
    <row r="1783" spans="1:8">
      <c r="A1783"/>
      <c r="B1783"/>
      <c r="C1783"/>
      <c r="E1783"/>
      <c r="F1783"/>
      <c r="G1783"/>
      <c r="H1783"/>
    </row>
    <row r="1784" spans="1:8">
      <c r="A1784"/>
      <c r="B1784"/>
      <c r="C1784"/>
      <c r="E1784"/>
      <c r="F1784"/>
      <c r="G1784"/>
      <c r="H1784"/>
    </row>
    <row r="1785" spans="1:8">
      <c r="A1785"/>
      <c r="B1785"/>
      <c r="C1785"/>
      <c r="E1785"/>
      <c r="F1785"/>
      <c r="G1785"/>
      <c r="H1785"/>
    </row>
    <row r="1786" spans="1:8">
      <c r="A1786"/>
      <c r="B1786"/>
      <c r="C1786"/>
      <c r="E1786"/>
      <c r="F1786"/>
      <c r="G1786"/>
      <c r="H1786"/>
    </row>
    <row r="1787" spans="1:8">
      <c r="A1787"/>
      <c r="B1787"/>
      <c r="C1787"/>
      <c r="E1787"/>
      <c r="F1787"/>
      <c r="G1787"/>
      <c r="H1787"/>
    </row>
    <row r="1788" spans="1:8">
      <c r="A1788"/>
      <c r="B1788"/>
      <c r="C1788"/>
      <c r="E1788"/>
      <c r="F1788"/>
      <c r="G1788"/>
      <c r="H1788"/>
    </row>
    <row r="1789" spans="1:8">
      <c r="A1789"/>
      <c r="B1789"/>
      <c r="C1789"/>
      <c r="E1789"/>
      <c r="F1789"/>
      <c r="G1789"/>
      <c r="H1789"/>
    </row>
    <row r="1790" spans="1:8">
      <c r="A1790"/>
      <c r="B1790"/>
      <c r="C1790"/>
      <c r="E1790"/>
      <c r="F1790"/>
      <c r="G1790"/>
      <c r="H1790"/>
    </row>
    <row r="1791" spans="1:8">
      <c r="A1791"/>
      <c r="B1791"/>
      <c r="C1791"/>
      <c r="E1791"/>
      <c r="F1791"/>
      <c r="G1791"/>
      <c r="H1791"/>
    </row>
    <row r="1792" spans="1:8">
      <c r="A1792"/>
      <c r="B1792"/>
      <c r="C1792"/>
      <c r="E1792"/>
      <c r="F1792"/>
      <c r="G1792"/>
      <c r="H1792"/>
    </row>
    <row r="1793" spans="1:8">
      <c r="A1793"/>
      <c r="B1793"/>
      <c r="C1793"/>
      <c r="E1793"/>
      <c r="F1793"/>
      <c r="G1793"/>
      <c r="H1793"/>
    </row>
    <row r="1794" spans="1:8">
      <c r="A1794"/>
      <c r="B1794"/>
      <c r="C1794"/>
      <c r="E1794"/>
      <c r="F1794"/>
      <c r="G1794"/>
      <c r="H1794"/>
    </row>
    <row r="1795" spans="1:8">
      <c r="A1795"/>
      <c r="B1795"/>
      <c r="C1795"/>
      <c r="E1795"/>
      <c r="F1795"/>
      <c r="G1795"/>
      <c r="H1795"/>
    </row>
    <row r="1796" spans="1:8">
      <c r="A1796"/>
      <c r="B1796"/>
      <c r="C1796"/>
      <c r="E1796"/>
      <c r="F1796"/>
      <c r="G1796"/>
      <c r="H1796"/>
    </row>
    <row r="1797" spans="1:8">
      <c r="A1797"/>
      <c r="B1797"/>
      <c r="C1797"/>
      <c r="E1797"/>
      <c r="F1797"/>
      <c r="G1797"/>
      <c r="H1797"/>
    </row>
    <row r="1798" spans="1:8">
      <c r="A1798"/>
      <c r="B1798"/>
      <c r="C1798"/>
      <c r="E1798"/>
      <c r="F1798"/>
      <c r="G1798"/>
      <c r="H1798"/>
    </row>
    <row r="1799" spans="1:8">
      <c r="A1799"/>
      <c r="B1799"/>
      <c r="C1799"/>
      <c r="E1799"/>
      <c r="F1799"/>
      <c r="G1799"/>
      <c r="H1799"/>
    </row>
    <row r="1800" spans="1:8">
      <c r="A1800"/>
      <c r="B1800"/>
      <c r="C1800"/>
      <c r="E1800"/>
      <c r="F1800"/>
      <c r="G1800"/>
      <c r="H1800"/>
    </row>
    <row r="1801" spans="1:8">
      <c r="A1801"/>
      <c r="B1801"/>
      <c r="C1801"/>
      <c r="E1801"/>
      <c r="F1801"/>
      <c r="G1801"/>
      <c r="H1801"/>
    </row>
    <row r="1802" spans="1:8">
      <c r="A1802"/>
      <c r="B1802"/>
      <c r="C1802"/>
      <c r="E1802"/>
      <c r="F1802"/>
      <c r="G1802"/>
      <c r="H1802"/>
    </row>
    <row r="1803" spans="1:8">
      <c r="A1803"/>
      <c r="B1803"/>
      <c r="C1803"/>
      <c r="E1803"/>
      <c r="F1803"/>
      <c r="G1803"/>
      <c r="H1803"/>
    </row>
    <row r="1804" spans="1:8">
      <c r="A1804"/>
      <c r="B1804"/>
      <c r="C1804"/>
      <c r="E1804"/>
      <c r="F1804"/>
      <c r="G1804"/>
      <c r="H1804"/>
    </row>
    <row r="1805" spans="1:8">
      <c r="A1805"/>
      <c r="B1805"/>
      <c r="C1805"/>
      <c r="E1805"/>
      <c r="F1805"/>
      <c r="G1805"/>
      <c r="H1805"/>
    </row>
    <row r="1806" spans="1:8">
      <c r="A1806"/>
      <c r="B1806"/>
      <c r="C1806"/>
      <c r="E1806"/>
      <c r="F1806"/>
      <c r="G1806"/>
      <c r="H1806"/>
    </row>
    <row r="1807" spans="1:8">
      <c r="A1807"/>
      <c r="B1807"/>
      <c r="C1807"/>
      <c r="E1807"/>
      <c r="F1807"/>
      <c r="G1807"/>
      <c r="H1807"/>
    </row>
    <row r="1808" spans="1:8">
      <c r="A1808"/>
      <c r="B1808"/>
      <c r="C1808"/>
      <c r="E1808"/>
      <c r="F1808"/>
      <c r="G1808"/>
      <c r="H1808"/>
    </row>
    <row r="1809" spans="1:8">
      <c r="A1809"/>
      <c r="B1809"/>
      <c r="C1809"/>
      <c r="E1809"/>
      <c r="F1809"/>
      <c r="G1809"/>
      <c r="H1809"/>
    </row>
    <row r="1810" spans="1:8">
      <c r="A1810"/>
      <c r="B1810"/>
      <c r="C1810"/>
      <c r="E1810"/>
      <c r="F1810"/>
      <c r="G1810"/>
      <c r="H1810"/>
    </row>
    <row r="1811" spans="1:8">
      <c r="A1811"/>
      <c r="B1811"/>
      <c r="C1811"/>
      <c r="E1811"/>
      <c r="F1811"/>
      <c r="G1811"/>
      <c r="H1811"/>
    </row>
    <row r="1812" spans="1:8">
      <c r="A1812"/>
      <c r="B1812"/>
      <c r="C1812"/>
      <c r="E1812"/>
      <c r="F1812"/>
      <c r="G1812"/>
      <c r="H1812"/>
    </row>
    <row r="1813" spans="1:8">
      <c r="A1813"/>
      <c r="B1813"/>
      <c r="C1813"/>
      <c r="E1813"/>
      <c r="F1813"/>
      <c r="G1813"/>
      <c r="H1813"/>
    </row>
    <row r="1814" spans="1:8">
      <c r="A1814"/>
      <c r="B1814"/>
      <c r="C1814"/>
      <c r="E1814"/>
      <c r="F1814"/>
      <c r="G1814"/>
      <c r="H1814"/>
    </row>
    <row r="1815" spans="1:8">
      <c r="A1815"/>
      <c r="B1815"/>
      <c r="C1815"/>
      <c r="E1815"/>
      <c r="F1815"/>
      <c r="G1815"/>
      <c r="H1815"/>
    </row>
    <row r="1816" spans="1:8">
      <c r="A1816"/>
      <c r="B1816"/>
      <c r="C1816"/>
      <c r="E1816"/>
      <c r="F1816"/>
      <c r="G1816"/>
      <c r="H1816"/>
    </row>
    <row r="1817" spans="1:8">
      <c r="A1817"/>
      <c r="B1817"/>
      <c r="C1817"/>
      <c r="E1817"/>
      <c r="F1817"/>
      <c r="G1817"/>
      <c r="H1817"/>
    </row>
    <row r="1818" spans="1:8">
      <c r="A1818"/>
      <c r="B1818"/>
      <c r="C1818"/>
      <c r="E1818"/>
      <c r="F1818"/>
      <c r="G1818"/>
      <c r="H1818"/>
    </row>
    <row r="1819" spans="1:8">
      <c r="A1819"/>
      <c r="B1819"/>
      <c r="C1819"/>
      <c r="E1819"/>
      <c r="F1819"/>
      <c r="G1819"/>
      <c r="H1819"/>
    </row>
    <row r="1820" spans="1:8">
      <c r="A1820"/>
      <c r="B1820"/>
      <c r="C1820"/>
      <c r="E1820"/>
      <c r="F1820"/>
      <c r="G1820"/>
      <c r="H1820"/>
    </row>
    <row r="1821" spans="1:8">
      <c r="A1821"/>
      <c r="B1821"/>
      <c r="C1821"/>
      <c r="E1821"/>
      <c r="F1821"/>
      <c r="G1821"/>
      <c r="H1821"/>
    </row>
    <row r="1822" spans="1:8">
      <c r="A1822"/>
      <c r="B1822"/>
      <c r="C1822"/>
      <c r="E1822"/>
      <c r="F1822"/>
      <c r="G1822"/>
      <c r="H1822"/>
    </row>
    <row r="1823" spans="1:8">
      <c r="A1823"/>
      <c r="B1823"/>
      <c r="C1823"/>
      <c r="E1823"/>
      <c r="F1823"/>
      <c r="G1823"/>
      <c r="H1823"/>
    </row>
    <row r="1824" spans="1:8">
      <c r="A1824"/>
      <c r="B1824"/>
      <c r="C1824"/>
      <c r="E1824"/>
      <c r="F1824"/>
      <c r="G1824"/>
      <c r="H1824"/>
    </row>
    <row r="1825" spans="1:8">
      <c r="A1825"/>
      <c r="B1825"/>
      <c r="C1825"/>
      <c r="E1825"/>
      <c r="F1825"/>
      <c r="G1825"/>
      <c r="H1825"/>
    </row>
    <row r="1826" spans="1:8">
      <c r="A1826"/>
      <c r="B1826"/>
      <c r="C1826"/>
      <c r="E1826"/>
      <c r="F1826"/>
      <c r="G1826"/>
      <c r="H1826"/>
    </row>
    <row r="1827" spans="1:8">
      <c r="A1827"/>
      <c r="B1827"/>
      <c r="C1827"/>
      <c r="E1827"/>
      <c r="F1827"/>
      <c r="G1827"/>
      <c r="H1827"/>
    </row>
    <row r="1828" spans="1:8">
      <c r="A1828"/>
      <c r="B1828"/>
      <c r="C1828"/>
      <c r="E1828"/>
      <c r="F1828"/>
      <c r="G1828"/>
      <c r="H1828"/>
    </row>
    <row r="1829" spans="1:8">
      <c r="A1829"/>
      <c r="B1829"/>
      <c r="C1829"/>
      <c r="E1829"/>
      <c r="F1829"/>
      <c r="G1829"/>
      <c r="H1829"/>
    </row>
    <row r="1830" spans="1:8">
      <c r="A1830"/>
      <c r="B1830"/>
      <c r="C1830"/>
      <c r="E1830"/>
      <c r="F1830"/>
      <c r="G1830"/>
      <c r="H1830"/>
    </row>
    <row r="1831" spans="1:8">
      <c r="A1831"/>
      <c r="B1831"/>
      <c r="C1831"/>
      <c r="E1831"/>
      <c r="F1831"/>
      <c r="G1831"/>
      <c r="H1831"/>
    </row>
    <row r="1832" spans="1:8">
      <c r="A1832"/>
      <c r="B1832"/>
      <c r="C1832"/>
      <c r="E1832"/>
      <c r="F1832"/>
      <c r="G1832"/>
      <c r="H1832"/>
    </row>
    <row r="1833" spans="1:8">
      <c r="A1833"/>
      <c r="B1833"/>
      <c r="C1833"/>
      <c r="E1833"/>
      <c r="F1833"/>
      <c r="G1833"/>
      <c r="H1833"/>
    </row>
    <row r="1834" spans="1:8">
      <c r="A1834"/>
      <c r="B1834"/>
      <c r="C1834"/>
      <c r="E1834"/>
      <c r="F1834"/>
      <c r="G1834"/>
      <c r="H1834"/>
    </row>
    <row r="1835" spans="1:8">
      <c r="A1835"/>
      <c r="B1835"/>
      <c r="C1835"/>
      <c r="E1835"/>
      <c r="F1835"/>
      <c r="G1835"/>
      <c r="H1835"/>
    </row>
    <row r="1836" spans="1:8">
      <c r="A1836"/>
      <c r="B1836"/>
      <c r="C1836"/>
      <c r="E1836"/>
      <c r="F1836"/>
      <c r="G1836"/>
      <c r="H1836"/>
    </row>
    <row r="1837" spans="1:8">
      <c r="A1837"/>
      <c r="B1837"/>
      <c r="C1837"/>
      <c r="E1837"/>
      <c r="F1837"/>
      <c r="G1837"/>
      <c r="H1837"/>
    </row>
    <row r="1838" spans="1:8">
      <c r="A1838"/>
      <c r="B1838"/>
      <c r="C1838"/>
      <c r="E1838"/>
      <c r="F1838"/>
      <c r="G1838"/>
      <c r="H1838"/>
    </row>
    <row r="1839" spans="1:8">
      <c r="A1839"/>
      <c r="B1839"/>
      <c r="C1839"/>
      <c r="E1839"/>
      <c r="F1839"/>
      <c r="G1839"/>
      <c r="H1839"/>
    </row>
    <row r="1840" spans="1:8">
      <c r="A1840"/>
      <c r="B1840"/>
      <c r="C1840"/>
      <c r="E1840"/>
      <c r="F1840"/>
      <c r="G1840"/>
      <c r="H1840"/>
    </row>
    <row r="1841" spans="1:8">
      <c r="A1841"/>
      <c r="B1841"/>
      <c r="C1841"/>
      <c r="E1841"/>
      <c r="F1841"/>
      <c r="G1841"/>
      <c r="H1841"/>
    </row>
    <row r="1842" spans="1:8">
      <c r="A1842"/>
      <c r="B1842"/>
      <c r="C1842"/>
      <c r="E1842"/>
      <c r="F1842"/>
      <c r="G1842"/>
      <c r="H1842"/>
    </row>
    <row r="1843" spans="1:8">
      <c r="A1843"/>
      <c r="B1843"/>
      <c r="C1843"/>
      <c r="E1843"/>
      <c r="F1843"/>
      <c r="G1843"/>
      <c r="H1843"/>
    </row>
    <row r="1844" spans="1:8">
      <c r="A1844"/>
      <c r="B1844"/>
      <c r="C1844"/>
      <c r="E1844"/>
      <c r="F1844"/>
      <c r="G1844"/>
      <c r="H1844"/>
    </row>
    <row r="1845" spans="1:8">
      <c r="A1845"/>
      <c r="B1845"/>
      <c r="C1845"/>
      <c r="E1845"/>
      <c r="F1845"/>
      <c r="G1845"/>
      <c r="H1845"/>
    </row>
    <row r="1846" spans="1:8">
      <c r="A1846"/>
      <c r="B1846"/>
      <c r="C1846"/>
      <c r="E1846"/>
      <c r="F1846"/>
      <c r="G1846"/>
      <c r="H1846"/>
    </row>
    <row r="1847" spans="1:8">
      <c r="A1847"/>
      <c r="B1847"/>
      <c r="C1847"/>
      <c r="E1847"/>
      <c r="F1847"/>
      <c r="G1847"/>
      <c r="H1847"/>
    </row>
    <row r="1848" spans="1:8">
      <c r="A1848"/>
      <c r="B1848"/>
      <c r="C1848"/>
      <c r="E1848"/>
      <c r="F1848"/>
      <c r="G1848"/>
      <c r="H1848"/>
    </row>
    <row r="1849" spans="1:8">
      <c r="A1849"/>
      <c r="B1849"/>
      <c r="C1849"/>
      <c r="E1849"/>
      <c r="F1849"/>
      <c r="G1849"/>
      <c r="H1849"/>
    </row>
    <row r="1850" spans="1:8">
      <c r="A1850"/>
      <c r="B1850"/>
      <c r="C1850"/>
      <c r="E1850"/>
      <c r="F1850"/>
      <c r="G1850"/>
      <c r="H1850"/>
    </row>
    <row r="1851" spans="1:8">
      <c r="A1851"/>
      <c r="B1851"/>
      <c r="C1851"/>
      <c r="E1851"/>
      <c r="F1851"/>
      <c r="G1851"/>
      <c r="H1851"/>
    </row>
    <row r="1852" spans="1:8">
      <c r="A1852"/>
      <c r="B1852"/>
      <c r="C1852"/>
      <c r="E1852"/>
      <c r="F1852"/>
      <c r="G1852"/>
      <c r="H1852"/>
    </row>
    <row r="1853" spans="1:8">
      <c r="A1853"/>
      <c r="B1853"/>
      <c r="C1853"/>
      <c r="E1853"/>
      <c r="F1853"/>
      <c r="G1853"/>
      <c r="H1853"/>
    </row>
    <row r="1854" spans="1:8">
      <c r="A1854"/>
      <c r="B1854"/>
      <c r="C1854"/>
      <c r="E1854"/>
      <c r="F1854"/>
      <c r="G1854"/>
      <c r="H1854"/>
    </row>
    <row r="1855" spans="1:8">
      <c r="A1855"/>
      <c r="B1855"/>
      <c r="C1855"/>
      <c r="E1855"/>
      <c r="F1855"/>
      <c r="G1855"/>
      <c r="H1855"/>
    </row>
    <row r="1856" spans="1:8">
      <c r="A1856"/>
      <c r="B1856"/>
      <c r="C1856"/>
      <c r="E1856"/>
      <c r="F1856"/>
      <c r="G1856"/>
      <c r="H1856"/>
    </row>
    <row r="1857" spans="1:8">
      <c r="A1857"/>
      <c r="B1857"/>
      <c r="C1857"/>
      <c r="E1857"/>
      <c r="F1857"/>
      <c r="G1857"/>
      <c r="H1857"/>
    </row>
    <row r="1858" spans="1:8">
      <c r="A1858"/>
      <c r="B1858"/>
      <c r="C1858"/>
      <c r="E1858"/>
      <c r="F1858"/>
      <c r="G1858"/>
      <c r="H1858"/>
    </row>
    <row r="1859" spans="1:8">
      <c r="A1859"/>
      <c r="B1859"/>
      <c r="C1859"/>
      <c r="E1859"/>
      <c r="F1859"/>
      <c r="G1859"/>
      <c r="H1859"/>
    </row>
    <row r="1860" spans="1:8">
      <c r="A1860"/>
      <c r="B1860"/>
      <c r="C1860"/>
      <c r="E1860"/>
      <c r="F1860"/>
      <c r="G1860"/>
      <c r="H1860"/>
    </row>
    <row r="1861" spans="1:8">
      <c r="A1861"/>
      <c r="B1861"/>
      <c r="C1861"/>
      <c r="E1861"/>
      <c r="F1861"/>
      <c r="G1861"/>
      <c r="H1861"/>
    </row>
    <row r="1862" spans="1:8">
      <c r="A1862"/>
      <c r="B1862"/>
      <c r="C1862"/>
      <c r="E1862"/>
      <c r="F1862"/>
      <c r="G1862"/>
      <c r="H1862"/>
    </row>
    <row r="1863" spans="1:8">
      <c r="A1863"/>
      <c r="B1863"/>
      <c r="C1863"/>
      <c r="E1863"/>
      <c r="F1863"/>
      <c r="G1863"/>
      <c r="H1863"/>
    </row>
    <row r="1864" spans="1:8">
      <c r="A1864"/>
      <c r="B1864"/>
      <c r="C1864"/>
      <c r="E1864"/>
      <c r="F1864"/>
      <c r="G1864"/>
      <c r="H1864"/>
    </row>
    <row r="1865" spans="1:8">
      <c r="A1865"/>
      <c r="B1865"/>
      <c r="C1865"/>
      <c r="E1865"/>
      <c r="F1865"/>
      <c r="G1865"/>
      <c r="H1865"/>
    </row>
    <row r="1866" spans="1:8">
      <c r="A1866"/>
      <c r="B1866"/>
      <c r="C1866"/>
      <c r="E1866"/>
      <c r="F1866"/>
      <c r="G1866"/>
      <c r="H1866"/>
    </row>
    <row r="1867" spans="1:8">
      <c r="A1867"/>
      <c r="B1867"/>
      <c r="C1867"/>
      <c r="E1867"/>
      <c r="F1867"/>
      <c r="G1867"/>
      <c r="H1867"/>
    </row>
    <row r="1868" spans="1:8">
      <c r="A1868"/>
      <c r="B1868"/>
      <c r="C1868"/>
      <c r="E1868"/>
      <c r="F1868"/>
      <c r="G1868"/>
      <c r="H1868"/>
    </row>
    <row r="1869" spans="1:8">
      <c r="A1869"/>
      <c r="B1869"/>
      <c r="C1869"/>
      <c r="E1869"/>
      <c r="F1869"/>
      <c r="G1869"/>
      <c r="H1869"/>
    </row>
    <row r="1870" spans="1:8">
      <c r="A1870"/>
      <c r="B1870"/>
      <c r="C1870"/>
      <c r="E1870"/>
      <c r="F1870"/>
      <c r="G1870"/>
      <c r="H1870"/>
    </row>
    <row r="1871" spans="1:8">
      <c r="A1871"/>
      <c r="B1871"/>
      <c r="C1871"/>
      <c r="E1871"/>
      <c r="F1871"/>
      <c r="G1871"/>
      <c r="H1871"/>
    </row>
    <row r="1872" spans="1:8">
      <c r="A1872"/>
      <c r="B1872"/>
      <c r="C1872"/>
      <c r="E1872"/>
      <c r="F1872"/>
      <c r="G1872"/>
      <c r="H1872"/>
    </row>
    <row r="1873" spans="1:8">
      <c r="A1873"/>
      <c r="B1873"/>
      <c r="C1873"/>
      <c r="E1873"/>
      <c r="F1873"/>
      <c r="G1873"/>
      <c r="H1873"/>
    </row>
    <row r="1874" spans="1:8">
      <c r="A1874"/>
      <c r="B1874"/>
      <c r="C1874"/>
      <c r="E1874"/>
      <c r="F1874"/>
      <c r="G1874"/>
      <c r="H1874"/>
    </row>
    <row r="1875" spans="1:8">
      <c r="A1875"/>
      <c r="B1875"/>
      <c r="C1875"/>
      <c r="E1875"/>
      <c r="F1875"/>
      <c r="G1875"/>
      <c r="H1875"/>
    </row>
    <row r="1876" spans="1:8">
      <c r="A1876"/>
      <c r="B1876"/>
      <c r="C1876"/>
      <c r="E1876"/>
      <c r="F1876"/>
      <c r="G1876"/>
      <c r="H1876"/>
    </row>
    <row r="1877" spans="1:8">
      <c r="A1877"/>
      <c r="B1877"/>
      <c r="C1877"/>
      <c r="E1877"/>
      <c r="F1877"/>
      <c r="G1877"/>
      <c r="H1877"/>
    </row>
    <row r="1878" spans="1:8">
      <c r="A1878"/>
      <c r="B1878"/>
      <c r="C1878"/>
      <c r="E1878"/>
      <c r="F1878"/>
      <c r="G1878"/>
      <c r="H1878"/>
    </row>
    <row r="1879" spans="1:8">
      <c r="A1879"/>
      <c r="B1879"/>
      <c r="C1879"/>
      <c r="E1879"/>
      <c r="F1879"/>
      <c r="G1879"/>
      <c r="H1879"/>
    </row>
    <row r="1880" spans="1:8">
      <c r="A1880"/>
      <c r="B1880"/>
      <c r="C1880"/>
      <c r="E1880"/>
      <c r="F1880"/>
      <c r="G1880"/>
      <c r="H1880"/>
    </row>
    <row r="1881" spans="1:8">
      <c r="A1881"/>
      <c r="B1881"/>
      <c r="C1881"/>
      <c r="E1881"/>
      <c r="F1881"/>
      <c r="G1881"/>
      <c r="H1881"/>
    </row>
    <row r="1882" spans="1:8">
      <c r="A1882"/>
      <c r="B1882"/>
      <c r="C1882"/>
      <c r="E1882"/>
      <c r="F1882"/>
      <c r="G1882"/>
      <c r="H1882"/>
    </row>
    <row r="1883" spans="1:8">
      <c r="A1883"/>
      <c r="B1883"/>
      <c r="C1883"/>
      <c r="E1883"/>
      <c r="F1883"/>
      <c r="G1883"/>
      <c r="H1883"/>
    </row>
    <row r="1884" spans="1:8">
      <c r="A1884"/>
      <c r="B1884"/>
      <c r="C1884"/>
      <c r="E1884"/>
      <c r="F1884"/>
      <c r="G1884"/>
      <c r="H1884"/>
    </row>
    <row r="1885" spans="1:8">
      <c r="A1885"/>
      <c r="B1885"/>
      <c r="C1885"/>
      <c r="E1885"/>
      <c r="F1885"/>
      <c r="G1885"/>
      <c r="H1885"/>
    </row>
    <row r="1886" spans="1:8">
      <c r="A1886"/>
      <c r="B1886"/>
      <c r="C1886"/>
      <c r="E1886"/>
      <c r="F1886"/>
      <c r="G1886"/>
      <c r="H1886"/>
    </row>
    <row r="1887" spans="1:8">
      <c r="A1887"/>
      <c r="B1887"/>
      <c r="C1887"/>
      <c r="E1887"/>
      <c r="F1887"/>
      <c r="G1887"/>
      <c r="H1887"/>
    </row>
    <row r="1888" spans="1:8">
      <c r="A1888"/>
      <c r="B1888"/>
      <c r="C1888"/>
      <c r="E1888"/>
      <c r="F1888"/>
      <c r="G1888"/>
      <c r="H1888"/>
    </row>
    <row r="1889" spans="1:8">
      <c r="A1889"/>
      <c r="B1889"/>
      <c r="C1889"/>
      <c r="E1889"/>
      <c r="F1889"/>
      <c r="G1889"/>
      <c r="H1889"/>
    </row>
    <row r="1890" spans="1:8">
      <c r="A1890"/>
      <c r="B1890"/>
      <c r="C1890"/>
      <c r="E1890"/>
      <c r="F1890"/>
      <c r="G1890"/>
      <c r="H1890"/>
    </row>
    <row r="1891" spans="1:8">
      <c r="A1891"/>
      <c r="B1891"/>
      <c r="C1891"/>
      <c r="E1891"/>
      <c r="F1891"/>
      <c r="G1891"/>
      <c r="H1891"/>
    </row>
    <row r="1892" spans="1:8">
      <c r="A1892"/>
      <c r="B1892"/>
      <c r="C1892"/>
      <c r="E1892"/>
      <c r="F1892"/>
      <c r="G1892"/>
      <c r="H1892"/>
    </row>
    <row r="1893" spans="1:8">
      <c r="A1893"/>
      <c r="B1893"/>
      <c r="C1893"/>
      <c r="E1893"/>
      <c r="F1893"/>
      <c r="G1893"/>
      <c r="H1893"/>
    </row>
    <row r="1894" spans="1:8">
      <c r="A1894"/>
      <c r="B1894"/>
      <c r="C1894"/>
      <c r="E1894"/>
      <c r="F1894"/>
      <c r="G1894"/>
      <c r="H1894"/>
    </row>
    <row r="1895" spans="1:8">
      <c r="A1895"/>
      <c r="B1895"/>
      <c r="C1895"/>
      <c r="E1895"/>
      <c r="F1895"/>
      <c r="G1895"/>
      <c r="H1895"/>
    </row>
    <row r="1896" spans="1:8">
      <c r="A1896"/>
      <c r="B1896"/>
      <c r="C1896"/>
      <c r="E1896"/>
      <c r="F1896"/>
      <c r="G1896"/>
      <c r="H1896"/>
    </row>
    <row r="1897" spans="1:8">
      <c r="A1897"/>
      <c r="B1897"/>
      <c r="C1897"/>
      <c r="E1897"/>
      <c r="F1897"/>
      <c r="G1897"/>
      <c r="H1897"/>
    </row>
    <row r="1898" spans="1:8">
      <c r="A1898"/>
      <c r="B1898"/>
      <c r="C1898"/>
      <c r="E1898"/>
      <c r="F1898"/>
      <c r="G1898"/>
      <c r="H1898"/>
    </row>
    <row r="1899" spans="1:8">
      <c r="A1899"/>
      <c r="B1899"/>
      <c r="C1899"/>
      <c r="E1899"/>
      <c r="F1899"/>
      <c r="G1899"/>
      <c r="H1899"/>
    </row>
    <row r="1900" spans="1:8">
      <c r="A1900"/>
      <c r="B1900"/>
      <c r="C1900"/>
      <c r="E1900"/>
      <c r="F1900"/>
      <c r="G1900"/>
      <c r="H1900"/>
    </row>
    <row r="1901" spans="1:8">
      <c r="A1901"/>
      <c r="B1901"/>
      <c r="C1901"/>
      <c r="E1901"/>
      <c r="F1901"/>
      <c r="G1901"/>
      <c r="H1901"/>
    </row>
    <row r="1902" spans="1:8">
      <c r="A1902"/>
      <c r="B1902"/>
      <c r="C1902"/>
      <c r="E1902"/>
      <c r="F1902"/>
      <c r="G1902"/>
      <c r="H1902"/>
    </row>
    <row r="1903" spans="1:8">
      <c r="A1903"/>
      <c r="B1903"/>
      <c r="C1903"/>
      <c r="E1903"/>
      <c r="F1903"/>
      <c r="G1903"/>
      <c r="H1903"/>
    </row>
    <row r="1904" spans="1:8">
      <c r="A1904"/>
      <c r="B1904"/>
      <c r="C1904"/>
      <c r="E1904"/>
      <c r="F1904"/>
      <c r="G1904"/>
      <c r="H1904"/>
    </row>
    <row r="1905" spans="1:8">
      <c r="A1905"/>
      <c r="B1905"/>
      <c r="C1905"/>
      <c r="E1905"/>
      <c r="F1905"/>
      <c r="G1905"/>
      <c r="H1905"/>
    </row>
    <row r="1906" spans="1:8">
      <c r="A1906"/>
      <c r="B1906"/>
      <c r="C1906"/>
      <c r="E1906"/>
      <c r="F1906"/>
      <c r="G1906"/>
      <c r="H1906"/>
    </row>
    <row r="1907" spans="1:8">
      <c r="A1907"/>
      <c r="B1907"/>
      <c r="C1907"/>
      <c r="E1907"/>
      <c r="F1907"/>
      <c r="G1907"/>
      <c r="H1907"/>
    </row>
    <row r="1908" spans="1:8">
      <c r="A1908"/>
      <c r="B1908"/>
      <c r="C1908"/>
      <c r="E1908"/>
      <c r="F1908"/>
      <c r="G1908"/>
      <c r="H1908"/>
    </row>
    <row r="1909" spans="1:8">
      <c r="A1909"/>
      <c r="B1909"/>
      <c r="C1909"/>
      <c r="E1909"/>
      <c r="F1909"/>
      <c r="G1909"/>
      <c r="H1909"/>
    </row>
    <row r="1910" spans="1:8">
      <c r="A1910"/>
      <c r="B1910"/>
      <c r="C1910"/>
      <c r="E1910"/>
      <c r="F1910"/>
      <c r="G1910"/>
      <c r="H1910"/>
    </row>
    <row r="1911" spans="1:8">
      <c r="A1911"/>
      <c r="B1911"/>
      <c r="C1911"/>
      <c r="E1911"/>
      <c r="F1911"/>
      <c r="G1911"/>
      <c r="H1911"/>
    </row>
    <row r="1912" spans="1:8">
      <c r="A1912"/>
      <c r="B1912"/>
      <c r="C1912"/>
      <c r="E1912"/>
      <c r="F1912"/>
      <c r="G1912"/>
      <c r="H1912"/>
    </row>
    <row r="1913" spans="1:8">
      <c r="A1913"/>
      <c r="B1913"/>
      <c r="C1913"/>
      <c r="E1913"/>
      <c r="F1913"/>
      <c r="G1913"/>
      <c r="H1913"/>
    </row>
    <row r="1914" spans="1:8">
      <c r="A1914"/>
      <c r="B1914"/>
      <c r="C1914"/>
      <c r="E1914"/>
      <c r="F1914"/>
      <c r="G1914"/>
      <c r="H1914"/>
    </row>
    <row r="1915" spans="1:8">
      <c r="A1915"/>
      <c r="B1915"/>
      <c r="C1915"/>
      <c r="E1915"/>
      <c r="F1915"/>
      <c r="G1915"/>
      <c r="H1915"/>
    </row>
    <row r="1916" spans="1:8">
      <c r="A1916"/>
      <c r="B1916"/>
      <c r="C1916"/>
      <c r="E1916"/>
      <c r="F1916"/>
      <c r="G1916"/>
      <c r="H1916"/>
    </row>
    <row r="1917" spans="1:8">
      <c r="A1917"/>
      <c r="B1917"/>
      <c r="C1917"/>
      <c r="E1917"/>
      <c r="F1917"/>
      <c r="G1917"/>
      <c r="H1917"/>
    </row>
    <row r="1918" spans="1:8">
      <c r="A1918"/>
      <c r="B1918"/>
      <c r="C1918"/>
      <c r="E1918"/>
      <c r="F1918"/>
      <c r="G1918"/>
      <c r="H1918"/>
    </row>
    <row r="1919" spans="1:8">
      <c r="A1919"/>
      <c r="B1919"/>
      <c r="C1919"/>
      <c r="E1919"/>
      <c r="F1919"/>
      <c r="G1919"/>
      <c r="H1919"/>
    </row>
    <row r="1920" spans="1:8">
      <c r="A1920"/>
      <c r="B1920"/>
      <c r="C1920"/>
      <c r="E1920"/>
      <c r="F1920"/>
      <c r="G1920"/>
      <c r="H1920"/>
    </row>
    <row r="1921" spans="1:8">
      <c r="A1921"/>
      <c r="B1921"/>
      <c r="C1921"/>
      <c r="E1921"/>
      <c r="F1921"/>
      <c r="G1921"/>
      <c r="H1921"/>
    </row>
    <row r="1922" spans="1:8">
      <c r="A1922"/>
      <c r="B1922"/>
      <c r="C1922"/>
      <c r="E1922"/>
      <c r="F1922"/>
      <c r="G1922"/>
      <c r="H1922"/>
    </row>
    <row r="1923" spans="1:8">
      <c r="A1923"/>
      <c r="B1923"/>
      <c r="C1923"/>
      <c r="E1923"/>
      <c r="F1923"/>
      <c r="G1923"/>
      <c r="H1923"/>
    </row>
    <row r="1924" spans="1:8">
      <c r="A1924"/>
      <c r="B1924"/>
      <c r="C1924"/>
      <c r="E1924"/>
      <c r="F1924"/>
      <c r="G1924"/>
      <c r="H1924"/>
    </row>
    <row r="1925" spans="1:8">
      <c r="A1925"/>
      <c r="B1925"/>
      <c r="C1925"/>
      <c r="E1925"/>
      <c r="F1925"/>
      <c r="G1925"/>
      <c r="H1925"/>
    </row>
    <row r="1926" spans="1:8">
      <c r="A1926"/>
      <c r="B1926"/>
      <c r="C1926"/>
      <c r="E1926"/>
      <c r="F1926"/>
      <c r="G1926"/>
      <c r="H1926"/>
    </row>
    <row r="1927" spans="1:8">
      <c r="A1927"/>
      <c r="B1927"/>
      <c r="C1927"/>
      <c r="E1927"/>
      <c r="F1927"/>
      <c r="G1927"/>
      <c r="H1927"/>
    </row>
    <row r="1928" spans="1:8">
      <c r="A1928"/>
      <c r="B1928"/>
      <c r="C1928"/>
      <c r="E1928"/>
      <c r="F1928"/>
      <c r="G1928"/>
      <c r="H1928"/>
    </row>
    <row r="1929" spans="1:8">
      <c r="A1929"/>
      <c r="B1929"/>
      <c r="C1929"/>
      <c r="E1929"/>
      <c r="F1929"/>
      <c r="G1929"/>
      <c r="H1929"/>
    </row>
    <row r="1930" spans="1:8">
      <c r="A1930"/>
      <c r="B1930"/>
      <c r="C1930"/>
      <c r="E1930"/>
      <c r="F1930"/>
      <c r="G1930"/>
      <c r="H1930"/>
    </row>
    <row r="1931" spans="1:8">
      <c r="A1931"/>
      <c r="B1931"/>
      <c r="C1931"/>
      <c r="E1931"/>
      <c r="F1931"/>
      <c r="G1931"/>
      <c r="H1931"/>
    </row>
    <row r="1932" spans="1:8">
      <c r="A1932"/>
      <c r="B1932"/>
      <c r="C1932"/>
      <c r="E1932"/>
      <c r="F1932"/>
      <c r="G1932"/>
      <c r="H1932"/>
    </row>
    <row r="1933" spans="1:8">
      <c r="A1933"/>
      <c r="B1933"/>
      <c r="C1933"/>
      <c r="E1933"/>
      <c r="F1933"/>
      <c r="G1933"/>
      <c r="H1933"/>
    </row>
    <row r="1934" spans="1:8">
      <c r="A1934"/>
      <c r="B1934"/>
      <c r="C1934"/>
      <c r="E1934"/>
      <c r="F1934"/>
      <c r="G1934"/>
      <c r="H1934"/>
    </row>
    <row r="1935" spans="1:8">
      <c r="A1935"/>
      <c r="B1935"/>
      <c r="C1935"/>
      <c r="E1935"/>
      <c r="F1935"/>
      <c r="G1935"/>
      <c r="H1935"/>
    </row>
    <row r="1936" spans="1:8">
      <c r="A1936"/>
      <c r="B1936"/>
      <c r="C1936"/>
      <c r="E1936"/>
      <c r="F1936"/>
      <c r="G1936"/>
      <c r="H1936"/>
    </row>
    <row r="1937" spans="1:8">
      <c r="A1937"/>
      <c r="B1937"/>
      <c r="C1937"/>
      <c r="E1937"/>
      <c r="F1937"/>
      <c r="G1937"/>
      <c r="H1937"/>
    </row>
    <row r="1938" spans="1:8">
      <c r="A1938"/>
      <c r="B1938"/>
      <c r="C1938"/>
      <c r="E1938"/>
      <c r="F1938"/>
      <c r="G1938"/>
      <c r="H1938"/>
    </row>
    <row r="1939" spans="1:8">
      <c r="A1939"/>
      <c r="B1939"/>
      <c r="C1939"/>
      <c r="E1939"/>
      <c r="F1939"/>
      <c r="G1939"/>
      <c r="H1939"/>
    </row>
    <row r="1940" spans="1:8">
      <c r="A1940"/>
      <c r="B1940"/>
      <c r="C1940"/>
      <c r="E1940"/>
      <c r="F1940"/>
      <c r="G1940"/>
      <c r="H1940"/>
    </row>
    <row r="1941" spans="1:8">
      <c r="A1941"/>
      <c r="B1941"/>
      <c r="C1941"/>
      <c r="E1941"/>
      <c r="F1941"/>
      <c r="G1941"/>
      <c r="H1941"/>
    </row>
    <row r="1942" spans="1:8">
      <c r="A1942"/>
      <c r="B1942"/>
      <c r="C1942"/>
      <c r="E1942"/>
      <c r="F1942"/>
      <c r="G1942"/>
      <c r="H1942"/>
    </row>
    <row r="1943" spans="1:8">
      <c r="A1943"/>
      <c r="B1943"/>
      <c r="C1943"/>
      <c r="E1943"/>
      <c r="F1943"/>
      <c r="G1943"/>
      <c r="H1943"/>
    </row>
    <row r="1944" spans="1:8">
      <c r="A1944"/>
      <c r="B1944"/>
      <c r="C1944"/>
      <c r="E1944"/>
      <c r="F1944"/>
      <c r="G1944"/>
      <c r="H1944"/>
    </row>
    <row r="1945" spans="1:8">
      <c r="A1945"/>
      <c r="B1945"/>
      <c r="C1945"/>
      <c r="E1945"/>
      <c r="F1945"/>
      <c r="G1945"/>
      <c r="H1945"/>
    </row>
    <row r="1946" spans="1:8">
      <c r="A1946"/>
      <c r="B1946"/>
      <c r="C1946"/>
      <c r="E1946"/>
      <c r="F1946"/>
      <c r="G1946"/>
      <c r="H1946"/>
    </row>
    <row r="1947" spans="1:8">
      <c r="A1947"/>
      <c r="B1947"/>
      <c r="C1947"/>
      <c r="E1947"/>
      <c r="F1947"/>
      <c r="G1947"/>
      <c r="H1947"/>
    </row>
    <row r="1948" spans="1:8">
      <c r="A1948"/>
      <c r="B1948"/>
      <c r="C1948"/>
      <c r="E1948"/>
      <c r="F1948"/>
      <c r="G1948"/>
      <c r="H1948"/>
    </row>
    <row r="1949" spans="1:8">
      <c r="A1949"/>
      <c r="B1949"/>
      <c r="C1949"/>
      <c r="E1949"/>
      <c r="F1949"/>
      <c r="G1949"/>
      <c r="H1949"/>
    </row>
    <row r="1950" spans="1:8">
      <c r="A1950"/>
      <c r="B1950"/>
      <c r="C1950"/>
      <c r="E1950"/>
      <c r="F1950"/>
      <c r="G1950"/>
      <c r="H1950"/>
    </row>
    <row r="1951" spans="1:8">
      <c r="A1951"/>
      <c r="B1951"/>
      <c r="C1951"/>
      <c r="E1951"/>
      <c r="F1951"/>
      <c r="G1951"/>
      <c r="H1951"/>
    </row>
    <row r="1952" spans="1:8">
      <c r="A1952"/>
      <c r="B1952"/>
      <c r="C1952"/>
      <c r="E1952"/>
      <c r="F1952"/>
      <c r="G1952"/>
      <c r="H1952"/>
    </row>
    <row r="1953" spans="1:8">
      <c r="A1953"/>
      <c r="B1953"/>
      <c r="C1953"/>
      <c r="E1953"/>
      <c r="F1953"/>
      <c r="G1953"/>
      <c r="H1953"/>
    </row>
    <row r="1954" spans="1:8">
      <c r="A1954"/>
      <c r="B1954"/>
      <c r="C1954"/>
      <c r="E1954"/>
      <c r="F1954"/>
      <c r="G1954"/>
      <c r="H1954"/>
    </row>
    <row r="1955" spans="1:8">
      <c r="A1955"/>
      <c r="B1955"/>
      <c r="C1955"/>
      <c r="E1955"/>
      <c r="F1955"/>
      <c r="G1955"/>
      <c r="H1955"/>
    </row>
    <row r="1956" spans="1:8">
      <c r="A1956"/>
      <c r="B1956"/>
      <c r="C1956"/>
      <c r="E1956"/>
      <c r="F1956"/>
      <c r="G1956"/>
      <c r="H1956"/>
    </row>
    <row r="1957" spans="1:8">
      <c r="A1957"/>
      <c r="B1957"/>
      <c r="C1957"/>
      <c r="E1957"/>
      <c r="F1957"/>
      <c r="G1957"/>
      <c r="H1957"/>
    </row>
    <row r="1958" spans="1:8">
      <c r="A1958"/>
      <c r="B1958"/>
      <c r="C1958"/>
      <c r="E1958"/>
      <c r="F1958"/>
      <c r="G1958"/>
      <c r="H1958"/>
    </row>
    <row r="1959" spans="1:8">
      <c r="A1959"/>
      <c r="B1959"/>
      <c r="C1959"/>
      <c r="E1959"/>
      <c r="F1959"/>
      <c r="G1959"/>
      <c r="H1959"/>
    </row>
    <row r="1960" spans="1:8">
      <c r="A1960"/>
      <c r="B1960"/>
      <c r="C1960"/>
      <c r="E1960"/>
      <c r="F1960"/>
      <c r="G1960"/>
      <c r="H1960"/>
    </row>
    <row r="1961" spans="1:8">
      <c r="A1961"/>
      <c r="B1961"/>
      <c r="C1961"/>
      <c r="E1961"/>
      <c r="F1961"/>
      <c r="G1961"/>
      <c r="H1961"/>
    </row>
    <row r="1962" spans="1:8">
      <c r="A1962"/>
      <c r="B1962"/>
      <c r="C1962"/>
      <c r="E1962"/>
      <c r="F1962"/>
      <c r="G1962"/>
      <c r="H1962"/>
    </row>
    <row r="1963" spans="1:8">
      <c r="A1963"/>
      <c r="B1963"/>
      <c r="C1963"/>
      <c r="E1963"/>
      <c r="F1963"/>
      <c r="G1963"/>
      <c r="H1963"/>
    </row>
    <row r="1964" spans="1:8">
      <c r="A1964"/>
      <c r="B1964"/>
      <c r="C1964"/>
      <c r="E1964"/>
      <c r="F1964"/>
      <c r="G1964"/>
      <c r="H1964"/>
    </row>
    <row r="1965" spans="1:8">
      <c r="A1965"/>
      <c r="B1965"/>
      <c r="C1965"/>
      <c r="E1965"/>
      <c r="F1965"/>
      <c r="G1965"/>
      <c r="H1965"/>
    </row>
    <row r="1966" spans="1:8">
      <c r="A1966"/>
      <c r="B1966"/>
      <c r="C1966"/>
      <c r="E1966"/>
      <c r="F1966"/>
      <c r="G1966"/>
      <c r="H1966"/>
    </row>
    <row r="1967" spans="1:8">
      <c r="A1967"/>
      <c r="B1967"/>
      <c r="C1967"/>
      <c r="E1967"/>
      <c r="F1967"/>
      <c r="G1967"/>
      <c r="H1967"/>
    </row>
    <row r="1968" spans="1:8">
      <c r="A1968"/>
      <c r="B1968"/>
      <c r="C1968"/>
      <c r="E1968"/>
      <c r="F1968"/>
      <c r="G1968"/>
      <c r="H1968"/>
    </row>
    <row r="1969" spans="1:8">
      <c r="A1969"/>
      <c r="B1969"/>
      <c r="C1969"/>
      <c r="E1969"/>
      <c r="F1969"/>
      <c r="G1969"/>
      <c r="H1969"/>
    </row>
    <row r="1970" spans="1:8">
      <c r="A1970"/>
      <c r="B1970"/>
      <c r="C1970"/>
      <c r="E1970"/>
      <c r="F1970"/>
      <c r="G1970"/>
      <c r="H1970"/>
    </row>
    <row r="1971" spans="1:8">
      <c r="A1971"/>
      <c r="B1971"/>
      <c r="C1971"/>
      <c r="E1971"/>
      <c r="F1971"/>
      <c r="G1971"/>
      <c r="H1971"/>
    </row>
    <row r="1972" spans="1:8">
      <c r="A1972"/>
      <c r="B1972"/>
      <c r="C1972"/>
      <c r="E1972"/>
      <c r="F1972"/>
      <c r="G1972"/>
      <c r="H1972"/>
    </row>
    <row r="1973" spans="1:8">
      <c r="A1973"/>
      <c r="B1973"/>
      <c r="C1973"/>
      <c r="E1973"/>
      <c r="F1973"/>
      <c r="G1973"/>
      <c r="H1973"/>
    </row>
    <row r="1974" spans="1:8">
      <c r="A1974"/>
      <c r="B1974"/>
      <c r="C1974"/>
      <c r="E1974"/>
      <c r="F1974"/>
      <c r="G1974"/>
      <c r="H1974"/>
    </row>
    <row r="1975" spans="1:8">
      <c r="A1975"/>
      <c r="B1975"/>
      <c r="C1975"/>
      <c r="E1975"/>
      <c r="F1975"/>
      <c r="G1975"/>
      <c r="H1975"/>
    </row>
    <row r="1976" spans="1:8">
      <c r="A1976"/>
      <c r="B1976"/>
      <c r="C1976"/>
      <c r="E1976"/>
      <c r="F1976"/>
      <c r="G1976"/>
      <c r="H1976"/>
    </row>
    <row r="1977" spans="1:8">
      <c r="A1977"/>
      <c r="B1977"/>
      <c r="C1977"/>
      <c r="E1977"/>
      <c r="F1977"/>
      <c r="G1977"/>
      <c r="H1977"/>
    </row>
    <row r="1978" spans="1:8">
      <c r="A1978"/>
      <c r="B1978"/>
      <c r="C1978"/>
      <c r="E1978"/>
      <c r="F1978"/>
      <c r="G1978"/>
      <c r="H1978"/>
    </row>
    <row r="1979" spans="1:8">
      <c r="A1979"/>
      <c r="B1979"/>
      <c r="C1979"/>
      <c r="E1979"/>
      <c r="F1979"/>
      <c r="G1979"/>
      <c r="H1979"/>
    </row>
    <row r="1980" spans="1:8">
      <c r="A1980"/>
      <c r="B1980"/>
      <c r="C1980"/>
      <c r="E1980"/>
      <c r="F1980"/>
      <c r="G1980"/>
      <c r="H1980"/>
    </row>
    <row r="1981" spans="1:8">
      <c r="A1981"/>
      <c r="B1981"/>
      <c r="C1981"/>
      <c r="E1981"/>
      <c r="F1981"/>
      <c r="G1981"/>
      <c r="H1981"/>
    </row>
    <row r="1982" spans="1:8">
      <c r="A1982"/>
      <c r="B1982"/>
      <c r="C1982"/>
      <c r="E1982"/>
      <c r="F1982"/>
      <c r="G1982"/>
      <c r="H1982"/>
    </row>
    <row r="1983" spans="1:8">
      <c r="A1983"/>
      <c r="B1983"/>
      <c r="C1983"/>
      <c r="E1983"/>
      <c r="F1983"/>
      <c r="G1983"/>
      <c r="H1983"/>
    </row>
    <row r="1984" spans="1:8">
      <c r="A1984"/>
      <c r="B1984"/>
      <c r="C1984"/>
      <c r="E1984"/>
      <c r="F1984"/>
      <c r="G1984"/>
      <c r="H1984"/>
    </row>
    <row r="1985" spans="1:8">
      <c r="A1985"/>
      <c r="B1985"/>
      <c r="C1985"/>
      <c r="E1985"/>
      <c r="F1985"/>
      <c r="G1985"/>
      <c r="H1985"/>
    </row>
    <row r="1986" spans="1:8">
      <c r="A1986"/>
      <c r="B1986"/>
      <c r="C1986"/>
      <c r="E1986"/>
      <c r="F1986"/>
      <c r="G1986"/>
      <c r="H1986"/>
    </row>
    <row r="1987" spans="1:8">
      <c r="A1987"/>
      <c r="B1987"/>
      <c r="C1987"/>
      <c r="E1987"/>
      <c r="F1987"/>
      <c r="G1987"/>
      <c r="H1987"/>
    </row>
    <row r="1988" spans="1:8">
      <c r="A1988"/>
      <c r="B1988"/>
      <c r="C1988"/>
      <c r="E1988"/>
      <c r="F1988"/>
      <c r="G1988"/>
      <c r="H1988"/>
    </row>
    <row r="1989" spans="1:8">
      <c r="A1989"/>
      <c r="B1989"/>
      <c r="C1989"/>
      <c r="E1989"/>
      <c r="F1989"/>
      <c r="G1989"/>
      <c r="H1989"/>
    </row>
    <row r="1990" spans="1:8">
      <c r="A1990"/>
      <c r="B1990"/>
      <c r="C1990"/>
      <c r="E1990"/>
      <c r="F1990"/>
      <c r="G1990"/>
      <c r="H1990"/>
    </row>
    <row r="1991" spans="1:8">
      <c r="A1991"/>
      <c r="B1991"/>
      <c r="C1991"/>
      <c r="E1991"/>
      <c r="F1991"/>
      <c r="G1991"/>
      <c r="H1991"/>
    </row>
    <row r="1992" spans="1:8">
      <c r="A1992"/>
      <c r="B1992"/>
      <c r="C1992"/>
      <c r="E1992"/>
      <c r="F1992"/>
      <c r="G1992"/>
      <c r="H1992"/>
    </row>
    <row r="1993" spans="1:8">
      <c r="A1993"/>
      <c r="B1993"/>
      <c r="C1993"/>
      <c r="E1993"/>
      <c r="F1993"/>
      <c r="G1993"/>
      <c r="H1993"/>
    </row>
    <row r="1994" spans="1:8">
      <c r="A1994"/>
      <c r="B1994"/>
      <c r="C1994"/>
      <c r="E1994"/>
      <c r="F1994"/>
      <c r="G1994"/>
      <c r="H1994"/>
    </row>
    <row r="1995" spans="1:8">
      <c r="A1995"/>
      <c r="B1995"/>
      <c r="C1995"/>
      <c r="E1995"/>
      <c r="F1995"/>
      <c r="G1995"/>
      <c r="H1995"/>
    </row>
    <row r="1996" spans="1:8">
      <c r="A1996"/>
      <c r="B1996"/>
      <c r="C1996"/>
      <c r="E1996"/>
      <c r="F1996"/>
      <c r="G1996"/>
      <c r="H1996"/>
    </row>
    <row r="1997" spans="1:8">
      <c r="A1997"/>
      <c r="B1997"/>
      <c r="C1997"/>
      <c r="E1997"/>
      <c r="F1997"/>
      <c r="G1997"/>
      <c r="H1997"/>
    </row>
    <row r="1998" spans="1:8">
      <c r="A1998"/>
      <c r="B1998"/>
      <c r="C1998"/>
      <c r="E1998"/>
      <c r="F1998"/>
      <c r="G1998"/>
      <c r="H1998"/>
    </row>
    <row r="1999" spans="1:8">
      <c r="A1999"/>
      <c r="B1999"/>
      <c r="C1999"/>
      <c r="E1999"/>
      <c r="F1999"/>
      <c r="G1999"/>
      <c r="H1999"/>
    </row>
    <row r="2000" spans="1:8">
      <c r="A2000"/>
      <c r="B2000"/>
      <c r="C2000"/>
      <c r="E2000"/>
      <c r="F2000"/>
      <c r="G2000"/>
      <c r="H2000"/>
    </row>
    <row r="2001" spans="1:8">
      <c r="A2001"/>
      <c r="B2001"/>
      <c r="C2001"/>
      <c r="E2001"/>
      <c r="F2001"/>
      <c r="G2001"/>
      <c r="H2001"/>
    </row>
    <row r="2002" spans="1:8">
      <c r="A2002"/>
      <c r="B2002"/>
      <c r="C2002"/>
      <c r="E2002"/>
      <c r="F2002"/>
      <c r="G2002"/>
      <c r="H2002"/>
    </row>
    <row r="2003" spans="1:8">
      <c r="A2003"/>
      <c r="B2003"/>
      <c r="C2003"/>
      <c r="E2003"/>
      <c r="F2003"/>
      <c r="G2003"/>
      <c r="H2003"/>
    </row>
    <row r="2004" spans="1:8">
      <c r="A2004"/>
      <c r="B2004"/>
      <c r="C2004"/>
      <c r="E2004"/>
      <c r="F2004"/>
      <c r="G2004"/>
      <c r="H2004"/>
    </row>
    <row r="2005" spans="1:8">
      <c r="A2005"/>
      <c r="B2005"/>
      <c r="C2005"/>
      <c r="E2005"/>
      <c r="F2005"/>
      <c r="G2005"/>
      <c r="H2005"/>
    </row>
    <row r="2006" spans="1:8">
      <c r="A2006"/>
      <c r="B2006"/>
      <c r="C2006"/>
      <c r="E2006"/>
      <c r="F2006"/>
      <c r="G2006"/>
      <c r="H2006"/>
    </row>
    <row r="2007" spans="1:8">
      <c r="A2007"/>
      <c r="B2007"/>
      <c r="C2007"/>
      <c r="E2007"/>
      <c r="F2007"/>
      <c r="G2007"/>
      <c r="H2007"/>
    </row>
    <row r="2008" spans="1:8">
      <c r="A2008"/>
      <c r="B2008"/>
      <c r="C2008"/>
      <c r="E2008"/>
      <c r="F2008"/>
      <c r="G2008"/>
      <c r="H2008"/>
    </row>
    <row r="2009" spans="1:8">
      <c r="A2009"/>
      <c r="B2009"/>
      <c r="C2009"/>
      <c r="E2009"/>
      <c r="F2009"/>
      <c r="G2009"/>
      <c r="H2009"/>
    </row>
    <row r="2010" spans="1:8">
      <c r="A2010"/>
      <c r="B2010"/>
      <c r="C2010"/>
      <c r="E2010"/>
      <c r="F2010"/>
      <c r="G2010"/>
      <c r="H2010"/>
    </row>
    <row r="2011" spans="1:8">
      <c r="A2011"/>
      <c r="B2011"/>
      <c r="C2011"/>
      <c r="E2011"/>
      <c r="F2011"/>
      <c r="G2011"/>
      <c r="H2011"/>
    </row>
    <row r="2012" spans="1:8">
      <c r="A2012"/>
      <c r="B2012"/>
      <c r="C2012"/>
      <c r="E2012"/>
      <c r="F2012"/>
      <c r="G2012"/>
      <c r="H2012"/>
    </row>
    <row r="2013" spans="1:8">
      <c r="A2013"/>
      <c r="B2013"/>
      <c r="C2013"/>
      <c r="E2013"/>
      <c r="F2013"/>
      <c r="G2013"/>
      <c r="H2013"/>
    </row>
    <row r="2014" spans="1:8">
      <c r="A2014"/>
      <c r="B2014"/>
      <c r="C2014"/>
      <c r="E2014"/>
      <c r="F2014"/>
      <c r="G2014"/>
      <c r="H2014"/>
    </row>
    <row r="2015" spans="1:8">
      <c r="A2015"/>
      <c r="B2015"/>
      <c r="C2015"/>
      <c r="E2015"/>
      <c r="F2015"/>
      <c r="G2015"/>
      <c r="H2015"/>
    </row>
    <row r="2016" spans="1:8">
      <c r="A2016"/>
      <c r="B2016"/>
      <c r="C2016"/>
      <c r="E2016"/>
      <c r="F2016"/>
      <c r="G2016"/>
      <c r="H2016"/>
    </row>
    <row r="2017" spans="1:8">
      <c r="A2017"/>
      <c r="B2017"/>
      <c r="C2017"/>
      <c r="E2017"/>
      <c r="F2017"/>
      <c r="G2017"/>
      <c r="H2017"/>
    </row>
    <row r="2018" spans="1:8">
      <c r="A2018"/>
      <c r="B2018"/>
      <c r="C2018"/>
      <c r="E2018"/>
      <c r="F2018"/>
      <c r="G2018"/>
      <c r="H2018"/>
    </row>
    <row r="2019" spans="1:8">
      <c r="A2019"/>
      <c r="B2019"/>
      <c r="C2019"/>
      <c r="E2019"/>
      <c r="F2019"/>
      <c r="G2019"/>
      <c r="H2019"/>
    </row>
    <row r="2020" spans="1:8">
      <c r="A2020"/>
      <c r="B2020"/>
      <c r="C2020"/>
      <c r="E2020"/>
      <c r="F2020"/>
      <c r="G2020"/>
      <c r="H2020"/>
    </row>
    <row r="2021" spans="1:8">
      <c r="A2021"/>
      <c r="B2021"/>
      <c r="C2021"/>
      <c r="E2021"/>
      <c r="F2021"/>
      <c r="G2021"/>
      <c r="H2021"/>
    </row>
    <row r="2022" spans="1:8">
      <c r="A2022"/>
      <c r="B2022"/>
      <c r="C2022"/>
      <c r="E2022"/>
      <c r="F2022"/>
      <c r="G2022"/>
      <c r="H2022"/>
    </row>
    <row r="2023" spans="1:8">
      <c r="A2023"/>
      <c r="B2023"/>
      <c r="C2023"/>
      <c r="E2023"/>
      <c r="F2023"/>
      <c r="G2023"/>
      <c r="H2023"/>
    </row>
    <row r="2024" spans="1:8">
      <c r="A2024"/>
      <c r="B2024"/>
      <c r="C2024"/>
      <c r="E2024"/>
      <c r="F2024"/>
      <c r="G2024"/>
      <c r="H2024"/>
    </row>
    <row r="2025" spans="1:8">
      <c r="A2025"/>
      <c r="B2025"/>
      <c r="C2025"/>
      <c r="E2025"/>
      <c r="F2025"/>
      <c r="G2025"/>
      <c r="H2025"/>
    </row>
    <row r="2026" spans="1:8">
      <c r="A2026"/>
      <c r="B2026"/>
      <c r="C2026"/>
      <c r="E2026"/>
      <c r="F2026"/>
      <c r="G2026"/>
      <c r="H2026"/>
    </row>
    <row r="2027" spans="1:8">
      <c r="A2027"/>
      <c r="B2027"/>
      <c r="C2027"/>
      <c r="E2027"/>
      <c r="F2027"/>
      <c r="G2027"/>
      <c r="H2027"/>
    </row>
    <row r="2028" spans="1:8">
      <c r="A2028"/>
      <c r="B2028"/>
      <c r="C2028"/>
      <c r="E2028"/>
      <c r="F2028"/>
      <c r="G2028"/>
      <c r="H2028"/>
    </row>
    <row r="2029" spans="1:8">
      <c r="A2029"/>
      <c r="B2029"/>
      <c r="C2029"/>
      <c r="E2029"/>
      <c r="F2029"/>
      <c r="G2029"/>
      <c r="H2029"/>
    </row>
    <row r="2030" spans="1:8">
      <c r="A2030"/>
      <c r="B2030"/>
      <c r="C2030"/>
      <c r="E2030"/>
      <c r="F2030"/>
      <c r="G2030"/>
      <c r="H2030"/>
    </row>
    <row r="2031" spans="1:8">
      <c r="A2031"/>
      <c r="B2031"/>
      <c r="C2031"/>
      <c r="E2031"/>
      <c r="F2031"/>
      <c r="G2031"/>
      <c r="H2031"/>
    </row>
    <row r="2032" spans="1:8">
      <c r="A2032"/>
      <c r="B2032"/>
      <c r="C2032"/>
      <c r="E2032"/>
      <c r="F2032"/>
      <c r="G2032"/>
      <c r="H2032"/>
    </row>
    <row r="2033" spans="1:8">
      <c r="A2033"/>
      <c r="B2033"/>
      <c r="C2033"/>
      <c r="E2033"/>
      <c r="F2033"/>
      <c r="G2033"/>
      <c r="H2033"/>
    </row>
    <row r="2034" spans="1:8">
      <c r="A2034"/>
      <c r="B2034"/>
      <c r="C2034"/>
      <c r="E2034"/>
      <c r="F2034"/>
      <c r="G2034"/>
      <c r="H2034"/>
    </row>
    <row r="2035" spans="1:8">
      <c r="A2035"/>
      <c r="B2035"/>
      <c r="C2035"/>
      <c r="E2035"/>
      <c r="F2035"/>
      <c r="G2035"/>
      <c r="H2035"/>
    </row>
    <row r="2036" spans="1:8">
      <c r="A2036"/>
      <c r="B2036"/>
      <c r="C2036"/>
      <c r="E2036"/>
      <c r="F2036"/>
      <c r="G2036"/>
      <c r="H2036"/>
    </row>
    <row r="2037" spans="1:8">
      <c r="A2037"/>
      <c r="B2037"/>
      <c r="C2037"/>
      <c r="E2037"/>
      <c r="F2037"/>
      <c r="G2037"/>
      <c r="H2037"/>
    </row>
    <row r="2038" spans="1:8">
      <c r="A2038"/>
      <c r="B2038"/>
      <c r="C2038"/>
      <c r="E2038"/>
      <c r="F2038"/>
      <c r="G2038"/>
      <c r="H2038"/>
    </row>
    <row r="2039" spans="1:8">
      <c r="A2039"/>
      <c r="B2039"/>
      <c r="C2039"/>
      <c r="E2039"/>
      <c r="F2039"/>
      <c r="G2039"/>
      <c r="H2039"/>
    </row>
    <row r="2040" spans="1:8">
      <c r="A2040"/>
      <c r="B2040"/>
      <c r="C2040"/>
      <c r="E2040"/>
      <c r="F2040"/>
      <c r="G2040"/>
      <c r="H2040"/>
    </row>
    <row r="2041" spans="1:8">
      <c r="A2041"/>
      <c r="B2041"/>
      <c r="C2041"/>
      <c r="E2041"/>
      <c r="F2041"/>
      <c r="G2041"/>
      <c r="H2041"/>
    </row>
    <row r="2042" spans="1:8">
      <c r="A2042"/>
      <c r="B2042"/>
      <c r="C2042"/>
      <c r="E2042"/>
      <c r="F2042"/>
      <c r="G2042"/>
      <c r="H2042"/>
    </row>
    <row r="2043" spans="1:8">
      <c r="A2043"/>
      <c r="B2043"/>
      <c r="C2043"/>
      <c r="E2043"/>
      <c r="F2043"/>
      <c r="G2043"/>
      <c r="H2043"/>
    </row>
    <row r="2044" spans="1:8">
      <c r="A2044"/>
      <c r="B2044"/>
      <c r="C2044"/>
      <c r="E2044"/>
      <c r="F2044"/>
      <c r="G2044"/>
      <c r="H2044"/>
    </row>
    <row r="2045" spans="1:8">
      <c r="A2045"/>
      <c r="B2045"/>
      <c r="C2045"/>
      <c r="E2045"/>
      <c r="F2045"/>
      <c r="G2045"/>
      <c r="H2045"/>
    </row>
    <row r="2046" spans="1:8">
      <c r="A2046"/>
      <c r="B2046"/>
      <c r="C2046"/>
      <c r="E2046"/>
      <c r="F2046"/>
      <c r="G2046"/>
      <c r="H2046"/>
    </row>
    <row r="2047" spans="1:8">
      <c r="A2047"/>
      <c r="B2047"/>
      <c r="C2047"/>
      <c r="E2047"/>
      <c r="F2047"/>
      <c r="G2047"/>
      <c r="H2047"/>
    </row>
    <row r="2048" spans="1:8">
      <c r="A2048"/>
      <c r="B2048"/>
      <c r="C2048"/>
      <c r="E2048"/>
      <c r="F2048"/>
      <c r="G2048"/>
      <c r="H2048"/>
    </row>
    <row r="2049" spans="1:8">
      <c r="A2049"/>
      <c r="B2049"/>
      <c r="C2049"/>
      <c r="E2049"/>
      <c r="F2049"/>
      <c r="G2049"/>
      <c r="H2049"/>
    </row>
    <row r="2050" spans="1:8">
      <c r="A2050"/>
      <c r="B2050"/>
      <c r="C2050"/>
      <c r="E2050"/>
      <c r="F2050"/>
      <c r="G2050"/>
      <c r="H2050"/>
    </row>
    <row r="2051" spans="1:8">
      <c r="A2051"/>
      <c r="B2051"/>
      <c r="C2051"/>
      <c r="E2051"/>
      <c r="F2051"/>
      <c r="G2051"/>
      <c r="H2051"/>
    </row>
    <row r="2052" spans="1:8">
      <c r="A2052"/>
      <c r="B2052"/>
      <c r="C2052"/>
      <c r="E2052"/>
      <c r="F2052"/>
      <c r="G2052"/>
      <c r="H2052"/>
    </row>
    <row r="2053" spans="1:8">
      <c r="A2053"/>
      <c r="B2053"/>
      <c r="C2053"/>
      <c r="E2053"/>
      <c r="F2053"/>
      <c r="G2053"/>
      <c r="H2053"/>
    </row>
    <row r="2054" spans="1:8">
      <c r="A2054"/>
      <c r="B2054"/>
      <c r="C2054"/>
      <c r="E2054"/>
      <c r="F2054"/>
      <c r="G2054"/>
      <c r="H2054"/>
    </row>
    <row r="2055" spans="1:8">
      <c r="A2055"/>
      <c r="B2055"/>
      <c r="C2055"/>
      <c r="E2055"/>
      <c r="F2055"/>
      <c r="G2055"/>
      <c r="H2055"/>
    </row>
    <row r="2056" spans="1:8">
      <c r="A2056"/>
      <c r="B2056"/>
      <c r="C2056"/>
      <c r="E2056"/>
      <c r="F2056"/>
      <c r="G2056"/>
      <c r="H2056"/>
    </row>
    <row r="2057" spans="1:8">
      <c r="A2057"/>
      <c r="B2057"/>
      <c r="C2057"/>
      <c r="E2057"/>
      <c r="F2057"/>
      <c r="G2057"/>
      <c r="H2057"/>
    </row>
    <row r="2058" spans="1:8">
      <c r="A2058"/>
      <c r="B2058"/>
      <c r="C2058"/>
      <c r="E2058"/>
      <c r="F2058"/>
      <c r="G2058"/>
      <c r="H2058"/>
    </row>
    <row r="2059" spans="1:8">
      <c r="A2059"/>
      <c r="B2059"/>
      <c r="C2059"/>
      <c r="E2059"/>
      <c r="F2059"/>
      <c r="G2059"/>
      <c r="H2059"/>
    </row>
    <row r="2060" spans="1:8">
      <c r="A2060"/>
      <c r="B2060"/>
      <c r="C2060"/>
      <c r="E2060"/>
      <c r="F2060"/>
      <c r="G2060"/>
      <c r="H2060"/>
    </row>
    <row r="2061" spans="1:8">
      <c r="A2061"/>
      <c r="B2061"/>
      <c r="C2061"/>
      <c r="E2061"/>
      <c r="F2061"/>
      <c r="G2061"/>
      <c r="H2061"/>
    </row>
    <row r="2062" spans="1:8">
      <c r="A2062"/>
      <c r="B2062"/>
      <c r="C2062"/>
      <c r="E2062"/>
      <c r="F2062"/>
      <c r="G2062"/>
      <c r="H2062"/>
    </row>
    <row r="2063" spans="1:8">
      <c r="A2063"/>
      <c r="B2063"/>
      <c r="C2063"/>
      <c r="E2063"/>
      <c r="F2063"/>
      <c r="G2063"/>
      <c r="H2063"/>
    </row>
    <row r="2064" spans="1:8">
      <c r="A2064"/>
      <c r="B2064"/>
      <c r="C2064"/>
      <c r="E2064"/>
      <c r="F2064"/>
      <c r="G2064"/>
      <c r="H2064"/>
    </row>
    <row r="2065" spans="1:8">
      <c r="A2065"/>
      <c r="B2065"/>
      <c r="C2065"/>
      <c r="E2065"/>
      <c r="F2065"/>
      <c r="G2065"/>
      <c r="H2065"/>
    </row>
    <row r="2066" spans="1:8">
      <c r="A2066"/>
      <c r="B2066"/>
      <c r="C2066"/>
      <c r="E2066"/>
      <c r="F2066"/>
      <c r="G2066"/>
      <c r="H2066"/>
    </row>
    <row r="2067" spans="1:8">
      <c r="A2067"/>
      <c r="B2067"/>
      <c r="C2067"/>
      <c r="E2067"/>
      <c r="F2067"/>
      <c r="G2067"/>
      <c r="H2067"/>
    </row>
    <row r="2068" spans="1:8">
      <c r="A2068"/>
      <c r="B2068"/>
      <c r="C2068"/>
      <c r="E2068"/>
      <c r="F2068"/>
      <c r="G2068"/>
      <c r="H2068"/>
    </row>
    <row r="2069" spans="1:8">
      <c r="A2069"/>
      <c r="B2069"/>
      <c r="C2069"/>
      <c r="E2069"/>
      <c r="F2069"/>
      <c r="G2069"/>
      <c r="H2069"/>
    </row>
    <row r="2070" spans="1:8">
      <c r="A2070"/>
      <c r="B2070"/>
      <c r="C2070"/>
      <c r="E2070"/>
      <c r="F2070"/>
      <c r="G2070"/>
      <c r="H2070"/>
    </row>
    <row r="2071" spans="1:8">
      <c r="A2071"/>
      <c r="B2071"/>
      <c r="C2071"/>
      <c r="E2071"/>
      <c r="F2071"/>
      <c r="G2071"/>
      <c r="H2071"/>
    </row>
    <row r="2072" spans="1:8">
      <c r="A2072"/>
      <c r="B2072"/>
      <c r="C2072"/>
      <c r="E2072"/>
      <c r="F2072"/>
      <c r="G2072"/>
      <c r="H2072"/>
    </row>
    <row r="2073" spans="1:8">
      <c r="A2073"/>
      <c r="B2073"/>
      <c r="C2073"/>
      <c r="E2073"/>
      <c r="F2073"/>
      <c r="G2073"/>
      <c r="H2073"/>
    </row>
    <row r="2074" spans="1:8">
      <c r="A2074"/>
      <c r="B2074"/>
      <c r="C2074"/>
      <c r="E2074"/>
      <c r="F2074"/>
      <c r="G2074"/>
      <c r="H2074"/>
    </row>
    <row r="2075" spans="1:8">
      <c r="A2075"/>
      <c r="B2075"/>
      <c r="C2075"/>
      <c r="E2075"/>
      <c r="F2075"/>
      <c r="G2075"/>
      <c r="H2075"/>
    </row>
    <row r="2076" spans="1:8">
      <c r="A2076"/>
      <c r="B2076"/>
      <c r="C2076"/>
      <c r="E2076"/>
      <c r="F2076"/>
      <c r="G2076"/>
      <c r="H2076"/>
    </row>
    <row r="2077" spans="1:8">
      <c r="A2077"/>
      <c r="B2077"/>
      <c r="C2077"/>
      <c r="E2077"/>
      <c r="F2077"/>
      <c r="G2077"/>
      <c r="H2077"/>
    </row>
    <row r="2078" spans="1:8">
      <c r="A2078"/>
      <c r="B2078"/>
      <c r="C2078"/>
      <c r="E2078"/>
      <c r="F2078"/>
      <c r="G2078"/>
      <c r="H2078"/>
    </row>
    <row r="2079" spans="1:8">
      <c r="A2079"/>
      <c r="B2079"/>
      <c r="C2079"/>
      <c r="E2079"/>
      <c r="F2079"/>
      <c r="G2079"/>
      <c r="H2079"/>
    </row>
    <row r="2080" spans="1:8">
      <c r="A2080"/>
      <c r="B2080"/>
      <c r="C2080"/>
      <c r="E2080"/>
      <c r="F2080"/>
      <c r="G2080"/>
      <c r="H2080"/>
    </row>
    <row r="2081" spans="1:8">
      <c r="A2081"/>
      <c r="B2081"/>
      <c r="C2081"/>
      <c r="E2081"/>
      <c r="F2081"/>
      <c r="G2081"/>
      <c r="H2081"/>
    </row>
    <row r="2082" spans="1:8">
      <c r="A2082"/>
      <c r="B2082"/>
      <c r="C2082"/>
      <c r="E2082"/>
      <c r="F2082"/>
      <c r="G2082"/>
      <c r="H2082"/>
    </row>
    <row r="2083" spans="1:8">
      <c r="A2083"/>
      <c r="B2083"/>
      <c r="C2083"/>
      <c r="E2083"/>
      <c r="F2083"/>
      <c r="G2083"/>
      <c r="H2083"/>
    </row>
    <row r="2084" spans="1:8">
      <c r="A2084"/>
      <c r="B2084"/>
      <c r="C2084"/>
      <c r="E2084"/>
      <c r="F2084"/>
      <c r="G2084"/>
      <c r="H2084"/>
    </row>
    <row r="2085" spans="1:8">
      <c r="A2085"/>
      <c r="B2085"/>
      <c r="C2085"/>
      <c r="E2085"/>
      <c r="F2085"/>
      <c r="G2085"/>
      <c r="H2085"/>
    </row>
    <row r="2086" spans="1:8">
      <c r="A2086"/>
      <c r="B2086"/>
      <c r="C2086"/>
      <c r="E2086"/>
      <c r="F2086"/>
      <c r="G2086"/>
      <c r="H2086"/>
    </row>
    <row r="2087" spans="1:8">
      <c r="A2087"/>
      <c r="B2087"/>
      <c r="C2087"/>
      <c r="E2087"/>
      <c r="F2087"/>
      <c r="G2087"/>
      <c r="H2087"/>
    </row>
    <row r="2088" spans="1:8">
      <c r="A2088"/>
      <c r="B2088"/>
      <c r="C2088"/>
      <c r="E2088"/>
      <c r="F2088"/>
      <c r="G2088"/>
      <c r="H2088"/>
    </row>
    <row r="2089" spans="1:8">
      <c r="A2089"/>
      <c r="B2089"/>
      <c r="C2089"/>
      <c r="E2089"/>
      <c r="F2089"/>
      <c r="G2089"/>
      <c r="H2089"/>
    </row>
    <row r="2090" spans="1:8">
      <c r="A2090"/>
      <c r="B2090"/>
      <c r="C2090"/>
      <c r="E2090"/>
      <c r="F2090"/>
      <c r="G2090"/>
      <c r="H2090"/>
    </row>
    <row r="2091" spans="1:8">
      <c r="A2091"/>
      <c r="B2091"/>
      <c r="C2091"/>
      <c r="E2091"/>
      <c r="F2091"/>
      <c r="G2091"/>
      <c r="H2091"/>
    </row>
    <row r="2092" spans="1:8">
      <c r="A2092"/>
      <c r="B2092"/>
      <c r="C2092"/>
      <c r="E2092"/>
      <c r="F2092"/>
      <c r="G2092"/>
      <c r="H2092"/>
    </row>
    <row r="2093" spans="1:8">
      <c r="A2093"/>
      <c r="B2093"/>
      <c r="C2093"/>
      <c r="E2093"/>
      <c r="F2093"/>
      <c r="G2093"/>
      <c r="H2093"/>
    </row>
    <row r="2094" spans="1:8">
      <c r="A2094"/>
      <c r="B2094"/>
      <c r="C2094"/>
      <c r="E2094"/>
      <c r="F2094"/>
      <c r="G2094"/>
      <c r="H2094"/>
    </row>
    <row r="2095" spans="1:8">
      <c r="A2095"/>
      <c r="B2095"/>
      <c r="C2095"/>
      <c r="E2095"/>
      <c r="F2095"/>
      <c r="G2095"/>
      <c r="H2095"/>
    </row>
    <row r="2096" spans="1:8">
      <c r="A2096"/>
      <c r="B2096"/>
      <c r="C2096"/>
      <c r="E2096"/>
      <c r="F2096"/>
      <c r="G2096"/>
      <c r="H2096"/>
    </row>
    <row r="2097" spans="1:8">
      <c r="A2097"/>
      <c r="B2097"/>
      <c r="C2097"/>
      <c r="E2097"/>
      <c r="F2097"/>
      <c r="G2097"/>
      <c r="H2097"/>
    </row>
    <row r="2098" spans="1:8">
      <c r="A2098"/>
      <c r="B2098"/>
      <c r="C2098"/>
      <c r="E2098"/>
      <c r="F2098"/>
      <c r="G2098"/>
      <c r="H2098"/>
    </row>
    <row r="2099" spans="1:8">
      <c r="A2099"/>
      <c r="B2099"/>
      <c r="C2099"/>
      <c r="E2099"/>
      <c r="F2099"/>
      <c r="G2099"/>
      <c r="H2099"/>
    </row>
    <row r="2100" spans="1:8">
      <c r="A2100"/>
      <c r="B2100"/>
      <c r="C2100"/>
      <c r="E2100"/>
      <c r="F2100"/>
      <c r="G2100"/>
      <c r="H2100"/>
    </row>
    <row r="2101" spans="1:8">
      <c r="A2101"/>
      <c r="B2101"/>
      <c r="C2101"/>
      <c r="E2101"/>
      <c r="F2101"/>
      <c r="G2101"/>
      <c r="H2101"/>
    </row>
    <row r="2102" spans="1:8">
      <c r="A2102"/>
      <c r="B2102"/>
      <c r="C2102"/>
      <c r="E2102"/>
      <c r="F2102"/>
      <c r="G2102"/>
      <c r="H2102"/>
    </row>
    <row r="2103" spans="1:8">
      <c r="A2103"/>
      <c r="B2103"/>
      <c r="C2103"/>
      <c r="E2103"/>
      <c r="F2103"/>
      <c r="G2103"/>
      <c r="H2103"/>
    </row>
    <row r="2104" spans="1:8">
      <c r="A2104"/>
      <c r="B2104"/>
      <c r="C2104"/>
      <c r="E2104"/>
      <c r="F2104"/>
      <c r="G2104"/>
      <c r="H2104"/>
    </row>
    <row r="2105" spans="1:8">
      <c r="A2105"/>
      <c r="B2105"/>
      <c r="C2105"/>
      <c r="E2105"/>
      <c r="F2105"/>
      <c r="G2105"/>
      <c r="H2105"/>
    </row>
    <row r="2106" spans="1:8">
      <c r="A2106"/>
      <c r="B2106"/>
      <c r="C2106"/>
      <c r="E2106"/>
      <c r="F2106"/>
      <c r="G2106"/>
      <c r="H2106"/>
    </row>
    <row r="2107" spans="1:8">
      <c r="A2107"/>
      <c r="B2107"/>
      <c r="C2107"/>
      <c r="E2107"/>
      <c r="F2107"/>
      <c r="G2107"/>
      <c r="H2107"/>
    </row>
    <row r="2108" spans="1:8">
      <c r="A2108"/>
      <c r="B2108"/>
      <c r="C2108"/>
      <c r="E2108"/>
      <c r="F2108"/>
      <c r="G2108"/>
      <c r="H2108"/>
    </row>
    <row r="2109" spans="1:8">
      <c r="A2109"/>
      <c r="B2109"/>
      <c r="C2109"/>
      <c r="E2109"/>
      <c r="F2109"/>
      <c r="G2109"/>
      <c r="H2109"/>
    </row>
    <row r="2110" spans="1:8">
      <c r="A2110"/>
      <c r="B2110"/>
      <c r="C2110"/>
      <c r="E2110"/>
      <c r="F2110"/>
      <c r="G2110"/>
      <c r="H2110"/>
    </row>
    <row r="2111" spans="1:8">
      <c r="A2111"/>
      <c r="B2111"/>
      <c r="C2111"/>
      <c r="E2111"/>
      <c r="F2111"/>
      <c r="G2111"/>
      <c r="H2111"/>
    </row>
    <row r="2112" spans="1:8">
      <c r="A2112"/>
      <c r="B2112"/>
      <c r="C2112"/>
      <c r="E2112"/>
      <c r="F2112"/>
      <c r="G2112"/>
      <c r="H2112"/>
    </row>
    <row r="2113" spans="1:8">
      <c r="A2113"/>
      <c r="B2113"/>
      <c r="C2113"/>
      <c r="E2113"/>
      <c r="F2113"/>
      <c r="G2113"/>
      <c r="H2113"/>
    </row>
    <row r="2114" spans="1:8">
      <c r="A2114"/>
      <c r="B2114"/>
      <c r="C2114"/>
      <c r="E2114"/>
      <c r="F2114"/>
      <c r="G2114"/>
      <c r="H2114"/>
    </row>
    <row r="2115" spans="1:8">
      <c r="A2115"/>
      <c r="B2115"/>
      <c r="C2115"/>
      <c r="E2115"/>
      <c r="F2115"/>
      <c r="G2115"/>
      <c r="H2115"/>
    </row>
    <row r="2116" spans="1:8">
      <c r="A2116"/>
      <c r="B2116"/>
      <c r="C2116"/>
      <c r="E2116"/>
      <c r="F2116"/>
      <c r="G2116"/>
      <c r="H2116"/>
    </row>
    <row r="2117" spans="1:8">
      <c r="A2117"/>
      <c r="B2117"/>
      <c r="C2117"/>
      <c r="E2117"/>
      <c r="F2117"/>
      <c r="G2117"/>
      <c r="H2117"/>
    </row>
    <row r="2118" spans="1:8">
      <c r="A2118"/>
      <c r="B2118"/>
      <c r="C2118"/>
      <c r="E2118"/>
      <c r="F2118"/>
      <c r="G2118"/>
      <c r="H2118"/>
    </row>
    <row r="2119" spans="1:8">
      <c r="A2119"/>
      <c r="B2119"/>
      <c r="C2119"/>
      <c r="E2119"/>
      <c r="F2119"/>
      <c r="G2119"/>
      <c r="H2119"/>
    </row>
    <row r="2120" spans="1:8">
      <c r="A2120"/>
      <c r="B2120"/>
      <c r="C2120"/>
      <c r="E2120"/>
      <c r="F2120"/>
      <c r="G2120"/>
      <c r="H2120"/>
    </row>
    <row r="2121" spans="1:8">
      <c r="A2121"/>
      <c r="B2121"/>
      <c r="C2121"/>
      <c r="E2121"/>
      <c r="F2121"/>
      <c r="G2121"/>
      <c r="H2121"/>
    </row>
    <row r="2122" spans="1:8">
      <c r="A2122"/>
      <c r="B2122"/>
      <c r="C2122"/>
      <c r="E2122"/>
      <c r="F2122"/>
      <c r="G2122"/>
      <c r="H2122"/>
    </row>
    <row r="2123" spans="1:8">
      <c r="A2123"/>
      <c r="B2123"/>
      <c r="C2123"/>
      <c r="E2123"/>
      <c r="F2123"/>
      <c r="G2123"/>
      <c r="H2123"/>
    </row>
    <row r="2124" spans="1:8">
      <c r="A2124"/>
      <c r="B2124"/>
      <c r="C2124"/>
      <c r="E2124"/>
      <c r="F2124"/>
      <c r="G2124"/>
      <c r="H2124"/>
    </row>
    <row r="2125" spans="1:8">
      <c r="A2125"/>
      <c r="B2125"/>
      <c r="C2125"/>
      <c r="E2125"/>
      <c r="F2125"/>
      <c r="G2125"/>
      <c r="H2125"/>
    </row>
    <row r="2126" spans="1:8">
      <c r="A2126"/>
      <c r="B2126"/>
      <c r="C2126"/>
      <c r="E2126"/>
      <c r="F2126"/>
      <c r="G2126"/>
      <c r="H2126"/>
    </row>
    <row r="2127" spans="1:8">
      <c r="A2127"/>
      <c r="B2127"/>
      <c r="C2127"/>
      <c r="E2127"/>
      <c r="F2127"/>
      <c r="G2127"/>
      <c r="H2127"/>
    </row>
    <row r="2128" spans="1:8">
      <c r="A2128"/>
      <c r="B2128"/>
      <c r="C2128"/>
      <c r="E2128"/>
      <c r="F2128"/>
      <c r="G2128"/>
      <c r="H2128"/>
    </row>
    <row r="2129" spans="1:8">
      <c r="A2129"/>
      <c r="B2129"/>
      <c r="C2129"/>
      <c r="E2129"/>
      <c r="F2129"/>
      <c r="G2129"/>
      <c r="H2129"/>
    </row>
    <row r="2130" spans="1:8">
      <c r="A2130"/>
      <c r="B2130"/>
      <c r="C2130"/>
      <c r="E2130"/>
      <c r="F2130"/>
      <c r="G2130"/>
      <c r="H2130"/>
    </row>
    <row r="2131" spans="1:8">
      <c r="A2131"/>
      <c r="B2131"/>
      <c r="C2131"/>
      <c r="E2131"/>
      <c r="F2131"/>
      <c r="G2131"/>
      <c r="H2131"/>
    </row>
    <row r="2132" spans="1:8">
      <c r="A2132"/>
      <c r="B2132"/>
      <c r="C2132"/>
      <c r="E2132"/>
      <c r="F2132"/>
      <c r="G2132"/>
      <c r="H2132"/>
    </row>
    <row r="2133" spans="1:8">
      <c r="A2133"/>
      <c r="B2133"/>
      <c r="C2133"/>
      <c r="E2133"/>
      <c r="F2133"/>
      <c r="G2133"/>
      <c r="H2133"/>
    </row>
    <row r="2134" spans="1:8">
      <c r="A2134"/>
      <c r="B2134"/>
      <c r="C2134"/>
      <c r="E2134"/>
      <c r="F2134"/>
      <c r="G2134"/>
      <c r="H2134"/>
    </row>
    <row r="2135" spans="1:8">
      <c r="A2135"/>
      <c r="B2135"/>
      <c r="C2135"/>
      <c r="E2135"/>
      <c r="F2135"/>
      <c r="G2135"/>
      <c r="H2135"/>
    </row>
    <row r="2136" spans="1:8">
      <c r="A2136"/>
      <c r="B2136"/>
      <c r="C2136"/>
      <c r="E2136"/>
      <c r="F2136"/>
      <c r="G2136"/>
      <c r="H2136"/>
    </row>
    <row r="2137" spans="1:8">
      <c r="A2137"/>
      <c r="B2137"/>
      <c r="C2137"/>
      <c r="E2137"/>
      <c r="F2137"/>
      <c r="G2137"/>
      <c r="H2137"/>
    </row>
    <row r="2138" spans="1:8">
      <c r="A2138"/>
      <c r="B2138"/>
      <c r="C2138"/>
      <c r="E2138"/>
      <c r="F2138"/>
      <c r="G2138"/>
      <c r="H2138"/>
    </row>
    <row r="2139" spans="1:8">
      <c r="A2139"/>
      <c r="B2139"/>
      <c r="C2139"/>
      <c r="E2139"/>
      <c r="F2139"/>
      <c r="G2139"/>
      <c r="H2139"/>
    </row>
    <row r="2140" spans="1:8">
      <c r="A2140"/>
      <c r="B2140"/>
      <c r="C2140"/>
      <c r="E2140"/>
      <c r="F2140"/>
      <c r="G2140"/>
      <c r="H2140"/>
    </row>
    <row r="2141" spans="1:8">
      <c r="A2141"/>
      <c r="B2141"/>
      <c r="C2141"/>
      <c r="E2141"/>
      <c r="F2141"/>
      <c r="G2141"/>
      <c r="H2141"/>
    </row>
    <row r="2142" spans="1:8">
      <c r="A2142"/>
      <c r="B2142"/>
      <c r="C2142"/>
      <c r="E2142"/>
      <c r="F2142"/>
      <c r="G2142"/>
      <c r="H2142"/>
    </row>
    <row r="2143" spans="1:8">
      <c r="A2143"/>
      <c r="B2143"/>
      <c r="C2143"/>
      <c r="E2143"/>
      <c r="F2143"/>
      <c r="G2143"/>
      <c r="H2143"/>
    </row>
    <row r="2144" spans="1:8">
      <c r="A2144"/>
      <c r="B2144"/>
      <c r="C2144"/>
      <c r="E2144"/>
      <c r="F2144"/>
      <c r="G2144"/>
      <c r="H2144"/>
    </row>
    <row r="2145" spans="1:8">
      <c r="A2145"/>
      <c r="B2145"/>
      <c r="C2145"/>
      <c r="E2145"/>
      <c r="F2145"/>
      <c r="G2145"/>
      <c r="H2145"/>
    </row>
    <row r="2146" spans="1:8">
      <c r="A2146"/>
      <c r="B2146"/>
      <c r="C2146"/>
      <c r="E2146"/>
      <c r="F2146"/>
      <c r="G2146"/>
      <c r="H2146"/>
    </row>
    <row r="2147" spans="1:8">
      <c r="A2147"/>
      <c r="B2147"/>
      <c r="C2147"/>
      <c r="E2147"/>
      <c r="F2147"/>
      <c r="G2147"/>
      <c r="H2147"/>
    </row>
    <row r="2148" spans="1:8">
      <c r="A2148"/>
      <c r="B2148"/>
      <c r="C2148"/>
      <c r="E2148"/>
      <c r="F2148"/>
      <c r="G2148"/>
      <c r="H2148"/>
    </row>
    <row r="2149" spans="1:8">
      <c r="A2149"/>
      <c r="B2149"/>
      <c r="C2149"/>
      <c r="E2149"/>
      <c r="F2149"/>
      <c r="G2149"/>
      <c r="H2149"/>
    </row>
    <row r="2150" spans="1:8">
      <c r="A2150"/>
      <c r="B2150"/>
      <c r="C2150"/>
      <c r="E2150"/>
      <c r="F2150"/>
      <c r="G2150"/>
      <c r="H2150"/>
    </row>
    <row r="2151" spans="1:8">
      <c r="A2151"/>
      <c r="B2151"/>
      <c r="C2151"/>
      <c r="E2151"/>
      <c r="F2151"/>
      <c r="G2151"/>
      <c r="H2151"/>
    </row>
    <row r="2152" spans="1:8">
      <c r="A2152"/>
      <c r="B2152"/>
      <c r="C2152"/>
      <c r="E2152"/>
      <c r="F2152"/>
      <c r="G2152"/>
      <c r="H2152"/>
    </row>
    <row r="2153" spans="1:8">
      <c r="A2153"/>
      <c r="B2153"/>
      <c r="C2153"/>
      <c r="E2153"/>
      <c r="F2153"/>
      <c r="G2153"/>
      <c r="H2153"/>
    </row>
    <row r="2154" spans="1:8">
      <c r="A2154"/>
      <c r="B2154"/>
      <c r="C2154"/>
      <c r="E2154"/>
      <c r="F2154"/>
      <c r="G2154"/>
      <c r="H2154"/>
    </row>
    <row r="2155" spans="1:8">
      <c r="A2155"/>
      <c r="B2155"/>
      <c r="C2155"/>
      <c r="E2155"/>
      <c r="F2155"/>
      <c r="G2155"/>
      <c r="H2155"/>
    </row>
    <row r="2156" spans="1:8">
      <c r="A2156"/>
      <c r="B2156"/>
      <c r="C2156"/>
      <c r="E2156"/>
      <c r="F2156"/>
      <c r="G2156"/>
      <c r="H2156"/>
    </row>
    <row r="2157" spans="1:8">
      <c r="A2157"/>
      <c r="B2157"/>
      <c r="C2157"/>
      <c r="E2157"/>
      <c r="F2157"/>
      <c r="G2157"/>
      <c r="H2157"/>
    </row>
    <row r="2158" spans="1:8">
      <c r="A2158"/>
      <c r="B2158"/>
      <c r="C2158"/>
      <c r="E2158"/>
      <c r="F2158"/>
      <c r="G2158"/>
      <c r="H2158"/>
    </row>
    <row r="2159" spans="1:8">
      <c r="A2159"/>
      <c r="B2159"/>
      <c r="C2159"/>
      <c r="E2159"/>
      <c r="F2159"/>
      <c r="G2159"/>
      <c r="H2159"/>
    </row>
    <row r="2160" spans="1:8">
      <c r="A2160"/>
      <c r="B2160"/>
      <c r="C2160"/>
      <c r="E2160"/>
      <c r="F2160"/>
      <c r="G2160"/>
      <c r="H2160"/>
    </row>
    <row r="2161" spans="1:8">
      <c r="A2161"/>
      <c r="B2161"/>
      <c r="C2161"/>
      <c r="E2161"/>
      <c r="F2161"/>
      <c r="G2161"/>
      <c r="H2161"/>
    </row>
    <row r="2162" spans="1:8">
      <c r="A2162"/>
      <c r="B2162"/>
      <c r="C2162"/>
      <c r="E2162"/>
      <c r="F2162"/>
      <c r="G2162"/>
      <c r="H2162"/>
    </row>
    <row r="2163" spans="1:8">
      <c r="A2163"/>
      <c r="B2163"/>
      <c r="C2163"/>
      <c r="E2163"/>
      <c r="F2163"/>
      <c r="G2163"/>
      <c r="H2163"/>
    </row>
    <row r="2164" spans="1:8">
      <c r="A2164"/>
      <c r="B2164"/>
      <c r="C2164"/>
      <c r="E2164"/>
      <c r="F2164"/>
      <c r="G2164"/>
      <c r="H2164"/>
    </row>
    <row r="2165" spans="1:8">
      <c r="A2165"/>
      <c r="B2165"/>
      <c r="C2165"/>
      <c r="E2165"/>
      <c r="F2165"/>
      <c r="G2165"/>
      <c r="H2165"/>
    </row>
    <row r="2166" spans="1:8">
      <c r="A2166"/>
      <c r="B2166"/>
      <c r="C2166"/>
      <c r="E2166"/>
      <c r="F2166"/>
      <c r="G2166"/>
      <c r="H2166"/>
    </row>
    <row r="2167" spans="1:8">
      <c r="A2167"/>
      <c r="B2167"/>
      <c r="C2167"/>
      <c r="E2167"/>
      <c r="F2167"/>
      <c r="G2167"/>
      <c r="H2167"/>
    </row>
    <row r="2168" spans="1:8">
      <c r="A2168"/>
      <c r="B2168"/>
      <c r="C2168"/>
      <c r="E2168"/>
      <c r="F2168"/>
      <c r="G2168"/>
      <c r="H2168"/>
    </row>
    <row r="2169" spans="1:8">
      <c r="A2169"/>
      <c r="B2169"/>
      <c r="C2169"/>
      <c r="E2169"/>
      <c r="F2169"/>
      <c r="G2169"/>
      <c r="H2169"/>
    </row>
    <row r="2170" spans="1:8">
      <c r="A2170"/>
      <c r="B2170"/>
      <c r="C2170"/>
      <c r="E2170"/>
      <c r="F2170"/>
      <c r="G2170"/>
      <c r="H2170"/>
    </row>
    <row r="2171" spans="1:8">
      <c r="A2171"/>
      <c r="B2171"/>
      <c r="C2171"/>
      <c r="E2171"/>
      <c r="F2171"/>
      <c r="G2171"/>
      <c r="H2171"/>
    </row>
    <row r="2172" spans="1:8">
      <c r="A2172"/>
      <c r="B2172"/>
      <c r="C2172"/>
      <c r="E2172"/>
      <c r="F2172"/>
      <c r="G2172"/>
      <c r="H2172"/>
    </row>
    <row r="2173" spans="1:8">
      <c r="A2173"/>
      <c r="B2173"/>
      <c r="C2173"/>
      <c r="E2173"/>
      <c r="F2173"/>
      <c r="G2173"/>
      <c r="H2173"/>
    </row>
    <row r="2174" spans="1:8">
      <c r="A2174"/>
      <c r="B2174"/>
      <c r="C2174"/>
      <c r="E2174"/>
      <c r="F2174"/>
      <c r="G2174"/>
      <c r="H2174"/>
    </row>
    <row r="2175" spans="1:8">
      <c r="A2175"/>
      <c r="B2175"/>
      <c r="C2175"/>
      <c r="E2175"/>
      <c r="F2175"/>
      <c r="G2175"/>
      <c r="H2175"/>
    </row>
    <row r="2176" spans="1:8">
      <c r="A2176"/>
      <c r="B2176"/>
      <c r="C2176"/>
      <c r="E2176"/>
      <c r="F2176"/>
      <c r="G2176"/>
      <c r="H2176"/>
    </row>
    <row r="2177" spans="1:8">
      <c r="A2177"/>
      <c r="B2177"/>
      <c r="C2177"/>
      <c r="E2177"/>
      <c r="F2177"/>
      <c r="G2177"/>
      <c r="H2177"/>
    </row>
    <row r="2178" spans="1:8">
      <c r="A2178"/>
      <c r="B2178"/>
      <c r="C2178"/>
      <c r="E2178"/>
      <c r="F2178"/>
      <c r="G2178"/>
      <c r="H2178"/>
    </row>
    <row r="2179" spans="1:8">
      <c r="A2179"/>
      <c r="B2179"/>
      <c r="C2179"/>
      <c r="E2179"/>
      <c r="F2179"/>
      <c r="G2179"/>
      <c r="H2179"/>
    </row>
    <row r="2180" spans="1:8">
      <c r="A2180"/>
      <c r="B2180"/>
      <c r="C2180"/>
      <c r="E2180"/>
      <c r="F2180"/>
      <c r="G2180"/>
      <c r="H2180"/>
    </row>
    <row r="2181" spans="1:8">
      <c r="A2181"/>
      <c r="B2181"/>
      <c r="C2181"/>
      <c r="E2181"/>
      <c r="F2181"/>
      <c r="G2181"/>
      <c r="H2181"/>
    </row>
    <row r="2182" spans="1:8">
      <c r="A2182"/>
      <c r="B2182"/>
      <c r="C2182"/>
      <c r="E2182"/>
      <c r="F2182"/>
      <c r="G2182"/>
      <c r="H2182"/>
    </row>
    <row r="2183" spans="1:8">
      <c r="A2183"/>
      <c r="B2183"/>
      <c r="C2183"/>
      <c r="E2183"/>
      <c r="F2183"/>
      <c r="G2183"/>
      <c r="H2183"/>
    </row>
    <row r="2184" spans="1:8">
      <c r="A2184"/>
      <c r="B2184"/>
      <c r="C2184"/>
      <c r="E2184"/>
      <c r="F2184"/>
      <c r="G2184"/>
      <c r="H2184"/>
    </row>
    <row r="2185" spans="1:8">
      <c r="A2185"/>
      <c r="B2185"/>
      <c r="C2185"/>
      <c r="E2185"/>
      <c r="F2185"/>
      <c r="G2185"/>
      <c r="H2185"/>
    </row>
    <row r="2186" spans="1:8">
      <c r="A2186"/>
      <c r="B2186"/>
      <c r="C2186"/>
      <c r="E2186"/>
      <c r="F2186"/>
      <c r="G2186"/>
      <c r="H2186"/>
    </row>
    <row r="2187" spans="1:8">
      <c r="A2187"/>
      <c r="B2187"/>
      <c r="C2187"/>
      <c r="E2187"/>
      <c r="F2187"/>
      <c r="G2187"/>
      <c r="H2187"/>
    </row>
    <row r="2188" spans="1:8">
      <c r="A2188"/>
      <c r="B2188"/>
      <c r="C2188"/>
      <c r="E2188"/>
      <c r="F2188"/>
      <c r="G2188"/>
      <c r="H2188"/>
    </row>
    <row r="2189" spans="1:8">
      <c r="A2189"/>
      <c r="B2189"/>
      <c r="C2189"/>
      <c r="E2189"/>
      <c r="F2189"/>
      <c r="G2189"/>
      <c r="H2189"/>
    </row>
    <row r="2190" spans="1:8">
      <c r="A2190"/>
      <c r="B2190"/>
      <c r="C2190"/>
      <c r="E2190"/>
      <c r="F2190"/>
      <c r="G2190"/>
      <c r="H2190"/>
    </row>
    <row r="2191" spans="1:8">
      <c r="A2191"/>
      <c r="B2191"/>
      <c r="C2191"/>
      <c r="E2191"/>
      <c r="F2191"/>
      <c r="G2191"/>
      <c r="H2191"/>
    </row>
    <row r="2192" spans="1:8">
      <c r="A2192"/>
      <c r="B2192"/>
      <c r="C2192"/>
      <c r="E2192"/>
      <c r="F2192"/>
      <c r="G2192"/>
      <c r="H2192"/>
    </row>
    <row r="2193" spans="1:8">
      <c r="A2193"/>
      <c r="B2193"/>
      <c r="C2193"/>
      <c r="E2193"/>
      <c r="F2193"/>
      <c r="G2193"/>
      <c r="H2193"/>
    </row>
    <row r="2194" spans="1:8">
      <c r="A2194"/>
      <c r="B2194"/>
      <c r="C2194"/>
      <c r="E2194"/>
      <c r="F2194"/>
      <c r="G2194"/>
      <c r="H2194"/>
    </row>
    <row r="2195" spans="1:8">
      <c r="A2195"/>
      <c r="B2195"/>
      <c r="C2195"/>
      <c r="E2195"/>
      <c r="F2195"/>
      <c r="G2195"/>
      <c r="H2195"/>
    </row>
    <row r="2196" spans="1:8">
      <c r="A2196"/>
      <c r="B2196"/>
      <c r="C2196"/>
      <c r="E2196"/>
      <c r="F2196"/>
      <c r="G2196"/>
      <c r="H2196"/>
    </row>
    <row r="2197" spans="1:8">
      <c r="A2197"/>
      <c r="B2197"/>
      <c r="C2197"/>
      <c r="E2197"/>
      <c r="F2197"/>
      <c r="G2197"/>
      <c r="H2197"/>
    </row>
    <row r="2198" spans="1:8">
      <c r="A2198"/>
      <c r="B2198"/>
      <c r="C2198"/>
      <c r="E2198"/>
      <c r="F2198"/>
      <c r="G2198"/>
      <c r="H2198"/>
    </row>
    <row r="2199" spans="1:8">
      <c r="A2199"/>
      <c r="B2199"/>
      <c r="C2199"/>
      <c r="E2199"/>
      <c r="F2199"/>
      <c r="G2199"/>
      <c r="H2199"/>
    </row>
    <row r="2200" spans="1:8">
      <c r="A2200"/>
      <c r="B2200"/>
      <c r="C2200"/>
      <c r="E2200"/>
      <c r="F2200"/>
      <c r="G2200"/>
      <c r="H2200"/>
    </row>
    <row r="2201" spans="1:8">
      <c r="A2201"/>
      <c r="B2201"/>
      <c r="C2201"/>
      <c r="E2201"/>
      <c r="F2201"/>
      <c r="G2201"/>
      <c r="H2201"/>
    </row>
    <row r="2202" spans="1:8">
      <c r="A2202"/>
      <c r="B2202"/>
      <c r="C2202"/>
      <c r="E2202"/>
      <c r="F2202"/>
      <c r="G2202"/>
      <c r="H2202"/>
    </row>
    <row r="2203" spans="1:8">
      <c r="A2203"/>
      <c r="B2203"/>
      <c r="C2203"/>
      <c r="E2203"/>
      <c r="F2203"/>
      <c r="G2203"/>
      <c r="H2203"/>
    </row>
    <row r="2204" spans="1:8">
      <c r="A2204"/>
      <c r="B2204"/>
      <c r="C2204"/>
      <c r="E2204"/>
      <c r="F2204"/>
      <c r="G2204"/>
      <c r="H2204"/>
    </row>
    <row r="2205" spans="1:8">
      <c r="A2205"/>
      <c r="B2205"/>
      <c r="C2205"/>
      <c r="E2205"/>
      <c r="F2205"/>
      <c r="G2205"/>
      <c r="H2205"/>
    </row>
    <row r="2206" spans="1:8">
      <c r="A2206"/>
      <c r="B2206"/>
      <c r="C2206"/>
      <c r="E2206"/>
      <c r="F2206"/>
      <c r="G2206"/>
      <c r="H2206"/>
    </row>
    <row r="2207" spans="1:8">
      <c r="A2207"/>
      <c r="B2207"/>
      <c r="C2207"/>
      <c r="E2207"/>
      <c r="F2207"/>
      <c r="G2207"/>
      <c r="H2207"/>
    </row>
    <row r="2208" spans="1:8">
      <c r="A2208"/>
      <c r="B2208"/>
      <c r="C2208"/>
      <c r="E2208"/>
      <c r="F2208"/>
      <c r="G2208"/>
      <c r="H2208"/>
    </row>
    <row r="2209" spans="1:8">
      <c r="A2209"/>
      <c r="B2209"/>
      <c r="C2209"/>
      <c r="E2209"/>
      <c r="F2209"/>
      <c r="G2209"/>
      <c r="H2209"/>
    </row>
    <row r="2210" spans="1:8">
      <c r="A2210"/>
      <c r="B2210"/>
      <c r="C2210"/>
      <c r="E2210"/>
      <c r="F2210"/>
      <c r="G2210"/>
      <c r="H2210"/>
    </row>
    <row r="2211" spans="1:8">
      <c r="A2211"/>
      <c r="B2211"/>
      <c r="C2211"/>
      <c r="E2211"/>
      <c r="F2211"/>
      <c r="G2211"/>
      <c r="H2211"/>
    </row>
    <row r="2212" spans="1:8">
      <c r="A2212"/>
      <c r="B2212"/>
      <c r="C2212"/>
      <c r="E2212"/>
      <c r="F2212"/>
      <c r="G2212"/>
      <c r="H2212"/>
    </row>
    <row r="2213" spans="1:8">
      <c r="A2213"/>
      <c r="B2213"/>
      <c r="C2213"/>
      <c r="E2213"/>
      <c r="F2213"/>
      <c r="G2213"/>
      <c r="H2213"/>
    </row>
    <row r="2214" spans="1:8">
      <c r="A2214"/>
      <c r="B2214"/>
      <c r="C2214"/>
      <c r="E2214"/>
      <c r="F2214"/>
      <c r="G2214"/>
      <c r="H2214"/>
    </row>
    <row r="2215" spans="1:8">
      <c r="A2215"/>
      <c r="B2215"/>
      <c r="C2215"/>
      <c r="E2215"/>
      <c r="F2215"/>
      <c r="G2215"/>
      <c r="H2215"/>
    </row>
    <row r="2216" spans="1:8">
      <c r="A2216"/>
      <c r="B2216"/>
      <c r="C2216"/>
      <c r="E2216"/>
      <c r="F2216"/>
      <c r="G2216"/>
      <c r="H2216"/>
    </row>
    <row r="2217" spans="1:8">
      <c r="A2217"/>
      <c r="B2217"/>
      <c r="C2217"/>
      <c r="E2217"/>
      <c r="F2217"/>
      <c r="G2217"/>
      <c r="H2217"/>
    </row>
    <row r="2218" spans="1:8">
      <c r="A2218"/>
      <c r="B2218"/>
      <c r="C2218"/>
      <c r="E2218"/>
      <c r="F2218"/>
      <c r="G2218"/>
      <c r="H2218"/>
    </row>
    <row r="2219" spans="1:8">
      <c r="A2219"/>
      <c r="B2219"/>
      <c r="C2219"/>
      <c r="E2219"/>
      <c r="F2219"/>
      <c r="G2219"/>
      <c r="H2219"/>
    </row>
    <row r="2220" spans="1:8">
      <c r="A2220"/>
      <c r="B2220"/>
      <c r="C2220"/>
      <c r="E2220"/>
      <c r="F2220"/>
      <c r="G2220"/>
      <c r="H2220"/>
    </row>
    <row r="2221" spans="1:8">
      <c r="A2221"/>
      <c r="B2221"/>
      <c r="C2221"/>
      <c r="E2221"/>
      <c r="F2221"/>
      <c r="G2221"/>
      <c r="H2221"/>
    </row>
    <row r="2222" spans="1:8">
      <c r="A2222"/>
      <c r="B2222"/>
      <c r="C2222"/>
      <c r="E2222"/>
      <c r="F2222"/>
      <c r="G2222"/>
      <c r="H2222"/>
    </row>
    <row r="2223" spans="1:8">
      <c r="A2223"/>
      <c r="B2223"/>
      <c r="C2223"/>
      <c r="E2223"/>
      <c r="F2223"/>
      <c r="G2223"/>
      <c r="H2223"/>
    </row>
    <row r="2224" spans="1:8">
      <c r="A2224"/>
      <c r="B2224"/>
      <c r="C2224"/>
      <c r="E2224"/>
      <c r="F2224"/>
      <c r="G2224"/>
      <c r="H2224"/>
    </row>
    <row r="2225" spans="1:8">
      <c r="A2225"/>
      <c r="B2225"/>
      <c r="C2225"/>
      <c r="E2225"/>
      <c r="F2225"/>
      <c r="G2225"/>
      <c r="H2225"/>
    </row>
    <row r="2226" spans="1:8">
      <c r="A2226"/>
      <c r="B2226"/>
      <c r="C2226"/>
      <c r="E2226"/>
      <c r="F2226"/>
      <c r="G2226"/>
      <c r="H2226"/>
    </row>
    <row r="2227" spans="1:8">
      <c r="A2227"/>
      <c r="B2227"/>
      <c r="C2227"/>
      <c r="E2227"/>
      <c r="F2227"/>
      <c r="G2227"/>
      <c r="H2227"/>
    </row>
    <row r="2228" spans="1:8">
      <c r="A2228"/>
      <c r="B2228"/>
      <c r="C2228"/>
      <c r="E2228"/>
      <c r="F2228"/>
      <c r="G2228"/>
      <c r="H2228"/>
    </row>
    <row r="2229" spans="1:8">
      <c r="A2229"/>
      <c r="B2229"/>
      <c r="C2229"/>
      <c r="E2229"/>
      <c r="F2229"/>
      <c r="G2229"/>
      <c r="H2229"/>
    </row>
    <row r="2230" spans="1:8">
      <c r="A2230"/>
      <c r="B2230"/>
      <c r="C2230"/>
      <c r="E2230"/>
      <c r="F2230"/>
      <c r="G2230"/>
      <c r="H2230"/>
    </row>
    <row r="2231" spans="1:8">
      <c r="A2231"/>
      <c r="B2231"/>
      <c r="C2231"/>
      <c r="E2231"/>
      <c r="F2231"/>
      <c r="G2231"/>
      <c r="H2231"/>
    </row>
    <row r="2232" spans="1:8">
      <c r="A2232"/>
      <c r="B2232"/>
      <c r="C2232"/>
      <c r="E2232"/>
      <c r="F2232"/>
      <c r="G2232"/>
      <c r="H2232"/>
    </row>
    <row r="2233" spans="1:8">
      <c r="A2233"/>
      <c r="B2233"/>
      <c r="C2233"/>
      <c r="E2233"/>
      <c r="F2233"/>
      <c r="G2233"/>
      <c r="H2233"/>
    </row>
    <row r="2234" spans="1:8">
      <c r="A2234"/>
      <c r="B2234"/>
      <c r="C2234"/>
      <c r="E2234"/>
      <c r="F2234"/>
      <c r="G2234"/>
      <c r="H2234"/>
    </row>
    <row r="2235" spans="1:8">
      <c r="A2235"/>
      <c r="B2235"/>
      <c r="C2235"/>
      <c r="E2235"/>
      <c r="F2235"/>
      <c r="G2235"/>
      <c r="H2235"/>
    </row>
    <row r="2236" spans="1:8">
      <c r="A2236"/>
      <c r="B2236"/>
      <c r="C2236"/>
      <c r="E2236"/>
      <c r="F2236"/>
      <c r="G2236"/>
      <c r="H2236"/>
    </row>
    <row r="2237" spans="1:8">
      <c r="A2237"/>
      <c r="B2237"/>
      <c r="C2237"/>
      <c r="E2237"/>
      <c r="F2237"/>
      <c r="G2237"/>
      <c r="H2237"/>
    </row>
    <row r="2238" spans="1:8">
      <c r="A2238"/>
      <c r="B2238"/>
      <c r="C2238"/>
      <c r="E2238"/>
      <c r="F2238"/>
      <c r="G2238"/>
      <c r="H2238"/>
    </row>
    <row r="2239" spans="1:8">
      <c r="A2239"/>
      <c r="B2239"/>
      <c r="C2239"/>
      <c r="E2239"/>
      <c r="F2239"/>
      <c r="G2239"/>
      <c r="H2239"/>
    </row>
    <row r="2240" spans="1:8">
      <c r="A2240"/>
      <c r="B2240"/>
      <c r="C2240"/>
      <c r="E2240"/>
      <c r="F2240"/>
      <c r="G2240"/>
      <c r="H2240"/>
    </row>
    <row r="2241" spans="1:8">
      <c r="A2241"/>
      <c r="B2241"/>
      <c r="C2241"/>
      <c r="E2241"/>
      <c r="F2241"/>
      <c r="G2241"/>
      <c r="H2241"/>
    </row>
    <row r="2242" spans="1:8">
      <c r="A2242"/>
      <c r="B2242"/>
      <c r="C2242"/>
      <c r="E2242"/>
      <c r="F2242"/>
      <c r="G2242"/>
      <c r="H2242"/>
    </row>
    <row r="2243" spans="1:8">
      <c r="A2243"/>
      <c r="B2243"/>
      <c r="C2243"/>
      <c r="E2243"/>
      <c r="F2243"/>
      <c r="G2243"/>
      <c r="H2243"/>
    </row>
    <row r="2244" spans="1:8">
      <c r="A2244"/>
      <c r="B2244"/>
      <c r="C2244"/>
      <c r="E2244"/>
      <c r="F2244"/>
      <c r="G2244"/>
      <c r="H2244"/>
    </row>
    <row r="2245" spans="1:8">
      <c r="A2245"/>
      <c r="B2245"/>
      <c r="C2245"/>
      <c r="E2245"/>
      <c r="F2245"/>
      <c r="G2245"/>
      <c r="H2245"/>
    </row>
    <row r="2246" spans="1:8">
      <c r="A2246"/>
      <c r="B2246"/>
      <c r="C2246"/>
      <c r="E2246"/>
      <c r="F2246"/>
      <c r="G2246"/>
      <c r="H2246"/>
    </row>
    <row r="2247" spans="1:8">
      <c r="A2247"/>
      <c r="B2247"/>
      <c r="C2247"/>
      <c r="E2247"/>
      <c r="F2247"/>
      <c r="G2247"/>
      <c r="H2247"/>
    </row>
    <row r="2248" spans="1:8">
      <c r="A2248"/>
      <c r="B2248"/>
      <c r="C2248"/>
      <c r="E2248"/>
      <c r="F2248"/>
      <c r="G2248"/>
      <c r="H2248"/>
    </row>
    <row r="2249" spans="1:8">
      <c r="A2249"/>
      <c r="B2249"/>
      <c r="C2249"/>
      <c r="E2249"/>
      <c r="F2249"/>
      <c r="G2249"/>
      <c r="H2249"/>
    </row>
    <row r="2250" spans="1:8">
      <c r="A2250"/>
      <c r="B2250"/>
      <c r="C2250"/>
      <c r="E2250"/>
      <c r="F2250"/>
      <c r="G2250"/>
      <c r="H2250"/>
    </row>
    <row r="2251" spans="1:8">
      <c r="A2251"/>
      <c r="B2251"/>
      <c r="C2251"/>
      <c r="E2251"/>
      <c r="F2251"/>
      <c r="G2251"/>
      <c r="H2251"/>
    </row>
    <row r="2252" spans="1:8">
      <c r="A2252"/>
      <c r="B2252"/>
      <c r="C2252"/>
      <c r="E2252"/>
      <c r="F2252"/>
      <c r="G2252"/>
      <c r="H2252"/>
    </row>
    <row r="2253" spans="1:8">
      <c r="A2253"/>
      <c r="B2253"/>
      <c r="C2253"/>
      <c r="E2253"/>
      <c r="F2253"/>
      <c r="G2253"/>
      <c r="H2253"/>
    </row>
    <row r="2254" spans="1:8">
      <c r="A2254"/>
      <c r="B2254"/>
      <c r="C2254"/>
      <c r="E2254"/>
      <c r="F2254"/>
      <c r="G2254"/>
      <c r="H2254"/>
    </row>
    <row r="2255" spans="1:8">
      <c r="A2255"/>
      <c r="B2255"/>
      <c r="C2255"/>
      <c r="E2255"/>
      <c r="F2255"/>
      <c r="G2255"/>
      <c r="H2255"/>
    </row>
    <row r="2256" spans="1:8">
      <c r="A2256"/>
      <c r="B2256"/>
      <c r="C2256"/>
      <c r="E2256"/>
      <c r="F2256"/>
      <c r="G2256"/>
      <c r="H2256"/>
    </row>
    <row r="2257" spans="1:8">
      <c r="A2257"/>
      <c r="B2257"/>
      <c r="C2257"/>
      <c r="E2257"/>
      <c r="F2257"/>
      <c r="G2257"/>
      <c r="H2257"/>
    </row>
    <row r="2258" spans="1:8">
      <c r="A2258"/>
      <c r="B2258"/>
      <c r="C2258"/>
      <c r="E2258"/>
      <c r="F2258"/>
      <c r="G2258"/>
      <c r="H2258"/>
    </row>
    <row r="2259" spans="1:8">
      <c r="A2259"/>
      <c r="B2259"/>
      <c r="C2259"/>
      <c r="E2259"/>
      <c r="F2259"/>
      <c r="G2259"/>
      <c r="H2259"/>
    </row>
    <row r="2260" spans="1:8">
      <c r="A2260"/>
      <c r="B2260"/>
      <c r="C2260"/>
      <c r="E2260"/>
      <c r="F2260"/>
      <c r="G2260"/>
      <c r="H2260"/>
    </row>
    <row r="2261" spans="1:8">
      <c r="A2261"/>
      <c r="B2261"/>
      <c r="C2261"/>
      <c r="E2261"/>
      <c r="F2261"/>
      <c r="G2261"/>
      <c r="H2261"/>
    </row>
    <row r="2262" spans="1:8">
      <c r="A2262"/>
      <c r="B2262"/>
      <c r="C2262"/>
      <c r="E2262"/>
      <c r="F2262"/>
      <c r="G2262"/>
      <c r="H2262"/>
    </row>
    <row r="2263" spans="1:8">
      <c r="A2263"/>
      <c r="B2263"/>
      <c r="C2263"/>
      <c r="E2263"/>
      <c r="F2263"/>
      <c r="G2263"/>
      <c r="H2263"/>
    </row>
    <row r="2264" spans="1:8">
      <c r="A2264"/>
      <c r="B2264"/>
      <c r="C2264"/>
      <c r="E2264"/>
      <c r="F2264"/>
      <c r="G2264"/>
      <c r="H2264"/>
    </row>
    <row r="2265" spans="1:8">
      <c r="A2265"/>
      <c r="B2265"/>
      <c r="C2265"/>
      <c r="E2265"/>
      <c r="F2265"/>
      <c r="G2265"/>
      <c r="H2265"/>
    </row>
    <row r="2266" spans="1:8">
      <c r="A2266"/>
      <c r="B2266"/>
      <c r="C2266"/>
      <c r="E2266"/>
      <c r="F2266"/>
      <c r="G2266"/>
      <c r="H2266"/>
    </row>
    <row r="2267" spans="1:8">
      <c r="A2267"/>
      <c r="B2267"/>
      <c r="C2267"/>
      <c r="E2267"/>
      <c r="F2267"/>
      <c r="G2267"/>
      <c r="H2267"/>
    </row>
    <row r="2268" spans="1:8">
      <c r="A2268"/>
      <c r="B2268"/>
      <c r="C2268"/>
      <c r="E2268"/>
      <c r="F2268"/>
      <c r="G2268"/>
      <c r="H2268"/>
    </row>
    <row r="2269" spans="1:8">
      <c r="A2269"/>
      <c r="B2269"/>
      <c r="C2269"/>
      <c r="E2269"/>
      <c r="F2269"/>
      <c r="G2269"/>
      <c r="H2269"/>
    </row>
    <row r="2270" spans="1:8">
      <c r="A2270"/>
      <c r="B2270"/>
      <c r="C2270"/>
      <c r="E2270"/>
      <c r="F2270"/>
      <c r="G2270"/>
      <c r="H2270"/>
    </row>
    <row r="2271" spans="1:8">
      <c r="A2271"/>
      <c r="B2271"/>
      <c r="C2271"/>
      <c r="E2271"/>
      <c r="F2271"/>
      <c r="G2271"/>
      <c r="H2271"/>
    </row>
    <row r="2272" spans="1:8">
      <c r="A2272"/>
      <c r="B2272"/>
      <c r="C2272"/>
      <c r="E2272"/>
      <c r="F2272"/>
      <c r="G2272"/>
      <c r="H2272"/>
    </row>
    <row r="2273" spans="1:8">
      <c r="A2273"/>
      <c r="B2273"/>
      <c r="C2273"/>
      <c r="E2273"/>
      <c r="F2273"/>
      <c r="G2273"/>
      <c r="H2273"/>
    </row>
    <row r="2274" spans="1:8">
      <c r="A2274"/>
      <c r="B2274"/>
      <c r="C2274"/>
      <c r="E2274"/>
      <c r="F2274"/>
      <c r="G2274"/>
      <c r="H2274"/>
    </row>
    <row r="2275" spans="1:8">
      <c r="A2275"/>
      <c r="B2275"/>
      <c r="C2275"/>
      <c r="E2275"/>
      <c r="F2275"/>
      <c r="G2275"/>
      <c r="H2275"/>
    </row>
    <row r="2276" spans="1:8">
      <c r="A2276"/>
      <c r="B2276"/>
      <c r="C2276"/>
      <c r="E2276"/>
      <c r="F2276"/>
      <c r="G2276"/>
      <c r="H2276"/>
    </row>
    <row r="2277" spans="1:8">
      <c r="A2277"/>
      <c r="B2277"/>
      <c r="C2277"/>
      <c r="E2277"/>
      <c r="F2277"/>
      <c r="G2277"/>
      <c r="H2277"/>
    </row>
    <row r="2278" spans="1:8">
      <c r="A2278"/>
      <c r="B2278"/>
      <c r="C2278"/>
      <c r="E2278"/>
      <c r="F2278"/>
      <c r="G2278"/>
      <c r="H2278"/>
    </row>
    <row r="2279" spans="1:8">
      <c r="A2279"/>
      <c r="B2279"/>
      <c r="C2279"/>
      <c r="E2279"/>
      <c r="F2279"/>
      <c r="G2279"/>
      <c r="H2279"/>
    </row>
    <row r="2280" spans="1:8">
      <c r="A2280"/>
      <c r="B2280"/>
      <c r="C2280"/>
      <c r="E2280"/>
      <c r="F2280"/>
      <c r="G2280"/>
      <c r="H2280"/>
    </row>
    <row r="2281" spans="1:8">
      <c r="A2281"/>
      <c r="B2281"/>
      <c r="C2281"/>
      <c r="E2281"/>
      <c r="F2281"/>
      <c r="G2281"/>
      <c r="H2281"/>
    </row>
    <row r="2282" spans="1:8">
      <c r="A2282"/>
      <c r="B2282"/>
      <c r="C2282"/>
      <c r="E2282"/>
      <c r="F2282"/>
      <c r="G2282"/>
      <c r="H2282"/>
    </row>
    <row r="2283" spans="1:8">
      <c r="A2283"/>
      <c r="B2283"/>
      <c r="C2283"/>
      <c r="E2283"/>
      <c r="F2283"/>
      <c r="G2283"/>
      <c r="H2283"/>
    </row>
    <row r="2284" spans="1:8">
      <c r="A2284"/>
      <c r="B2284"/>
      <c r="C2284"/>
      <c r="E2284"/>
      <c r="F2284"/>
      <c r="G2284"/>
      <c r="H2284"/>
    </row>
    <row r="2285" spans="1:8">
      <c r="A2285"/>
      <c r="B2285"/>
      <c r="C2285"/>
      <c r="E2285"/>
      <c r="F2285"/>
      <c r="G2285"/>
      <c r="H2285"/>
    </row>
    <row r="2286" spans="1:8">
      <c r="A2286"/>
      <c r="B2286"/>
      <c r="C2286"/>
      <c r="E2286"/>
      <c r="F2286"/>
      <c r="G2286"/>
      <c r="H2286"/>
    </row>
    <row r="2287" spans="1:8">
      <c r="A2287"/>
      <c r="B2287"/>
      <c r="C2287"/>
      <c r="E2287"/>
      <c r="F2287"/>
      <c r="G2287"/>
      <c r="H2287"/>
    </row>
    <row r="2288" spans="1:8">
      <c r="A2288"/>
      <c r="B2288"/>
      <c r="C2288"/>
      <c r="E2288"/>
      <c r="F2288"/>
      <c r="G2288"/>
      <c r="H2288"/>
    </row>
    <row r="2289" spans="1:8">
      <c r="A2289"/>
      <c r="B2289"/>
      <c r="C2289"/>
      <c r="E2289"/>
      <c r="F2289"/>
      <c r="G2289"/>
      <c r="H2289"/>
    </row>
    <row r="2290" spans="1:8">
      <c r="A2290"/>
      <c r="B2290"/>
      <c r="C2290"/>
      <c r="E2290"/>
      <c r="F2290"/>
      <c r="G2290"/>
      <c r="H2290"/>
    </row>
    <row r="2291" spans="1:8">
      <c r="A2291"/>
      <c r="B2291"/>
      <c r="C2291"/>
      <c r="E2291"/>
      <c r="F2291"/>
      <c r="G2291"/>
      <c r="H2291"/>
    </row>
    <row r="2292" spans="1:8">
      <c r="A2292"/>
      <c r="B2292"/>
      <c r="C2292"/>
      <c r="E2292"/>
      <c r="F2292"/>
      <c r="G2292"/>
      <c r="H2292"/>
    </row>
    <row r="2293" spans="1:8">
      <c r="A2293"/>
      <c r="B2293"/>
      <c r="C2293"/>
      <c r="E2293"/>
      <c r="F2293"/>
      <c r="G2293"/>
      <c r="H2293"/>
    </row>
    <row r="2294" spans="1:8">
      <c r="A2294"/>
      <c r="B2294"/>
      <c r="C2294"/>
      <c r="E2294"/>
      <c r="F2294"/>
      <c r="G2294"/>
      <c r="H2294"/>
    </row>
    <row r="2295" spans="1:8">
      <c r="A2295"/>
      <c r="B2295"/>
      <c r="C2295"/>
      <c r="E2295"/>
      <c r="F2295"/>
      <c r="G2295"/>
      <c r="H2295"/>
    </row>
    <row r="2296" spans="1:8">
      <c r="A2296"/>
      <c r="B2296"/>
      <c r="C2296"/>
      <c r="E2296"/>
      <c r="F2296"/>
      <c r="G2296"/>
      <c r="H2296"/>
    </row>
    <row r="2297" spans="1:8">
      <c r="A2297"/>
      <c r="B2297"/>
      <c r="C2297"/>
      <c r="E2297"/>
      <c r="F2297"/>
      <c r="G2297"/>
      <c r="H2297"/>
    </row>
    <row r="2298" spans="1:8">
      <c r="A2298"/>
      <c r="B2298"/>
      <c r="C2298"/>
      <c r="E2298"/>
      <c r="F2298"/>
      <c r="G2298"/>
      <c r="H2298"/>
    </row>
    <row r="2299" spans="1:8">
      <c r="A2299"/>
      <c r="B2299"/>
      <c r="C2299"/>
      <c r="E2299"/>
      <c r="F2299"/>
      <c r="G2299"/>
      <c r="H2299"/>
    </row>
    <row r="2300" spans="1:8">
      <c r="A2300"/>
      <c r="B2300"/>
      <c r="C2300"/>
      <c r="E2300"/>
      <c r="F2300"/>
      <c r="G2300"/>
      <c r="H2300"/>
    </row>
    <row r="2301" spans="1:8">
      <c r="A2301"/>
      <c r="B2301"/>
      <c r="C2301"/>
      <c r="E2301"/>
      <c r="F2301"/>
      <c r="G2301"/>
      <c r="H2301"/>
    </row>
    <row r="2302" spans="1:8">
      <c r="A2302"/>
      <c r="B2302"/>
      <c r="C2302"/>
      <c r="E2302"/>
      <c r="F2302"/>
      <c r="G2302"/>
      <c r="H2302"/>
    </row>
    <row r="2303" spans="1:8">
      <c r="A2303"/>
      <c r="B2303"/>
      <c r="C2303"/>
      <c r="E2303"/>
      <c r="F2303"/>
      <c r="G2303"/>
      <c r="H2303"/>
    </row>
    <row r="2304" spans="1:8">
      <c r="A2304"/>
      <c r="B2304"/>
      <c r="C2304"/>
      <c r="E2304"/>
      <c r="F2304"/>
      <c r="G2304"/>
      <c r="H2304"/>
    </row>
    <row r="2305" spans="1:8">
      <c r="A2305"/>
      <c r="B2305"/>
      <c r="C2305"/>
      <c r="E2305"/>
      <c r="F2305"/>
      <c r="G2305"/>
      <c r="H2305"/>
    </row>
    <row r="2306" spans="1:8">
      <c r="A2306"/>
      <c r="B2306"/>
      <c r="C2306"/>
      <c r="E2306"/>
      <c r="F2306"/>
      <c r="G2306"/>
      <c r="H2306"/>
    </row>
    <row r="2307" spans="1:8">
      <c r="A2307"/>
      <c r="B2307"/>
      <c r="C2307"/>
      <c r="E2307"/>
      <c r="F2307"/>
      <c r="G2307"/>
      <c r="H2307"/>
    </row>
    <row r="2308" spans="1:8">
      <c r="A2308"/>
      <c r="B2308"/>
      <c r="C2308"/>
      <c r="E2308"/>
      <c r="F2308"/>
      <c r="G2308"/>
      <c r="H2308"/>
    </row>
    <row r="2309" spans="1:8">
      <c r="A2309"/>
      <c r="B2309"/>
      <c r="C2309"/>
      <c r="E2309"/>
      <c r="F2309"/>
      <c r="G2309"/>
      <c r="H2309"/>
    </row>
    <row r="2310" spans="1:8">
      <c r="A2310"/>
      <c r="B2310"/>
      <c r="C2310"/>
      <c r="E2310"/>
      <c r="F2310"/>
      <c r="G2310"/>
      <c r="H2310"/>
    </row>
    <row r="2311" spans="1:8">
      <c r="A2311"/>
      <c r="B2311"/>
      <c r="C2311"/>
      <c r="E2311"/>
      <c r="F2311"/>
      <c r="G2311"/>
      <c r="H2311"/>
    </row>
    <row r="2312" spans="1:8">
      <c r="A2312"/>
      <c r="B2312"/>
      <c r="C2312"/>
      <c r="E2312"/>
      <c r="F2312"/>
      <c r="G2312"/>
      <c r="H2312"/>
    </row>
    <row r="2313" spans="1:8">
      <c r="A2313"/>
      <c r="B2313"/>
      <c r="C2313"/>
      <c r="E2313"/>
      <c r="F2313"/>
      <c r="G2313"/>
      <c r="H2313"/>
    </row>
    <row r="2314" spans="1:8">
      <c r="A2314"/>
      <c r="B2314"/>
      <c r="C2314"/>
      <c r="E2314"/>
      <c r="F2314"/>
      <c r="G2314"/>
      <c r="H2314"/>
    </row>
    <row r="2315" spans="1:8">
      <c r="A2315"/>
      <c r="B2315"/>
      <c r="C2315"/>
      <c r="E2315"/>
      <c r="F2315"/>
      <c r="G2315"/>
      <c r="H2315"/>
    </row>
    <row r="2316" spans="1:8">
      <c r="A2316"/>
      <c r="B2316"/>
      <c r="C2316"/>
      <c r="E2316"/>
      <c r="F2316"/>
      <c r="G2316"/>
      <c r="H2316"/>
    </row>
    <row r="2317" spans="1:8">
      <c r="A2317"/>
      <c r="B2317"/>
      <c r="C2317"/>
      <c r="E2317"/>
      <c r="F2317"/>
      <c r="G2317"/>
      <c r="H2317"/>
    </row>
    <row r="2318" spans="1:8">
      <c r="A2318"/>
      <c r="B2318"/>
      <c r="C2318"/>
      <c r="E2318"/>
      <c r="F2318"/>
      <c r="G2318"/>
      <c r="H2318"/>
    </row>
    <row r="2319" spans="1:8">
      <c r="A2319"/>
      <c r="B2319"/>
      <c r="C2319"/>
      <c r="E2319"/>
      <c r="F2319"/>
      <c r="G2319"/>
      <c r="H2319"/>
    </row>
    <row r="2320" spans="1:8">
      <c r="A2320"/>
      <c r="B2320"/>
      <c r="C2320"/>
      <c r="E2320"/>
      <c r="F2320"/>
      <c r="G2320"/>
      <c r="H2320"/>
    </row>
    <row r="2321" spans="1:8">
      <c r="A2321"/>
      <c r="B2321"/>
      <c r="C2321"/>
      <c r="E2321"/>
      <c r="F2321"/>
      <c r="G2321"/>
      <c r="H2321"/>
    </row>
    <row r="2322" spans="1:8">
      <c r="A2322"/>
      <c r="B2322"/>
      <c r="C2322"/>
      <c r="E2322"/>
      <c r="F2322"/>
      <c r="G2322"/>
      <c r="H2322"/>
    </row>
    <row r="2323" spans="1:8">
      <c r="A2323"/>
      <c r="B2323"/>
      <c r="C2323"/>
      <c r="E2323"/>
      <c r="F2323"/>
      <c r="G2323"/>
      <c r="H2323"/>
    </row>
    <row r="2324" spans="1:8">
      <c r="A2324"/>
      <c r="B2324"/>
      <c r="C2324"/>
      <c r="E2324"/>
      <c r="F2324"/>
      <c r="G2324"/>
      <c r="H2324"/>
    </row>
    <row r="2325" spans="1:8">
      <c r="A2325"/>
      <c r="B2325"/>
      <c r="C2325"/>
      <c r="E2325"/>
      <c r="F2325"/>
      <c r="G2325"/>
      <c r="H2325"/>
    </row>
    <row r="2326" spans="1:8">
      <c r="A2326"/>
      <c r="B2326"/>
      <c r="C2326"/>
      <c r="E2326"/>
      <c r="F2326"/>
      <c r="G2326"/>
      <c r="H2326"/>
    </row>
    <row r="2327" spans="1:8">
      <c r="A2327"/>
      <c r="B2327"/>
      <c r="C2327"/>
      <c r="E2327"/>
      <c r="F2327"/>
      <c r="G2327"/>
      <c r="H2327"/>
    </row>
    <row r="2328" spans="1:8">
      <c r="A2328"/>
      <c r="B2328"/>
      <c r="C2328"/>
      <c r="E2328"/>
      <c r="F2328"/>
      <c r="G2328"/>
      <c r="H2328"/>
    </row>
    <row r="2329" spans="1:8">
      <c r="A2329"/>
      <c r="B2329"/>
      <c r="C2329"/>
      <c r="E2329"/>
      <c r="F2329"/>
      <c r="G2329"/>
      <c r="H2329"/>
    </row>
    <row r="2330" spans="1:8">
      <c r="A2330"/>
      <c r="B2330"/>
      <c r="C2330"/>
      <c r="E2330"/>
      <c r="F2330"/>
      <c r="G2330"/>
      <c r="H2330"/>
    </row>
    <row r="2331" spans="1:8">
      <c r="A2331"/>
      <c r="B2331"/>
      <c r="C2331"/>
      <c r="E2331"/>
      <c r="F2331"/>
      <c r="G2331"/>
      <c r="H2331"/>
    </row>
    <row r="2332" spans="1:8">
      <c r="A2332"/>
      <c r="B2332"/>
      <c r="C2332"/>
      <c r="E2332"/>
      <c r="F2332"/>
      <c r="G2332"/>
      <c r="H2332"/>
    </row>
    <row r="2333" spans="1:8">
      <c r="A2333"/>
      <c r="B2333"/>
      <c r="C2333"/>
      <c r="E2333"/>
      <c r="F2333"/>
      <c r="G2333"/>
      <c r="H2333"/>
    </row>
    <row r="2334" spans="1:8">
      <c r="A2334"/>
      <c r="B2334"/>
      <c r="C2334"/>
      <c r="E2334"/>
      <c r="F2334"/>
      <c r="G2334"/>
      <c r="H2334"/>
    </row>
    <row r="2335" spans="1:8">
      <c r="A2335"/>
      <c r="B2335"/>
      <c r="C2335"/>
      <c r="E2335"/>
      <c r="F2335"/>
      <c r="G2335"/>
      <c r="H2335"/>
    </row>
    <row r="2336" spans="1:8">
      <c r="A2336"/>
      <c r="B2336"/>
      <c r="C2336"/>
      <c r="E2336"/>
      <c r="F2336"/>
      <c r="G2336"/>
      <c r="H2336"/>
    </row>
    <row r="2337" spans="1:8">
      <c r="A2337"/>
      <c r="B2337"/>
      <c r="C2337"/>
      <c r="E2337"/>
      <c r="F2337"/>
      <c r="G2337"/>
      <c r="H2337"/>
    </row>
    <row r="2338" spans="1:8">
      <c r="A2338"/>
      <c r="B2338"/>
      <c r="C2338"/>
      <c r="E2338"/>
      <c r="F2338"/>
      <c r="G2338"/>
      <c r="H2338"/>
    </row>
    <row r="2339" spans="1:8">
      <c r="A2339"/>
      <c r="B2339"/>
      <c r="C2339"/>
      <c r="E2339"/>
      <c r="F2339"/>
      <c r="G2339"/>
      <c r="H2339"/>
    </row>
    <row r="2340" spans="1:8">
      <c r="A2340"/>
      <c r="B2340"/>
      <c r="C2340"/>
      <c r="E2340"/>
      <c r="F2340"/>
      <c r="G2340"/>
      <c r="H2340"/>
    </row>
    <row r="2341" spans="1:8">
      <c r="A2341"/>
      <c r="B2341"/>
      <c r="C2341"/>
      <c r="E2341"/>
      <c r="F2341"/>
      <c r="G2341"/>
      <c r="H2341"/>
    </row>
    <row r="2342" spans="1:8">
      <c r="A2342"/>
      <c r="B2342"/>
      <c r="C2342"/>
      <c r="E2342"/>
      <c r="F2342"/>
      <c r="G2342"/>
      <c r="H2342"/>
    </row>
    <row r="2343" spans="1:8">
      <c r="A2343"/>
      <c r="B2343"/>
      <c r="C2343"/>
      <c r="E2343"/>
      <c r="F2343"/>
      <c r="G2343"/>
      <c r="H2343"/>
    </row>
    <row r="2344" spans="1:8">
      <c r="A2344"/>
      <c r="B2344"/>
      <c r="C2344"/>
      <c r="E2344"/>
      <c r="F2344"/>
      <c r="G2344"/>
      <c r="H2344"/>
    </row>
    <row r="2345" spans="1:8">
      <c r="A2345"/>
      <c r="B2345"/>
      <c r="C2345"/>
      <c r="E2345"/>
      <c r="F2345"/>
      <c r="G2345"/>
      <c r="H2345"/>
    </row>
    <row r="2346" spans="1:8">
      <c r="A2346"/>
      <c r="B2346"/>
      <c r="C2346"/>
      <c r="E2346"/>
      <c r="F2346"/>
      <c r="G2346"/>
      <c r="H2346"/>
    </row>
    <row r="2347" spans="1:8">
      <c r="A2347"/>
      <c r="B2347"/>
      <c r="C2347"/>
      <c r="E2347"/>
      <c r="F2347"/>
      <c r="G2347"/>
      <c r="H2347"/>
    </row>
    <row r="2348" spans="1:8">
      <c r="A2348"/>
      <c r="B2348"/>
      <c r="C2348"/>
      <c r="E2348"/>
      <c r="F2348"/>
      <c r="G2348"/>
      <c r="H2348"/>
    </row>
    <row r="2349" spans="1:8">
      <c r="A2349"/>
      <c r="B2349"/>
      <c r="C2349"/>
      <c r="E2349"/>
      <c r="F2349"/>
      <c r="G2349"/>
      <c r="H2349"/>
    </row>
    <row r="2350" spans="1:8">
      <c r="A2350"/>
      <c r="B2350"/>
      <c r="C2350"/>
      <c r="E2350"/>
      <c r="F2350"/>
      <c r="G2350"/>
      <c r="H2350"/>
    </row>
    <row r="2351" spans="1:8">
      <c r="A2351"/>
      <c r="B2351"/>
      <c r="C2351"/>
      <c r="E2351"/>
      <c r="F2351"/>
      <c r="G2351"/>
      <c r="H2351"/>
    </row>
    <row r="2352" spans="1:8">
      <c r="A2352"/>
      <c r="B2352"/>
      <c r="C2352"/>
      <c r="E2352"/>
      <c r="F2352"/>
      <c r="G2352"/>
      <c r="H2352"/>
    </row>
    <row r="2353" spans="1:8">
      <c r="A2353"/>
      <c r="B2353"/>
      <c r="C2353"/>
      <c r="E2353"/>
      <c r="F2353"/>
      <c r="G2353"/>
      <c r="H2353"/>
    </row>
    <row r="2354" spans="1:8">
      <c r="A2354"/>
      <c r="B2354"/>
      <c r="C2354"/>
      <c r="E2354"/>
      <c r="F2354"/>
      <c r="G2354"/>
      <c r="H2354"/>
    </row>
    <row r="2355" spans="1:8">
      <c r="A2355"/>
      <c r="B2355"/>
      <c r="C2355"/>
      <c r="E2355"/>
      <c r="F2355"/>
      <c r="G2355"/>
      <c r="H2355"/>
    </row>
    <row r="2356" spans="1:8">
      <c r="A2356"/>
      <c r="B2356"/>
      <c r="C2356"/>
      <c r="E2356"/>
      <c r="F2356"/>
      <c r="G2356"/>
      <c r="H2356"/>
    </row>
    <row r="2357" spans="1:8">
      <c r="A2357"/>
      <c r="B2357"/>
      <c r="C2357"/>
      <c r="E2357"/>
      <c r="F2357"/>
      <c r="G2357"/>
      <c r="H2357"/>
    </row>
    <row r="2358" spans="1:8">
      <c r="A2358"/>
      <c r="B2358"/>
      <c r="C2358"/>
      <c r="E2358"/>
      <c r="F2358"/>
      <c r="G2358"/>
      <c r="H2358"/>
    </row>
    <row r="2359" spans="1:8">
      <c r="A2359"/>
      <c r="B2359"/>
      <c r="C2359"/>
      <c r="E2359"/>
      <c r="F2359"/>
      <c r="G2359"/>
      <c r="H2359"/>
    </row>
    <row r="2360" spans="1:8">
      <c r="A2360"/>
      <c r="B2360"/>
      <c r="C2360"/>
      <c r="E2360"/>
      <c r="F2360"/>
      <c r="G2360"/>
      <c r="H2360"/>
    </row>
    <row r="2361" spans="1:8">
      <c r="A2361"/>
      <c r="B2361"/>
      <c r="C2361"/>
      <c r="E2361"/>
      <c r="F2361"/>
      <c r="G2361"/>
      <c r="H2361"/>
    </row>
    <row r="2362" spans="1:8">
      <c r="A2362"/>
      <c r="B2362"/>
      <c r="C2362"/>
      <c r="E2362"/>
      <c r="F2362"/>
      <c r="G2362"/>
      <c r="H2362"/>
    </row>
    <row r="2363" spans="1:8">
      <c r="A2363"/>
      <c r="B2363"/>
      <c r="C2363"/>
      <c r="E2363"/>
      <c r="F2363"/>
      <c r="G2363"/>
      <c r="H2363"/>
    </row>
    <row r="2364" spans="1:8">
      <c r="A2364"/>
      <c r="B2364"/>
      <c r="C2364"/>
      <c r="E2364"/>
      <c r="F2364"/>
      <c r="G2364"/>
      <c r="H2364"/>
    </row>
    <row r="2365" spans="1:8">
      <c r="A2365"/>
      <c r="B2365"/>
      <c r="C2365"/>
      <c r="E2365"/>
      <c r="F2365"/>
      <c r="G2365"/>
      <c r="H2365"/>
    </row>
    <row r="2366" spans="1:8">
      <c r="A2366"/>
      <c r="B2366"/>
      <c r="C2366"/>
      <c r="E2366"/>
      <c r="F2366"/>
      <c r="G2366"/>
      <c r="H2366"/>
    </row>
    <row r="2367" spans="1:8">
      <c r="A2367"/>
      <c r="B2367"/>
      <c r="C2367"/>
      <c r="E2367"/>
      <c r="F2367"/>
      <c r="G2367"/>
      <c r="H2367"/>
    </row>
    <row r="2368" spans="1:8">
      <c r="A2368"/>
      <c r="B2368"/>
      <c r="C2368"/>
      <c r="E2368"/>
      <c r="F2368"/>
      <c r="G2368"/>
      <c r="H2368"/>
    </row>
    <row r="2369" spans="1:8">
      <c r="A2369"/>
      <c r="B2369"/>
      <c r="C2369"/>
      <c r="E2369"/>
      <c r="F2369"/>
      <c r="G2369"/>
      <c r="H2369"/>
    </row>
    <row r="2370" spans="1:8">
      <c r="A2370"/>
      <c r="B2370"/>
      <c r="C2370"/>
      <c r="E2370"/>
      <c r="F2370"/>
      <c r="G2370"/>
      <c r="H2370"/>
    </row>
    <row r="2371" spans="1:8">
      <c r="A2371"/>
      <c r="B2371"/>
      <c r="C2371"/>
      <c r="E2371"/>
      <c r="F2371"/>
      <c r="G2371"/>
      <c r="H2371"/>
    </row>
    <row r="2372" spans="1:8">
      <c r="A2372"/>
      <c r="B2372"/>
      <c r="C2372"/>
      <c r="E2372"/>
      <c r="F2372"/>
      <c r="G2372"/>
      <c r="H2372"/>
    </row>
    <row r="2373" spans="1:8">
      <c r="A2373"/>
      <c r="B2373"/>
      <c r="C2373"/>
      <c r="E2373"/>
      <c r="F2373"/>
      <c r="G2373"/>
      <c r="H2373"/>
    </row>
    <row r="2374" spans="1:8">
      <c r="A2374"/>
      <c r="B2374"/>
      <c r="C2374"/>
      <c r="E2374"/>
      <c r="F2374"/>
      <c r="G2374"/>
      <c r="H2374"/>
    </row>
    <row r="2375" spans="1:8">
      <c r="A2375"/>
      <c r="B2375"/>
      <c r="C2375"/>
      <c r="E2375"/>
      <c r="F2375"/>
      <c r="G2375"/>
      <c r="H2375"/>
    </row>
    <row r="2376" spans="1:8">
      <c r="A2376"/>
      <c r="B2376"/>
      <c r="C2376"/>
      <c r="E2376"/>
      <c r="F2376"/>
      <c r="G2376"/>
      <c r="H2376"/>
    </row>
    <row r="2377" spans="1:8">
      <c r="A2377"/>
      <c r="B2377"/>
      <c r="C2377"/>
      <c r="E2377"/>
      <c r="F2377"/>
      <c r="G2377"/>
      <c r="H2377"/>
    </row>
    <row r="2378" spans="1:8">
      <c r="A2378"/>
      <c r="B2378"/>
      <c r="C2378"/>
      <c r="E2378"/>
      <c r="F2378"/>
      <c r="G2378"/>
      <c r="H2378"/>
    </row>
    <row r="2379" spans="1:8">
      <c r="A2379"/>
      <c r="B2379"/>
      <c r="C2379"/>
      <c r="E2379"/>
      <c r="F2379"/>
      <c r="G2379"/>
      <c r="H2379"/>
    </row>
    <row r="2380" spans="1:8">
      <c r="A2380"/>
      <c r="B2380"/>
      <c r="C2380"/>
      <c r="E2380"/>
      <c r="F2380"/>
      <c r="G2380"/>
      <c r="H2380"/>
    </row>
    <row r="2381" spans="1:8">
      <c r="A2381"/>
      <c r="B2381"/>
      <c r="C2381"/>
      <c r="E2381"/>
      <c r="F2381"/>
      <c r="G2381"/>
      <c r="H2381"/>
    </row>
    <row r="2382" spans="1:8">
      <c r="A2382"/>
      <c r="B2382"/>
      <c r="C2382"/>
      <c r="E2382"/>
      <c r="F2382"/>
      <c r="G2382"/>
      <c r="H2382"/>
    </row>
    <row r="2383" spans="1:8">
      <c r="A2383"/>
      <c r="B2383"/>
      <c r="C2383"/>
      <c r="E2383"/>
      <c r="F2383"/>
      <c r="G2383"/>
      <c r="H2383"/>
    </row>
    <row r="2384" spans="1:8">
      <c r="A2384"/>
      <c r="B2384"/>
      <c r="C2384"/>
      <c r="E2384"/>
      <c r="F2384"/>
      <c r="G2384"/>
      <c r="H2384"/>
    </row>
    <row r="2385" spans="1:8">
      <c r="A2385"/>
      <c r="B2385"/>
      <c r="C2385"/>
      <c r="E2385"/>
      <c r="F2385"/>
      <c r="G2385"/>
      <c r="H2385"/>
    </row>
    <row r="2386" spans="1:8">
      <c r="A2386"/>
      <c r="B2386"/>
      <c r="C2386"/>
      <c r="E2386"/>
      <c r="F2386"/>
      <c r="G2386"/>
      <c r="H2386"/>
    </row>
    <row r="2387" spans="1:8">
      <c r="A2387"/>
      <c r="B2387"/>
      <c r="C2387"/>
      <c r="E2387"/>
      <c r="F2387"/>
      <c r="G2387"/>
      <c r="H2387"/>
    </row>
    <row r="2388" spans="1:8">
      <c r="A2388"/>
      <c r="B2388"/>
      <c r="C2388"/>
      <c r="E2388"/>
      <c r="F2388"/>
      <c r="G2388"/>
      <c r="H2388"/>
    </row>
    <row r="2389" spans="1:8">
      <c r="A2389"/>
      <c r="B2389"/>
      <c r="C2389"/>
      <c r="E2389"/>
      <c r="F2389"/>
      <c r="G2389"/>
      <c r="H2389"/>
    </row>
    <row r="2390" spans="1:8">
      <c r="A2390"/>
      <c r="B2390"/>
      <c r="C2390"/>
      <c r="E2390"/>
      <c r="F2390"/>
      <c r="G2390"/>
      <c r="H2390"/>
    </row>
    <row r="2391" spans="1:8">
      <c r="A2391"/>
      <c r="B2391"/>
      <c r="C2391"/>
      <c r="E2391"/>
      <c r="F2391"/>
      <c r="G2391"/>
      <c r="H2391"/>
    </row>
    <row r="2392" spans="1:8">
      <c r="A2392"/>
      <c r="B2392"/>
      <c r="C2392"/>
      <c r="E2392"/>
      <c r="F2392"/>
      <c r="G2392"/>
      <c r="H2392"/>
    </row>
    <row r="2393" spans="1:8">
      <c r="A2393"/>
      <c r="B2393"/>
      <c r="C2393"/>
      <c r="E2393"/>
      <c r="F2393"/>
      <c r="G2393"/>
      <c r="H2393"/>
    </row>
    <row r="2394" spans="1:8">
      <c r="A2394"/>
      <c r="B2394"/>
      <c r="C2394"/>
      <c r="E2394"/>
      <c r="F2394"/>
      <c r="G2394"/>
      <c r="H2394"/>
    </row>
    <row r="2395" spans="1:8">
      <c r="A2395"/>
      <c r="B2395"/>
      <c r="C2395"/>
      <c r="E2395"/>
      <c r="F2395"/>
      <c r="G2395"/>
      <c r="H2395"/>
    </row>
    <row r="2396" spans="1:8">
      <c r="A2396"/>
      <c r="B2396"/>
      <c r="C2396"/>
      <c r="E2396"/>
      <c r="F2396"/>
      <c r="G2396"/>
      <c r="H2396"/>
    </row>
    <row r="2397" spans="1:8">
      <c r="A2397"/>
      <c r="B2397"/>
      <c r="C2397"/>
      <c r="E2397"/>
      <c r="F2397"/>
      <c r="G2397"/>
      <c r="H2397"/>
    </row>
    <row r="2398" spans="1:8">
      <c r="A2398"/>
      <c r="B2398"/>
      <c r="C2398"/>
      <c r="E2398"/>
      <c r="F2398"/>
      <c r="G2398"/>
      <c r="H2398"/>
    </row>
    <row r="2399" spans="1:8">
      <c r="A2399"/>
      <c r="B2399"/>
      <c r="C2399"/>
      <c r="E2399"/>
      <c r="F2399"/>
      <c r="G2399"/>
      <c r="H2399"/>
    </row>
    <row r="2400" spans="1:8">
      <c r="A2400"/>
      <c r="B2400"/>
      <c r="C2400"/>
      <c r="E2400"/>
      <c r="F2400"/>
      <c r="G2400"/>
      <c r="H2400"/>
    </row>
    <row r="2401" spans="1:8">
      <c r="A2401"/>
      <c r="B2401"/>
      <c r="C2401"/>
      <c r="E2401"/>
      <c r="F2401"/>
      <c r="G2401"/>
      <c r="H2401"/>
    </row>
    <row r="2402" spans="1:8">
      <c r="A2402"/>
      <c r="B2402"/>
      <c r="C2402"/>
      <c r="E2402"/>
      <c r="F2402"/>
      <c r="G2402"/>
      <c r="H2402"/>
    </row>
    <row r="2403" spans="1:8">
      <c r="A2403"/>
      <c r="B2403"/>
      <c r="C2403"/>
      <c r="E2403"/>
      <c r="F2403"/>
      <c r="G2403"/>
      <c r="H2403"/>
    </row>
    <row r="2404" spans="1:8">
      <c r="A2404"/>
      <c r="B2404"/>
      <c r="C2404"/>
      <c r="E2404"/>
      <c r="F2404"/>
      <c r="G2404"/>
      <c r="H2404"/>
    </row>
    <row r="2405" spans="1:8">
      <c r="A2405"/>
      <c r="B2405"/>
      <c r="C2405"/>
      <c r="E2405"/>
      <c r="F2405"/>
      <c r="G2405"/>
      <c r="H2405"/>
    </row>
    <row r="2406" spans="1:8">
      <c r="A2406"/>
      <c r="B2406"/>
      <c r="C2406"/>
      <c r="E2406"/>
      <c r="F2406"/>
      <c r="G2406"/>
      <c r="H2406"/>
    </row>
    <row r="2407" spans="1:8">
      <c r="A2407"/>
      <c r="B2407"/>
      <c r="C2407"/>
      <c r="E2407"/>
      <c r="F2407"/>
      <c r="G2407"/>
      <c r="H2407"/>
    </row>
    <row r="2408" spans="1:8">
      <c r="A2408"/>
      <c r="B2408"/>
      <c r="C2408"/>
      <c r="E2408"/>
      <c r="F2408"/>
      <c r="G2408"/>
      <c r="H2408"/>
    </row>
    <row r="2409" spans="1:8">
      <c r="A2409"/>
      <c r="B2409"/>
      <c r="C2409"/>
      <c r="E2409"/>
      <c r="F2409"/>
      <c r="G2409"/>
      <c r="H2409"/>
    </row>
    <row r="2410" spans="1:8">
      <c r="A2410"/>
      <c r="B2410"/>
      <c r="C2410"/>
      <c r="E2410"/>
      <c r="F2410"/>
      <c r="G2410"/>
      <c r="H2410"/>
    </row>
    <row r="2411" spans="1:8">
      <c r="A2411"/>
      <c r="B2411"/>
      <c r="C2411"/>
      <c r="E2411"/>
      <c r="F2411"/>
      <c r="G2411"/>
      <c r="H2411"/>
    </row>
    <row r="2412" spans="1:8">
      <c r="A2412"/>
      <c r="B2412"/>
      <c r="C2412"/>
      <c r="E2412"/>
      <c r="F2412"/>
      <c r="G2412"/>
      <c r="H2412"/>
    </row>
    <row r="2413" spans="1:8">
      <c r="A2413"/>
      <c r="B2413"/>
      <c r="C2413"/>
      <c r="E2413"/>
      <c r="F2413"/>
      <c r="G2413"/>
      <c r="H2413"/>
    </row>
    <row r="2414" spans="1:8">
      <c r="A2414"/>
      <c r="B2414"/>
      <c r="C2414"/>
      <c r="E2414"/>
      <c r="F2414"/>
      <c r="G2414"/>
      <c r="H2414"/>
    </row>
    <row r="2415" spans="1:8">
      <c r="A2415"/>
      <c r="B2415"/>
      <c r="C2415"/>
      <c r="E2415"/>
      <c r="F2415"/>
      <c r="G2415"/>
      <c r="H2415"/>
    </row>
    <row r="2416" spans="1:8">
      <c r="A2416"/>
      <c r="B2416"/>
      <c r="C2416"/>
      <c r="E2416"/>
      <c r="F2416"/>
      <c r="G2416"/>
      <c r="H2416"/>
    </row>
    <row r="2417" spans="1:8">
      <c r="A2417"/>
      <c r="B2417"/>
      <c r="C2417"/>
      <c r="E2417"/>
      <c r="F2417"/>
      <c r="G2417"/>
      <c r="H2417"/>
    </row>
    <row r="2418" spans="1:8">
      <c r="A2418"/>
      <c r="B2418"/>
      <c r="C2418"/>
      <c r="E2418"/>
      <c r="F2418"/>
      <c r="G2418"/>
      <c r="H2418"/>
    </row>
    <row r="2419" spans="1:8">
      <c r="A2419"/>
      <c r="B2419"/>
      <c r="C2419"/>
      <c r="E2419"/>
      <c r="F2419"/>
      <c r="G2419"/>
      <c r="H2419"/>
    </row>
    <row r="2420" spans="1:8">
      <c r="A2420"/>
      <c r="B2420"/>
      <c r="C2420"/>
      <c r="E2420"/>
      <c r="F2420"/>
      <c r="G2420"/>
      <c r="H2420"/>
    </row>
    <row r="2421" spans="1:8">
      <c r="A2421"/>
      <c r="B2421"/>
      <c r="C2421"/>
      <c r="E2421"/>
      <c r="F2421"/>
      <c r="G2421"/>
      <c r="H2421"/>
    </row>
    <row r="2422" spans="1:8">
      <c r="A2422"/>
      <c r="B2422"/>
      <c r="C2422"/>
      <c r="E2422"/>
      <c r="F2422"/>
      <c r="G2422"/>
      <c r="H2422"/>
    </row>
    <row r="2423" spans="1:8">
      <c r="A2423"/>
      <c r="B2423"/>
      <c r="C2423"/>
      <c r="E2423"/>
      <c r="F2423"/>
      <c r="G2423"/>
      <c r="H2423"/>
    </row>
    <row r="2424" spans="1:8">
      <c r="A2424"/>
      <c r="B2424"/>
      <c r="C2424"/>
      <c r="E2424"/>
      <c r="F2424"/>
      <c r="G2424"/>
      <c r="H2424"/>
    </row>
    <row r="2425" spans="1:8">
      <c r="A2425"/>
      <c r="B2425"/>
      <c r="C2425"/>
      <c r="E2425"/>
      <c r="F2425"/>
      <c r="G2425"/>
      <c r="H2425"/>
    </row>
    <row r="2426" spans="1:8">
      <c r="A2426"/>
      <c r="B2426"/>
      <c r="C2426"/>
      <c r="E2426"/>
      <c r="F2426"/>
      <c r="G2426"/>
      <c r="H2426"/>
    </row>
    <row r="2427" spans="1:8">
      <c r="A2427"/>
      <c r="B2427"/>
      <c r="C2427"/>
      <c r="E2427"/>
      <c r="F2427"/>
      <c r="G2427"/>
      <c r="H2427"/>
    </row>
    <row r="2428" spans="1:8">
      <c r="A2428"/>
      <c r="B2428"/>
      <c r="C2428"/>
      <c r="E2428"/>
      <c r="F2428"/>
      <c r="G2428"/>
      <c r="H2428"/>
    </row>
    <row r="2429" spans="1:8">
      <c r="A2429"/>
      <c r="B2429"/>
      <c r="C2429"/>
      <c r="E2429"/>
      <c r="F2429"/>
      <c r="G2429"/>
      <c r="H2429"/>
    </row>
    <row r="2430" spans="1:8">
      <c r="A2430"/>
      <c r="B2430"/>
      <c r="C2430"/>
      <c r="E2430"/>
      <c r="F2430"/>
      <c r="G2430"/>
      <c r="H2430"/>
    </row>
    <row r="2431" spans="1:8">
      <c r="A2431"/>
      <c r="B2431"/>
      <c r="C2431"/>
      <c r="E2431"/>
      <c r="F2431"/>
      <c r="G2431"/>
      <c r="H2431"/>
    </row>
    <row r="2432" spans="1:8">
      <c r="A2432"/>
      <c r="B2432"/>
      <c r="C2432"/>
      <c r="E2432"/>
      <c r="F2432"/>
      <c r="G2432"/>
      <c r="H2432"/>
    </row>
    <row r="2433" spans="1:8">
      <c r="A2433"/>
      <c r="B2433"/>
      <c r="C2433"/>
      <c r="E2433"/>
      <c r="F2433"/>
      <c r="G2433"/>
      <c r="H2433"/>
    </row>
    <row r="2434" spans="1:8">
      <c r="A2434"/>
      <c r="B2434"/>
      <c r="C2434"/>
      <c r="E2434"/>
      <c r="F2434"/>
      <c r="G2434"/>
      <c r="H2434"/>
    </row>
    <row r="2435" spans="1:8">
      <c r="A2435"/>
      <c r="B2435"/>
      <c r="C2435"/>
      <c r="E2435"/>
      <c r="F2435"/>
      <c r="G2435"/>
      <c r="H2435"/>
    </row>
    <row r="2436" spans="1:8">
      <c r="A2436"/>
      <c r="B2436"/>
      <c r="C2436"/>
      <c r="E2436"/>
      <c r="F2436"/>
      <c r="G2436"/>
      <c r="H2436"/>
    </row>
    <row r="2437" spans="1:8">
      <c r="A2437"/>
      <c r="B2437"/>
      <c r="C2437"/>
      <c r="E2437"/>
      <c r="F2437"/>
      <c r="G2437"/>
      <c r="H2437"/>
    </row>
    <row r="2438" spans="1:8">
      <c r="A2438"/>
      <c r="B2438"/>
      <c r="C2438"/>
      <c r="E2438"/>
      <c r="F2438"/>
      <c r="G2438"/>
      <c r="H2438"/>
    </row>
    <row r="2439" spans="1:8">
      <c r="A2439"/>
      <c r="B2439"/>
      <c r="C2439"/>
      <c r="E2439"/>
      <c r="F2439"/>
      <c r="G2439"/>
      <c r="H2439"/>
    </row>
    <row r="2440" spans="1:8">
      <c r="A2440"/>
      <c r="B2440"/>
      <c r="C2440"/>
      <c r="E2440"/>
      <c r="F2440"/>
      <c r="G2440"/>
      <c r="H2440"/>
    </row>
    <row r="2441" spans="1:8">
      <c r="A2441"/>
      <c r="B2441"/>
      <c r="C2441"/>
      <c r="E2441"/>
      <c r="F2441"/>
      <c r="G2441"/>
      <c r="H2441"/>
    </row>
    <row r="2442" spans="1:8">
      <c r="A2442"/>
      <c r="B2442"/>
      <c r="C2442"/>
      <c r="E2442"/>
      <c r="F2442"/>
      <c r="G2442"/>
      <c r="H2442"/>
    </row>
    <row r="2443" spans="1:8">
      <c r="A2443"/>
      <c r="B2443"/>
      <c r="C2443"/>
      <c r="E2443"/>
      <c r="F2443"/>
      <c r="G2443"/>
      <c r="H2443"/>
    </row>
    <row r="2444" spans="1:8">
      <c r="A2444"/>
      <c r="B2444"/>
      <c r="C2444"/>
      <c r="E2444"/>
      <c r="F2444"/>
      <c r="G2444"/>
      <c r="H2444"/>
    </row>
    <row r="2445" spans="1:8">
      <c r="A2445"/>
      <c r="B2445"/>
      <c r="C2445"/>
      <c r="E2445"/>
      <c r="F2445"/>
      <c r="G2445"/>
      <c r="H2445"/>
    </row>
    <row r="2446" spans="1:8">
      <c r="A2446"/>
      <c r="B2446"/>
      <c r="C2446"/>
      <c r="E2446"/>
      <c r="F2446"/>
      <c r="G2446"/>
      <c r="H2446"/>
    </row>
    <row r="2447" spans="1:8">
      <c r="A2447"/>
      <c r="B2447"/>
      <c r="C2447"/>
      <c r="E2447"/>
      <c r="F2447"/>
      <c r="G2447"/>
      <c r="H2447"/>
    </row>
    <row r="2448" spans="1:8">
      <c r="A2448"/>
      <c r="B2448"/>
      <c r="C2448"/>
      <c r="E2448"/>
      <c r="F2448"/>
      <c r="G2448"/>
      <c r="H2448"/>
    </row>
    <row r="2449" spans="1:8">
      <c r="A2449"/>
      <c r="B2449"/>
      <c r="C2449"/>
      <c r="E2449"/>
      <c r="F2449"/>
      <c r="G2449"/>
      <c r="H2449"/>
    </row>
    <row r="2450" spans="1:8">
      <c r="A2450"/>
      <c r="B2450"/>
      <c r="C2450"/>
      <c r="E2450"/>
      <c r="F2450"/>
      <c r="G2450"/>
      <c r="H2450"/>
    </row>
    <row r="2451" spans="1:8">
      <c r="A2451"/>
      <c r="B2451"/>
      <c r="C2451"/>
      <c r="E2451"/>
      <c r="F2451"/>
      <c r="G2451"/>
      <c r="H2451"/>
    </row>
    <row r="2452" spans="1:8">
      <c r="A2452"/>
      <c r="B2452"/>
      <c r="C2452"/>
      <c r="E2452"/>
      <c r="F2452"/>
      <c r="G2452"/>
      <c r="H2452"/>
    </row>
    <row r="2453" spans="1:8">
      <c r="A2453"/>
      <c r="B2453"/>
      <c r="C2453"/>
      <c r="E2453"/>
      <c r="F2453"/>
      <c r="G2453"/>
      <c r="H2453"/>
    </row>
    <row r="2454" spans="1:8">
      <c r="A2454"/>
      <c r="B2454"/>
      <c r="C2454"/>
      <c r="E2454"/>
      <c r="F2454"/>
      <c r="G2454"/>
      <c r="H2454"/>
    </row>
    <row r="2455" spans="1:8">
      <c r="A2455"/>
      <c r="B2455"/>
      <c r="C2455"/>
      <c r="E2455"/>
      <c r="F2455"/>
      <c r="G2455"/>
      <c r="H2455"/>
    </row>
    <row r="2456" spans="1:8">
      <c r="A2456"/>
      <c r="B2456"/>
      <c r="C2456"/>
      <c r="E2456"/>
      <c r="F2456"/>
      <c r="G2456"/>
      <c r="H2456"/>
    </row>
    <row r="2457" spans="1:8">
      <c r="A2457"/>
      <c r="B2457"/>
      <c r="C2457"/>
      <c r="E2457"/>
      <c r="F2457"/>
      <c r="G2457"/>
      <c r="H2457"/>
    </row>
    <row r="2458" spans="1:8">
      <c r="A2458"/>
      <c r="B2458"/>
      <c r="C2458"/>
      <c r="E2458"/>
      <c r="F2458"/>
      <c r="G2458"/>
      <c r="H2458"/>
    </row>
    <row r="2459" spans="1:8">
      <c r="A2459"/>
      <c r="B2459"/>
      <c r="C2459"/>
      <c r="E2459"/>
      <c r="F2459"/>
      <c r="G2459"/>
      <c r="H2459"/>
    </row>
    <row r="2460" spans="1:8">
      <c r="A2460"/>
      <c r="B2460"/>
      <c r="C2460"/>
      <c r="E2460"/>
      <c r="F2460"/>
      <c r="G2460"/>
      <c r="H2460"/>
    </row>
    <row r="2461" spans="1:8">
      <c r="A2461"/>
      <c r="B2461"/>
      <c r="C2461"/>
      <c r="E2461"/>
      <c r="F2461"/>
      <c r="G2461"/>
      <c r="H2461"/>
    </row>
    <row r="2462" spans="1:8">
      <c r="A2462"/>
      <c r="B2462"/>
      <c r="C2462"/>
      <c r="E2462"/>
      <c r="F2462"/>
      <c r="G2462"/>
      <c r="H2462"/>
    </row>
    <row r="2463" spans="1:8">
      <c r="A2463"/>
      <c r="B2463"/>
      <c r="C2463"/>
      <c r="E2463"/>
      <c r="F2463"/>
      <c r="G2463"/>
      <c r="H2463"/>
    </row>
    <row r="2464" spans="1:8">
      <c r="A2464"/>
      <c r="B2464"/>
      <c r="C2464"/>
      <c r="E2464"/>
      <c r="F2464"/>
      <c r="G2464"/>
      <c r="H2464"/>
    </row>
    <row r="2465" spans="1:8">
      <c r="A2465"/>
      <c r="B2465"/>
      <c r="C2465"/>
      <c r="E2465"/>
      <c r="F2465"/>
      <c r="G2465"/>
      <c r="H2465"/>
    </row>
    <row r="2466" spans="1:8">
      <c r="A2466"/>
      <c r="B2466"/>
      <c r="C2466"/>
      <c r="E2466"/>
      <c r="F2466"/>
      <c r="G2466"/>
      <c r="H2466"/>
    </row>
    <row r="2467" spans="1:8">
      <c r="A2467"/>
      <c r="B2467"/>
      <c r="C2467"/>
      <c r="E2467"/>
      <c r="F2467"/>
      <c r="G2467"/>
      <c r="H2467"/>
    </row>
    <row r="2468" spans="1:8">
      <c r="A2468"/>
      <c r="B2468"/>
      <c r="C2468"/>
      <c r="E2468"/>
      <c r="F2468"/>
      <c r="G2468"/>
      <c r="H2468"/>
    </row>
    <row r="2469" spans="1:8">
      <c r="A2469"/>
      <c r="B2469"/>
      <c r="C2469"/>
      <c r="E2469"/>
      <c r="F2469"/>
      <c r="G2469"/>
      <c r="H2469"/>
    </row>
    <row r="2470" spans="1:8">
      <c r="A2470"/>
      <c r="B2470"/>
      <c r="C2470"/>
      <c r="E2470"/>
      <c r="F2470"/>
      <c r="G2470"/>
      <c r="H2470"/>
    </row>
    <row r="2471" spans="1:8">
      <c r="A2471"/>
      <c r="B2471"/>
      <c r="C2471"/>
      <c r="E2471"/>
      <c r="F2471"/>
      <c r="G2471"/>
      <c r="H2471"/>
    </row>
    <row r="2472" spans="1:8">
      <c r="A2472"/>
      <c r="B2472"/>
      <c r="C2472"/>
      <c r="E2472"/>
      <c r="F2472"/>
      <c r="G2472"/>
      <c r="H2472"/>
    </row>
    <row r="2473" spans="1:8">
      <c r="A2473"/>
      <c r="B2473"/>
      <c r="C2473"/>
      <c r="E2473"/>
      <c r="F2473"/>
      <c r="G2473"/>
      <c r="H2473"/>
    </row>
    <row r="2474" spans="1:8">
      <c r="A2474"/>
      <c r="B2474"/>
      <c r="C2474"/>
      <c r="E2474"/>
      <c r="F2474"/>
      <c r="G2474"/>
      <c r="H2474"/>
    </row>
    <row r="2475" spans="1:8">
      <c r="A2475"/>
      <c r="B2475"/>
      <c r="C2475"/>
      <c r="E2475"/>
      <c r="F2475"/>
      <c r="G2475"/>
      <c r="H2475"/>
    </row>
    <row r="2476" spans="1:8">
      <c r="A2476"/>
      <c r="B2476"/>
      <c r="C2476"/>
      <c r="E2476"/>
      <c r="F2476"/>
      <c r="G2476"/>
      <c r="H2476"/>
    </row>
    <row r="2477" spans="1:8">
      <c r="A2477"/>
      <c r="B2477"/>
      <c r="C2477"/>
      <c r="E2477"/>
      <c r="F2477"/>
      <c r="G2477"/>
      <c r="H2477"/>
    </row>
    <row r="2478" spans="1:8">
      <c r="A2478"/>
      <c r="B2478"/>
      <c r="C2478"/>
      <c r="E2478"/>
      <c r="F2478"/>
      <c r="G2478"/>
      <c r="H2478"/>
    </row>
    <row r="2479" spans="1:8">
      <c r="A2479"/>
      <c r="B2479"/>
      <c r="C2479"/>
      <c r="E2479"/>
      <c r="F2479"/>
      <c r="G2479"/>
      <c r="H2479"/>
    </row>
    <row r="2480" spans="1:8">
      <c r="A2480"/>
      <c r="B2480"/>
      <c r="C2480"/>
      <c r="E2480"/>
      <c r="F2480"/>
      <c r="G2480"/>
      <c r="H2480"/>
    </row>
    <row r="2481" spans="1:8">
      <c r="A2481"/>
      <c r="B2481"/>
      <c r="C2481"/>
      <c r="E2481"/>
      <c r="F2481"/>
      <c r="G2481"/>
      <c r="H2481"/>
    </row>
    <row r="2482" spans="1:8">
      <c r="A2482"/>
      <c r="B2482"/>
      <c r="C2482"/>
      <c r="E2482"/>
      <c r="F2482"/>
      <c r="G2482"/>
      <c r="H2482"/>
    </row>
    <row r="2483" spans="1:8">
      <c r="A2483"/>
      <c r="B2483"/>
      <c r="C2483"/>
      <c r="E2483"/>
      <c r="F2483"/>
      <c r="G2483"/>
      <c r="H2483"/>
    </row>
    <row r="2484" spans="1:8">
      <c r="A2484"/>
      <c r="B2484"/>
      <c r="C2484"/>
      <c r="E2484"/>
      <c r="F2484"/>
      <c r="G2484"/>
      <c r="H2484"/>
    </row>
    <row r="2485" spans="1:8">
      <c r="A2485"/>
      <c r="B2485"/>
      <c r="C2485"/>
      <c r="E2485"/>
      <c r="F2485"/>
      <c r="G2485"/>
      <c r="H2485"/>
    </row>
    <row r="2486" spans="1:8">
      <c r="A2486"/>
      <c r="B2486"/>
      <c r="C2486"/>
      <c r="E2486"/>
      <c r="F2486"/>
      <c r="G2486"/>
      <c r="H2486"/>
    </row>
    <row r="2487" spans="1:8">
      <c r="A2487"/>
      <c r="B2487"/>
      <c r="C2487"/>
      <c r="E2487"/>
      <c r="F2487"/>
      <c r="G2487"/>
      <c r="H2487"/>
    </row>
    <row r="2488" spans="1:8">
      <c r="A2488"/>
      <c r="B2488"/>
      <c r="C2488"/>
      <c r="E2488"/>
      <c r="F2488"/>
      <c r="G2488"/>
      <c r="H2488"/>
    </row>
    <row r="2489" spans="1:8">
      <c r="A2489"/>
      <c r="B2489"/>
      <c r="C2489"/>
      <c r="E2489"/>
      <c r="F2489"/>
      <c r="G2489"/>
      <c r="H2489"/>
    </row>
    <row r="2490" spans="1:8">
      <c r="A2490"/>
      <c r="B2490"/>
      <c r="C2490"/>
      <c r="E2490"/>
      <c r="F2490"/>
      <c r="G2490"/>
      <c r="H2490"/>
    </row>
    <row r="2491" spans="1:8">
      <c r="A2491"/>
      <c r="B2491"/>
      <c r="C2491"/>
      <c r="E2491"/>
      <c r="F2491"/>
      <c r="G2491"/>
      <c r="H2491"/>
    </row>
    <row r="2492" spans="1:8">
      <c r="A2492"/>
      <c r="B2492"/>
      <c r="C2492"/>
      <c r="E2492"/>
      <c r="F2492"/>
      <c r="G2492"/>
      <c r="H2492"/>
    </row>
    <row r="2493" spans="1:8">
      <c r="A2493"/>
      <c r="B2493"/>
      <c r="C2493"/>
      <c r="E2493"/>
      <c r="F2493"/>
      <c r="G2493"/>
      <c r="H2493"/>
    </row>
    <row r="2494" spans="1:8">
      <c r="A2494"/>
      <c r="B2494"/>
      <c r="C2494"/>
      <c r="E2494"/>
      <c r="F2494"/>
      <c r="G2494"/>
      <c r="H2494"/>
    </row>
    <row r="2495" spans="1:8">
      <c r="A2495"/>
      <c r="B2495"/>
      <c r="C2495"/>
      <c r="E2495"/>
      <c r="F2495"/>
      <c r="G2495"/>
      <c r="H2495"/>
    </row>
    <row r="2496" spans="1:8">
      <c r="A2496"/>
      <c r="B2496"/>
      <c r="C2496"/>
      <c r="E2496"/>
      <c r="F2496"/>
      <c r="G2496"/>
      <c r="H2496"/>
    </row>
    <row r="2497" spans="1:8">
      <c r="A2497"/>
      <c r="B2497"/>
      <c r="C2497"/>
      <c r="E2497"/>
      <c r="F2497"/>
      <c r="G2497"/>
      <c r="H2497"/>
    </row>
    <row r="2498" spans="1:8">
      <c r="A2498"/>
      <c r="B2498"/>
      <c r="C2498"/>
      <c r="E2498"/>
      <c r="F2498"/>
      <c r="G2498"/>
      <c r="H2498"/>
    </row>
    <row r="2499" spans="1:8">
      <c r="A2499"/>
      <c r="B2499"/>
      <c r="C2499"/>
      <c r="E2499"/>
      <c r="F2499"/>
      <c r="G2499"/>
      <c r="H2499"/>
    </row>
    <row r="2500" spans="1:8">
      <c r="A2500"/>
      <c r="B2500"/>
      <c r="C2500"/>
      <c r="E2500"/>
      <c r="F2500"/>
      <c r="G2500"/>
      <c r="H2500"/>
    </row>
    <row r="2501" spans="1:8">
      <c r="A2501"/>
      <c r="B2501"/>
      <c r="C2501"/>
      <c r="E2501"/>
      <c r="F2501"/>
      <c r="G2501"/>
      <c r="H2501"/>
    </row>
    <row r="2502" spans="1:8">
      <c r="A2502"/>
      <c r="B2502"/>
      <c r="C2502"/>
      <c r="E2502"/>
      <c r="F2502"/>
      <c r="G2502"/>
      <c r="H2502"/>
    </row>
    <row r="2503" spans="1:8">
      <c r="A2503"/>
      <c r="B2503"/>
      <c r="C2503"/>
      <c r="E2503"/>
      <c r="F2503"/>
      <c r="G2503"/>
      <c r="H2503"/>
    </row>
    <row r="2504" spans="1:8">
      <c r="A2504"/>
      <c r="B2504"/>
      <c r="C2504"/>
      <c r="E2504"/>
      <c r="F2504"/>
      <c r="G2504"/>
      <c r="H2504"/>
    </row>
    <row r="2505" spans="1:8">
      <c r="A2505"/>
      <c r="B2505"/>
      <c r="C2505"/>
      <c r="E2505"/>
      <c r="F2505"/>
      <c r="G2505"/>
      <c r="H2505"/>
    </row>
    <row r="2506" spans="1:8">
      <c r="A2506"/>
      <c r="B2506"/>
      <c r="C2506"/>
      <c r="E2506"/>
      <c r="F2506"/>
      <c r="G2506"/>
      <c r="H2506"/>
    </row>
    <row r="2507" spans="1:8">
      <c r="A2507"/>
      <c r="B2507"/>
      <c r="C2507"/>
      <c r="E2507"/>
      <c r="F2507"/>
      <c r="G2507"/>
      <c r="H2507"/>
    </row>
    <row r="2508" spans="1:8">
      <c r="A2508"/>
      <c r="B2508"/>
      <c r="C2508"/>
      <c r="E2508"/>
      <c r="F2508"/>
      <c r="G2508"/>
      <c r="H2508"/>
    </row>
    <row r="2509" spans="1:8">
      <c r="A2509"/>
      <c r="B2509"/>
      <c r="C2509"/>
      <c r="E2509"/>
      <c r="F2509"/>
      <c r="G2509"/>
      <c r="H2509"/>
    </row>
    <row r="2510" spans="1:8">
      <c r="A2510"/>
      <c r="B2510"/>
      <c r="C2510"/>
      <c r="E2510"/>
      <c r="F2510"/>
      <c r="G2510"/>
      <c r="H2510"/>
    </row>
    <row r="2511" spans="1:8">
      <c r="A2511"/>
      <c r="B2511"/>
      <c r="C2511"/>
      <c r="E2511"/>
      <c r="F2511"/>
      <c r="G2511"/>
      <c r="H2511"/>
    </row>
    <row r="2512" spans="1:8">
      <c r="A2512"/>
      <c r="B2512"/>
      <c r="C2512"/>
      <c r="E2512"/>
      <c r="F2512"/>
      <c r="G2512"/>
      <c r="H2512"/>
    </row>
    <row r="2513" spans="1:8">
      <c r="A2513"/>
      <c r="B2513"/>
      <c r="C2513"/>
      <c r="E2513"/>
      <c r="F2513"/>
      <c r="G2513"/>
      <c r="H2513"/>
    </row>
    <row r="2514" spans="1:8">
      <c r="A2514"/>
      <c r="B2514"/>
      <c r="C2514"/>
      <c r="E2514"/>
      <c r="F2514"/>
      <c r="G2514"/>
      <c r="H2514"/>
    </row>
    <row r="2515" spans="1:8">
      <c r="A2515"/>
      <c r="B2515"/>
      <c r="C2515"/>
      <c r="E2515"/>
      <c r="F2515"/>
      <c r="G2515"/>
      <c r="H2515"/>
    </row>
    <row r="2516" spans="1:8">
      <c r="A2516"/>
      <c r="B2516"/>
      <c r="C2516"/>
      <c r="E2516"/>
      <c r="F2516"/>
      <c r="G2516"/>
      <c r="H2516"/>
    </row>
    <row r="2517" spans="1:8">
      <c r="A2517"/>
      <c r="B2517"/>
      <c r="C2517"/>
      <c r="E2517"/>
      <c r="F2517"/>
      <c r="G2517"/>
      <c r="H2517"/>
    </row>
    <row r="2518" spans="1:8">
      <c r="A2518"/>
      <c r="B2518"/>
      <c r="C2518"/>
      <c r="E2518"/>
      <c r="F2518"/>
      <c r="G2518"/>
      <c r="H2518"/>
    </row>
    <row r="2519" spans="1:8">
      <c r="A2519"/>
      <c r="B2519"/>
      <c r="C2519"/>
      <c r="E2519"/>
      <c r="F2519"/>
      <c r="G2519"/>
      <c r="H2519"/>
    </row>
    <row r="2520" spans="1:8">
      <c r="A2520"/>
      <c r="B2520"/>
      <c r="C2520"/>
      <c r="E2520"/>
      <c r="F2520"/>
      <c r="G2520"/>
      <c r="H2520"/>
    </row>
    <row r="2521" spans="1:8">
      <c r="A2521"/>
      <c r="B2521"/>
      <c r="C2521"/>
      <c r="E2521"/>
      <c r="F2521"/>
      <c r="G2521"/>
      <c r="H2521"/>
    </row>
    <row r="2522" spans="1:8">
      <c r="A2522"/>
      <c r="B2522"/>
      <c r="C2522"/>
      <c r="E2522"/>
      <c r="F2522"/>
      <c r="G2522"/>
      <c r="H2522"/>
    </row>
    <row r="2523" spans="1:8">
      <c r="A2523"/>
      <c r="B2523"/>
      <c r="C2523"/>
      <c r="E2523"/>
      <c r="F2523"/>
      <c r="G2523"/>
      <c r="H2523"/>
    </row>
    <row r="2524" spans="1:8">
      <c r="A2524"/>
      <c r="B2524"/>
      <c r="C2524"/>
      <c r="E2524"/>
      <c r="F2524"/>
      <c r="G2524"/>
      <c r="H2524"/>
    </row>
    <row r="2525" spans="1:8">
      <c r="A2525"/>
      <c r="B2525"/>
      <c r="C2525"/>
      <c r="E2525"/>
      <c r="F2525"/>
      <c r="G2525"/>
      <c r="H2525"/>
    </row>
    <row r="2526" spans="1:8">
      <c r="A2526"/>
      <c r="B2526"/>
      <c r="C2526"/>
      <c r="E2526"/>
      <c r="F2526"/>
      <c r="G2526"/>
      <c r="H2526"/>
    </row>
    <row r="2527" spans="1:8">
      <c r="A2527"/>
      <c r="B2527"/>
      <c r="C2527"/>
      <c r="E2527"/>
      <c r="F2527"/>
      <c r="G2527"/>
      <c r="H2527"/>
    </row>
    <row r="2528" spans="1:8">
      <c r="A2528"/>
      <c r="B2528"/>
      <c r="C2528"/>
      <c r="E2528"/>
      <c r="F2528"/>
      <c r="G2528"/>
      <c r="H2528"/>
    </row>
    <row r="2529" spans="1:8">
      <c r="A2529"/>
      <c r="B2529"/>
      <c r="C2529"/>
      <c r="E2529"/>
      <c r="F2529"/>
      <c r="G2529"/>
      <c r="H2529"/>
    </row>
    <row r="2530" spans="1:8">
      <c r="A2530"/>
      <c r="B2530"/>
      <c r="C2530"/>
      <c r="E2530"/>
      <c r="F2530"/>
      <c r="G2530"/>
      <c r="H2530"/>
    </row>
    <row r="2531" spans="1:8">
      <c r="A2531"/>
      <c r="B2531"/>
      <c r="C2531"/>
      <c r="E2531"/>
      <c r="F2531"/>
      <c r="G2531"/>
      <c r="H2531"/>
    </row>
    <row r="2532" spans="1:8">
      <c r="A2532"/>
      <c r="B2532"/>
      <c r="C2532"/>
      <c r="E2532"/>
      <c r="F2532"/>
      <c r="G2532"/>
      <c r="H2532"/>
    </row>
    <row r="2533" spans="1:8">
      <c r="A2533"/>
      <c r="B2533"/>
      <c r="C2533"/>
      <c r="E2533"/>
      <c r="F2533"/>
      <c r="G2533"/>
      <c r="H2533"/>
    </row>
    <row r="2534" spans="1:8">
      <c r="A2534"/>
      <c r="B2534"/>
      <c r="C2534"/>
      <c r="E2534"/>
      <c r="F2534"/>
      <c r="G2534"/>
      <c r="H2534"/>
    </row>
    <row r="2535" spans="1:8">
      <c r="A2535"/>
      <c r="B2535"/>
      <c r="C2535"/>
      <c r="E2535"/>
      <c r="F2535"/>
      <c r="G2535"/>
      <c r="H2535"/>
    </row>
    <row r="2536" spans="1:8">
      <c r="A2536"/>
      <c r="B2536"/>
      <c r="C2536"/>
      <c r="E2536"/>
      <c r="F2536"/>
      <c r="G2536"/>
      <c r="H2536"/>
    </row>
    <row r="2537" spans="1:8">
      <c r="A2537"/>
      <c r="B2537"/>
      <c r="C2537"/>
      <c r="E2537"/>
      <c r="F2537"/>
      <c r="G2537"/>
      <c r="H2537"/>
    </row>
    <row r="2538" spans="1:8">
      <c r="A2538"/>
      <c r="B2538"/>
      <c r="C2538"/>
      <c r="E2538"/>
      <c r="F2538"/>
      <c r="G2538"/>
      <c r="H2538"/>
    </row>
    <row r="2539" spans="1:8">
      <c r="A2539"/>
      <c r="B2539"/>
      <c r="C2539"/>
      <c r="E2539"/>
      <c r="F2539"/>
      <c r="G2539"/>
      <c r="H2539"/>
    </row>
    <row r="2540" spans="1:8">
      <c r="A2540"/>
      <c r="B2540"/>
      <c r="C2540"/>
      <c r="E2540"/>
      <c r="F2540"/>
      <c r="G2540"/>
      <c r="H2540"/>
    </row>
    <row r="2541" spans="1:8">
      <c r="A2541"/>
      <c r="B2541"/>
      <c r="C2541"/>
      <c r="E2541"/>
      <c r="F2541"/>
      <c r="G2541"/>
      <c r="H2541"/>
    </row>
    <row r="2542" spans="1:8">
      <c r="A2542"/>
      <c r="B2542"/>
      <c r="C2542"/>
      <c r="E2542"/>
      <c r="F2542"/>
      <c r="G2542"/>
      <c r="H2542"/>
    </row>
    <row r="2543" spans="1:8">
      <c r="A2543"/>
      <c r="B2543"/>
      <c r="C2543"/>
      <c r="E2543"/>
      <c r="F2543"/>
      <c r="G2543"/>
      <c r="H2543"/>
    </row>
    <row r="2544" spans="1:8">
      <c r="A2544"/>
      <c r="B2544"/>
      <c r="C2544"/>
      <c r="E2544"/>
      <c r="F2544"/>
      <c r="G2544"/>
      <c r="H2544"/>
    </row>
    <row r="2545" spans="1:8">
      <c r="A2545"/>
      <c r="B2545"/>
      <c r="C2545"/>
      <c r="E2545"/>
      <c r="F2545"/>
      <c r="G2545"/>
      <c r="H2545"/>
    </row>
    <row r="2546" spans="1:8">
      <c r="A2546"/>
      <c r="B2546"/>
      <c r="C2546"/>
      <c r="E2546"/>
      <c r="F2546"/>
      <c r="G2546"/>
      <c r="H2546"/>
    </row>
    <row r="2547" spans="1:8">
      <c r="A2547"/>
      <c r="B2547"/>
      <c r="C2547"/>
      <c r="E2547"/>
      <c r="F2547"/>
      <c r="G2547"/>
      <c r="H2547"/>
    </row>
    <row r="2548" spans="1:8">
      <c r="A2548"/>
      <c r="B2548"/>
      <c r="C2548"/>
      <c r="E2548"/>
      <c r="F2548"/>
      <c r="G2548"/>
      <c r="H2548"/>
    </row>
    <row r="2549" spans="1:8">
      <c r="A2549"/>
      <c r="B2549"/>
      <c r="C2549"/>
      <c r="E2549"/>
      <c r="F2549"/>
      <c r="G2549"/>
      <c r="H2549"/>
    </row>
    <row r="2550" spans="1:8">
      <c r="A2550"/>
      <c r="B2550"/>
      <c r="C2550"/>
      <c r="E2550"/>
      <c r="F2550"/>
      <c r="G2550"/>
      <c r="H2550"/>
    </row>
    <row r="2551" spans="1:8">
      <c r="A2551"/>
      <c r="B2551"/>
      <c r="C2551"/>
      <c r="E2551"/>
      <c r="F2551"/>
      <c r="G2551"/>
      <c r="H2551"/>
    </row>
    <row r="2552" spans="1:8">
      <c r="A2552"/>
      <c r="B2552"/>
      <c r="C2552"/>
      <c r="E2552"/>
      <c r="F2552"/>
      <c r="G2552"/>
      <c r="H2552"/>
    </row>
    <row r="2553" spans="1:8">
      <c r="A2553"/>
      <c r="B2553"/>
      <c r="C2553"/>
      <c r="E2553"/>
      <c r="F2553"/>
      <c r="G2553"/>
      <c r="H2553"/>
    </row>
    <row r="2554" spans="1:8">
      <c r="A2554"/>
      <c r="B2554"/>
      <c r="C2554"/>
      <c r="E2554"/>
      <c r="F2554"/>
      <c r="G2554"/>
      <c r="H2554"/>
    </row>
    <row r="2555" spans="1:8">
      <c r="A2555"/>
      <c r="B2555"/>
      <c r="C2555"/>
      <c r="E2555"/>
      <c r="F2555"/>
      <c r="G2555"/>
      <c r="H2555"/>
    </row>
    <row r="2556" spans="1:8">
      <c r="A2556"/>
      <c r="B2556"/>
      <c r="C2556"/>
      <c r="E2556"/>
      <c r="F2556"/>
      <c r="G2556"/>
      <c r="H2556"/>
    </row>
    <row r="2557" spans="1:8">
      <c r="A2557"/>
      <c r="B2557"/>
      <c r="C2557"/>
      <c r="E2557"/>
      <c r="F2557"/>
      <c r="G2557"/>
      <c r="H2557"/>
    </row>
    <row r="2558" spans="1:8">
      <c r="A2558"/>
      <c r="B2558"/>
      <c r="C2558"/>
      <c r="E2558"/>
      <c r="F2558"/>
      <c r="G2558"/>
      <c r="H2558"/>
    </row>
    <row r="2559" spans="1:8">
      <c r="A2559"/>
      <c r="B2559"/>
      <c r="C2559"/>
      <c r="E2559"/>
      <c r="F2559"/>
      <c r="G2559"/>
      <c r="H2559"/>
    </row>
    <row r="2560" spans="1:8">
      <c r="A2560"/>
      <c r="B2560"/>
      <c r="C2560"/>
      <c r="E2560"/>
      <c r="F2560"/>
      <c r="G2560"/>
      <c r="H2560"/>
    </row>
    <row r="2561" spans="1:8">
      <c r="A2561"/>
      <c r="B2561"/>
      <c r="C2561"/>
      <c r="E2561"/>
      <c r="F2561"/>
      <c r="G2561"/>
      <c r="H2561"/>
    </row>
    <row r="2562" spans="1:8">
      <c r="A2562"/>
      <c r="B2562"/>
      <c r="C2562"/>
      <c r="E2562"/>
      <c r="F2562"/>
      <c r="G2562"/>
      <c r="H2562"/>
    </row>
    <row r="2563" spans="1:8">
      <c r="A2563"/>
      <c r="B2563"/>
      <c r="C2563"/>
      <c r="E2563"/>
      <c r="F2563"/>
      <c r="G2563"/>
      <c r="H2563"/>
    </row>
    <row r="2564" spans="1:8">
      <c r="A2564"/>
      <c r="B2564"/>
      <c r="C2564"/>
      <c r="E2564"/>
      <c r="F2564"/>
      <c r="G2564"/>
      <c r="H2564"/>
    </row>
    <row r="2565" spans="1:8">
      <c r="A2565"/>
      <c r="B2565"/>
      <c r="C2565"/>
      <c r="E2565"/>
      <c r="F2565"/>
      <c r="G2565"/>
      <c r="H2565"/>
    </row>
    <row r="2566" spans="1:8">
      <c r="A2566"/>
      <c r="B2566"/>
      <c r="C2566"/>
      <c r="E2566"/>
      <c r="F2566"/>
      <c r="G2566"/>
      <c r="H2566"/>
    </row>
    <row r="2567" spans="1:8">
      <c r="A2567"/>
      <c r="B2567"/>
      <c r="C2567"/>
      <c r="E2567"/>
      <c r="F2567"/>
      <c r="G2567"/>
      <c r="H2567"/>
    </row>
    <row r="2568" spans="1:8">
      <c r="A2568"/>
      <c r="B2568"/>
      <c r="C2568"/>
      <c r="E2568"/>
      <c r="F2568"/>
      <c r="G2568"/>
      <c r="H2568"/>
    </row>
    <row r="2569" spans="1:8">
      <c r="A2569"/>
      <c r="B2569"/>
      <c r="C2569"/>
      <c r="E2569"/>
      <c r="F2569"/>
      <c r="G2569"/>
      <c r="H2569"/>
    </row>
    <row r="2570" spans="1:8">
      <c r="A2570"/>
      <c r="B2570"/>
      <c r="C2570"/>
      <c r="E2570"/>
      <c r="F2570"/>
      <c r="G2570"/>
      <c r="H2570"/>
    </row>
    <row r="2571" spans="1:8">
      <c r="A2571"/>
      <c r="B2571"/>
      <c r="C2571"/>
      <c r="E2571"/>
      <c r="F2571"/>
      <c r="G2571"/>
      <c r="H2571"/>
    </row>
    <row r="2572" spans="1:8">
      <c r="A2572"/>
      <c r="B2572"/>
      <c r="C2572"/>
      <c r="E2572"/>
      <c r="F2572"/>
      <c r="G2572"/>
      <c r="H2572"/>
    </row>
    <row r="2573" spans="1:8">
      <c r="A2573"/>
      <c r="B2573"/>
      <c r="C2573"/>
      <c r="E2573"/>
      <c r="F2573"/>
      <c r="G2573"/>
      <c r="H2573"/>
    </row>
    <row r="2574" spans="1:8">
      <c r="A2574"/>
      <c r="B2574"/>
      <c r="C2574"/>
      <c r="E2574"/>
      <c r="F2574"/>
      <c r="G2574"/>
      <c r="H2574"/>
    </row>
    <row r="2575" spans="1:8">
      <c r="A2575"/>
      <c r="B2575"/>
      <c r="C2575"/>
      <c r="E2575"/>
      <c r="F2575"/>
      <c r="G2575"/>
      <c r="H2575"/>
    </row>
    <row r="2576" spans="1:8">
      <c r="A2576"/>
      <c r="B2576"/>
      <c r="C2576"/>
      <c r="E2576"/>
      <c r="F2576"/>
      <c r="G2576"/>
      <c r="H2576"/>
    </row>
    <row r="2577" spans="1:8">
      <c r="A2577"/>
      <c r="B2577"/>
      <c r="C2577"/>
      <c r="E2577"/>
      <c r="F2577"/>
      <c r="G2577"/>
      <c r="H2577"/>
    </row>
    <row r="2578" spans="1:8">
      <c r="A2578"/>
      <c r="B2578"/>
      <c r="C2578"/>
      <c r="E2578"/>
      <c r="F2578"/>
      <c r="G2578"/>
      <c r="H2578"/>
    </row>
    <row r="2579" spans="1:8">
      <c r="A2579"/>
      <c r="B2579"/>
      <c r="C2579"/>
      <c r="E2579"/>
      <c r="F2579"/>
      <c r="G2579"/>
      <c r="H2579"/>
    </row>
    <row r="2580" spans="1:8">
      <c r="A2580"/>
      <c r="B2580"/>
      <c r="C2580"/>
      <c r="E2580"/>
      <c r="F2580"/>
      <c r="G2580"/>
      <c r="H2580"/>
    </row>
    <row r="2581" spans="1:8">
      <c r="A2581"/>
      <c r="B2581"/>
      <c r="C2581"/>
      <c r="E2581"/>
      <c r="F2581"/>
      <c r="G2581"/>
      <c r="H2581"/>
    </row>
    <row r="2582" spans="1:8">
      <c r="A2582"/>
      <c r="B2582"/>
      <c r="C2582"/>
      <c r="E2582"/>
      <c r="F2582"/>
      <c r="G2582"/>
      <c r="H2582"/>
    </row>
    <row r="2583" spans="1:8">
      <c r="A2583"/>
      <c r="B2583"/>
      <c r="C2583"/>
      <c r="E2583"/>
      <c r="F2583"/>
      <c r="G2583"/>
      <c r="H2583"/>
    </row>
    <row r="2584" spans="1:8">
      <c r="A2584"/>
      <c r="B2584"/>
      <c r="C2584"/>
      <c r="E2584"/>
      <c r="F2584"/>
      <c r="G2584"/>
      <c r="H2584"/>
    </row>
    <row r="2585" spans="1:8">
      <c r="A2585"/>
      <c r="B2585"/>
      <c r="C2585"/>
      <c r="E2585"/>
      <c r="F2585"/>
      <c r="G2585"/>
      <c r="H2585"/>
    </row>
    <row r="2586" spans="1:8">
      <c r="A2586"/>
      <c r="B2586"/>
      <c r="C2586"/>
      <c r="E2586"/>
      <c r="F2586"/>
      <c r="G2586"/>
      <c r="H2586"/>
    </row>
    <row r="2587" spans="1:8">
      <c r="A2587"/>
      <c r="B2587"/>
      <c r="C2587"/>
      <c r="E2587"/>
      <c r="F2587"/>
      <c r="G2587"/>
      <c r="H2587"/>
    </row>
    <row r="2588" spans="1:8">
      <c r="A2588"/>
      <c r="B2588"/>
      <c r="C2588"/>
      <c r="E2588"/>
      <c r="F2588"/>
      <c r="G2588"/>
      <c r="H2588"/>
    </row>
    <row r="2589" spans="1:8">
      <c r="A2589"/>
      <c r="B2589"/>
      <c r="C2589"/>
      <c r="E2589"/>
      <c r="F2589"/>
      <c r="G2589"/>
      <c r="H2589"/>
    </row>
    <row r="2590" spans="1:8">
      <c r="A2590"/>
      <c r="B2590"/>
      <c r="C2590"/>
      <c r="E2590"/>
      <c r="F2590"/>
      <c r="G2590"/>
      <c r="H2590"/>
    </row>
    <row r="2591" spans="1:8">
      <c r="A2591"/>
      <c r="B2591"/>
      <c r="C2591"/>
      <c r="E2591"/>
      <c r="F2591"/>
      <c r="G2591"/>
      <c r="H2591"/>
    </row>
    <row r="2592" spans="1:8">
      <c r="A2592"/>
      <c r="B2592"/>
      <c r="C2592"/>
      <c r="E2592"/>
      <c r="F2592"/>
      <c r="G2592"/>
      <c r="H2592"/>
    </row>
    <row r="2593" spans="1:8">
      <c r="A2593"/>
      <c r="B2593"/>
      <c r="C2593"/>
      <c r="E2593"/>
      <c r="F2593"/>
      <c r="G2593"/>
      <c r="H2593"/>
    </row>
    <row r="2594" spans="1:8">
      <c r="A2594"/>
      <c r="B2594"/>
      <c r="C2594"/>
      <c r="E2594"/>
      <c r="F2594"/>
      <c r="G2594"/>
      <c r="H2594"/>
    </row>
    <row r="2595" spans="1:8">
      <c r="A2595"/>
      <c r="B2595"/>
      <c r="C2595"/>
      <c r="E2595"/>
      <c r="F2595"/>
      <c r="G2595"/>
      <c r="H2595"/>
    </row>
    <row r="2596" spans="1:8">
      <c r="A2596"/>
      <c r="B2596"/>
      <c r="C2596"/>
      <c r="E2596"/>
      <c r="F2596"/>
      <c r="G2596"/>
      <c r="H2596"/>
    </row>
    <row r="2597" spans="1:8">
      <c r="A2597"/>
      <c r="B2597"/>
      <c r="C2597"/>
      <c r="E2597"/>
      <c r="F2597"/>
      <c r="G2597"/>
      <c r="H2597"/>
    </row>
    <row r="2598" spans="1:8">
      <c r="A2598"/>
      <c r="B2598"/>
      <c r="C2598"/>
      <c r="E2598"/>
      <c r="F2598"/>
      <c r="G2598"/>
      <c r="H2598"/>
    </row>
    <row r="2599" spans="1:8">
      <c r="A2599"/>
      <c r="B2599"/>
      <c r="C2599"/>
      <c r="E2599"/>
      <c r="F2599"/>
      <c r="G2599"/>
      <c r="H2599"/>
    </row>
    <row r="2600" spans="1:8">
      <c r="A2600"/>
      <c r="B2600"/>
      <c r="C2600"/>
      <c r="E2600"/>
      <c r="F2600"/>
      <c r="G2600"/>
      <c r="H2600"/>
    </row>
    <row r="2601" spans="1:8">
      <c r="A2601"/>
      <c r="B2601"/>
      <c r="C2601"/>
      <c r="E2601"/>
      <c r="F2601"/>
      <c r="G2601"/>
      <c r="H2601"/>
    </row>
    <row r="2602" spans="1:8">
      <c r="A2602"/>
      <c r="B2602"/>
      <c r="C2602"/>
      <c r="E2602"/>
      <c r="F2602"/>
      <c r="G2602"/>
      <c r="H2602"/>
    </row>
    <row r="2603" spans="1:8">
      <c r="A2603"/>
      <c r="B2603"/>
      <c r="C2603"/>
      <c r="E2603"/>
      <c r="F2603"/>
      <c r="G2603"/>
      <c r="H2603"/>
    </row>
    <row r="2604" spans="1:8">
      <c r="A2604"/>
      <c r="B2604"/>
      <c r="C2604"/>
      <c r="E2604"/>
      <c r="F2604"/>
      <c r="G2604"/>
      <c r="H2604"/>
    </row>
    <row r="2605" spans="1:8">
      <c r="A2605"/>
      <c r="B2605"/>
      <c r="C2605"/>
      <c r="E2605"/>
      <c r="F2605"/>
      <c r="G2605"/>
      <c r="H2605"/>
    </row>
    <row r="2606" spans="1:8">
      <c r="A2606"/>
      <c r="B2606"/>
      <c r="C2606"/>
      <c r="E2606"/>
      <c r="F2606"/>
      <c r="G2606"/>
      <c r="H2606"/>
    </row>
    <row r="2607" spans="1:8">
      <c r="A2607"/>
      <c r="B2607"/>
      <c r="C2607"/>
      <c r="E2607"/>
      <c r="F2607"/>
      <c r="G2607"/>
      <c r="H2607"/>
    </row>
    <row r="2608" spans="1:8">
      <c r="A2608"/>
      <c r="B2608"/>
      <c r="C2608"/>
      <c r="E2608"/>
      <c r="F2608"/>
      <c r="G2608"/>
      <c r="H2608"/>
    </row>
    <row r="2609" spans="1:8">
      <c r="A2609"/>
      <c r="B2609"/>
      <c r="C2609"/>
      <c r="E2609"/>
      <c r="F2609"/>
      <c r="G2609"/>
      <c r="H2609"/>
    </row>
    <row r="2610" spans="1:8">
      <c r="A2610"/>
      <c r="B2610"/>
      <c r="C2610"/>
      <c r="E2610"/>
      <c r="F2610"/>
      <c r="G2610"/>
      <c r="H2610"/>
    </row>
    <row r="2611" spans="1:8">
      <c r="A2611"/>
      <c r="B2611"/>
      <c r="C2611"/>
      <c r="E2611"/>
      <c r="F2611"/>
      <c r="G2611"/>
      <c r="H2611"/>
    </row>
    <row r="2612" spans="1:8">
      <c r="A2612"/>
      <c r="B2612"/>
      <c r="C2612"/>
      <c r="E2612"/>
      <c r="F2612"/>
      <c r="G2612"/>
      <c r="H2612"/>
    </row>
    <row r="2613" spans="1:8">
      <c r="A2613"/>
      <c r="B2613"/>
      <c r="C2613"/>
      <c r="E2613"/>
      <c r="F2613"/>
      <c r="G2613"/>
      <c r="H2613"/>
    </row>
    <row r="2614" spans="1:8">
      <c r="A2614"/>
      <c r="B2614"/>
      <c r="C2614"/>
      <c r="E2614"/>
      <c r="F2614"/>
      <c r="G2614"/>
      <c r="H2614"/>
    </row>
    <row r="2615" spans="1:8">
      <c r="A2615"/>
      <c r="B2615"/>
      <c r="C2615"/>
      <c r="E2615"/>
      <c r="F2615"/>
      <c r="G2615"/>
      <c r="H2615"/>
    </row>
    <row r="2616" spans="1:8">
      <c r="A2616"/>
      <c r="B2616"/>
      <c r="C2616"/>
      <c r="E2616"/>
      <c r="F2616"/>
      <c r="G2616"/>
      <c r="H2616"/>
    </row>
    <row r="2617" spans="1:8">
      <c r="A2617"/>
      <c r="B2617"/>
      <c r="C2617"/>
      <c r="E2617"/>
      <c r="F2617"/>
      <c r="G2617"/>
      <c r="H2617"/>
    </row>
    <row r="2618" spans="1:8">
      <c r="A2618"/>
      <c r="B2618"/>
      <c r="C2618"/>
      <c r="E2618"/>
      <c r="F2618"/>
      <c r="G2618"/>
      <c r="H2618"/>
    </row>
    <row r="2619" spans="1:8">
      <c r="A2619"/>
      <c r="B2619"/>
      <c r="C2619"/>
      <c r="E2619"/>
      <c r="F2619"/>
      <c r="G2619"/>
      <c r="H2619"/>
    </row>
    <row r="2620" spans="1:8">
      <c r="A2620"/>
      <c r="B2620"/>
      <c r="C2620"/>
      <c r="E2620"/>
      <c r="F2620"/>
      <c r="G2620"/>
      <c r="H2620"/>
    </row>
    <row r="2621" spans="1:8">
      <c r="A2621"/>
      <c r="B2621"/>
      <c r="C2621"/>
      <c r="E2621"/>
      <c r="F2621"/>
      <c r="G2621"/>
      <c r="H2621"/>
    </row>
    <row r="2622" spans="1:8">
      <c r="A2622"/>
      <c r="B2622"/>
      <c r="C2622"/>
      <c r="E2622"/>
      <c r="F2622"/>
      <c r="G2622"/>
      <c r="H2622"/>
    </row>
    <row r="2623" spans="1:8">
      <c r="A2623"/>
      <c r="B2623"/>
      <c r="C2623"/>
      <c r="E2623"/>
      <c r="F2623"/>
      <c r="G2623"/>
      <c r="H2623"/>
    </row>
    <row r="2624" spans="1:8">
      <c r="A2624"/>
      <c r="B2624"/>
      <c r="C2624"/>
      <c r="E2624"/>
      <c r="F2624"/>
      <c r="G2624"/>
      <c r="H2624"/>
    </row>
    <row r="2625" spans="1:8">
      <c r="A2625"/>
      <c r="B2625"/>
      <c r="C2625"/>
      <c r="E2625"/>
      <c r="F2625"/>
      <c r="G2625"/>
      <c r="H2625"/>
    </row>
    <row r="2626" spans="1:8">
      <c r="A2626"/>
      <c r="B2626"/>
      <c r="C2626"/>
      <c r="E2626"/>
      <c r="F2626"/>
      <c r="G2626"/>
      <c r="H2626"/>
    </row>
    <row r="2627" spans="1:8">
      <c r="A2627"/>
      <c r="B2627"/>
      <c r="C2627"/>
      <c r="E2627"/>
      <c r="F2627"/>
      <c r="G2627"/>
      <c r="H2627"/>
    </row>
    <row r="2628" spans="1:8">
      <c r="A2628"/>
      <c r="B2628"/>
      <c r="C2628"/>
      <c r="E2628"/>
      <c r="F2628"/>
      <c r="G2628"/>
      <c r="H2628"/>
    </row>
    <row r="2629" spans="1:8">
      <c r="A2629"/>
      <c r="B2629"/>
      <c r="C2629"/>
      <c r="E2629"/>
      <c r="F2629"/>
      <c r="G2629"/>
      <c r="H2629"/>
    </row>
    <row r="2630" spans="1:8">
      <c r="A2630"/>
      <c r="B2630"/>
      <c r="C2630"/>
      <c r="E2630"/>
      <c r="F2630"/>
      <c r="G2630"/>
      <c r="H2630"/>
    </row>
    <row r="2631" spans="1:8">
      <c r="A2631"/>
      <c r="B2631"/>
      <c r="C2631"/>
      <c r="E2631"/>
      <c r="F2631"/>
      <c r="G2631"/>
      <c r="H2631"/>
    </row>
    <row r="2632" spans="1:8">
      <c r="A2632"/>
      <c r="B2632"/>
      <c r="C2632"/>
      <c r="E2632"/>
      <c r="F2632"/>
      <c r="G2632"/>
      <c r="H2632"/>
    </row>
    <row r="2633" spans="1:8">
      <c r="A2633"/>
      <c r="B2633"/>
      <c r="C2633"/>
      <c r="E2633"/>
      <c r="F2633"/>
      <c r="G2633"/>
      <c r="H2633"/>
    </row>
    <row r="2634" spans="1:8">
      <c r="A2634"/>
      <c r="B2634"/>
      <c r="C2634"/>
      <c r="E2634"/>
      <c r="F2634"/>
      <c r="G2634"/>
      <c r="H2634"/>
    </row>
    <row r="2635" spans="1:8">
      <c r="A2635"/>
      <c r="B2635"/>
      <c r="C2635"/>
      <c r="E2635"/>
      <c r="F2635"/>
      <c r="G2635"/>
      <c r="H2635"/>
    </row>
    <row r="2636" spans="1:8">
      <c r="A2636"/>
      <c r="B2636"/>
      <c r="C2636"/>
      <c r="E2636"/>
      <c r="F2636"/>
      <c r="G2636"/>
      <c r="H2636"/>
    </row>
    <row r="2637" spans="1:8">
      <c r="A2637"/>
      <c r="B2637"/>
      <c r="C2637"/>
      <c r="E2637"/>
      <c r="F2637"/>
      <c r="G2637"/>
      <c r="H2637"/>
    </row>
    <row r="2638" spans="1:8">
      <c r="A2638"/>
      <c r="B2638"/>
      <c r="C2638"/>
      <c r="E2638"/>
      <c r="F2638"/>
      <c r="G2638"/>
      <c r="H2638"/>
    </row>
    <row r="2639" spans="1:8">
      <c r="A2639"/>
      <c r="B2639"/>
      <c r="C2639"/>
      <c r="E2639"/>
      <c r="F2639"/>
      <c r="G2639"/>
      <c r="H2639"/>
    </row>
    <row r="2640" spans="1:8">
      <c r="A2640"/>
      <c r="B2640"/>
      <c r="C2640"/>
      <c r="E2640"/>
      <c r="F2640"/>
      <c r="G2640"/>
      <c r="H2640"/>
    </row>
    <row r="2641" spans="1:8">
      <c r="A2641"/>
      <c r="B2641"/>
      <c r="C2641"/>
      <c r="E2641"/>
      <c r="F2641"/>
      <c r="G2641"/>
      <c r="H2641"/>
    </row>
    <row r="2642" spans="1:8">
      <c r="A2642"/>
      <c r="B2642"/>
      <c r="C2642"/>
      <c r="E2642"/>
      <c r="F2642"/>
      <c r="G2642"/>
      <c r="H2642"/>
    </row>
    <row r="2643" spans="1:8">
      <c r="A2643"/>
      <c r="B2643"/>
      <c r="C2643"/>
      <c r="E2643"/>
      <c r="F2643"/>
      <c r="G2643"/>
      <c r="H2643"/>
    </row>
    <row r="2644" spans="1:8">
      <c r="A2644"/>
      <c r="B2644"/>
      <c r="C2644"/>
      <c r="E2644"/>
      <c r="F2644"/>
      <c r="G2644"/>
      <c r="H2644"/>
    </row>
    <row r="2645" spans="1:8">
      <c r="A2645"/>
      <c r="B2645"/>
      <c r="C2645"/>
      <c r="E2645"/>
      <c r="F2645"/>
      <c r="G2645"/>
      <c r="H2645"/>
    </row>
    <row r="2646" spans="1:8">
      <c r="A2646"/>
      <c r="B2646"/>
      <c r="C2646"/>
      <c r="E2646"/>
      <c r="F2646"/>
      <c r="G2646"/>
      <c r="H2646"/>
    </row>
    <row r="2647" spans="1:8">
      <c r="A2647"/>
      <c r="B2647"/>
      <c r="C2647"/>
      <c r="E2647"/>
      <c r="F2647"/>
      <c r="G2647"/>
      <c r="H2647"/>
    </row>
    <row r="2648" spans="1:8">
      <c r="A2648"/>
      <c r="B2648"/>
      <c r="C2648"/>
      <c r="E2648"/>
      <c r="F2648"/>
      <c r="G2648"/>
      <c r="H2648"/>
    </row>
    <row r="2649" spans="1:8">
      <c r="A2649"/>
      <c r="B2649"/>
      <c r="C2649"/>
      <c r="E2649"/>
      <c r="F2649"/>
      <c r="G2649"/>
      <c r="H2649"/>
    </row>
    <row r="2650" spans="1:8">
      <c r="A2650"/>
      <c r="B2650"/>
      <c r="C2650"/>
      <c r="E2650"/>
      <c r="F2650"/>
      <c r="G2650"/>
      <c r="H2650"/>
    </row>
    <row r="2651" spans="1:8">
      <c r="A2651"/>
      <c r="B2651"/>
      <c r="C2651"/>
      <c r="E2651"/>
      <c r="F2651"/>
      <c r="G2651"/>
      <c r="H2651"/>
    </row>
    <row r="2652" spans="1:8">
      <c r="A2652"/>
      <c r="B2652"/>
      <c r="C2652"/>
      <c r="E2652"/>
      <c r="F2652"/>
      <c r="G2652"/>
      <c r="H2652"/>
    </row>
    <row r="2653" spans="1:8">
      <c r="A2653"/>
      <c r="B2653"/>
      <c r="C2653"/>
      <c r="E2653"/>
      <c r="F2653"/>
      <c r="G2653"/>
      <c r="H2653"/>
    </row>
    <row r="2654" spans="1:8">
      <c r="A2654"/>
      <c r="B2654"/>
      <c r="C2654"/>
      <c r="E2654"/>
      <c r="F2654"/>
      <c r="G2654"/>
      <c r="H2654"/>
    </row>
    <row r="2655" spans="1:8">
      <c r="A2655"/>
      <c r="B2655"/>
      <c r="C2655"/>
      <c r="E2655"/>
      <c r="F2655"/>
      <c r="G2655"/>
      <c r="H2655"/>
    </row>
    <row r="2656" spans="1:8">
      <c r="A2656"/>
      <c r="B2656"/>
      <c r="C2656"/>
      <c r="E2656"/>
      <c r="F2656"/>
      <c r="G2656"/>
      <c r="H2656"/>
    </row>
    <row r="2657" spans="1:8">
      <c r="A2657"/>
      <c r="B2657"/>
      <c r="C2657"/>
      <c r="E2657"/>
      <c r="F2657"/>
      <c r="G2657"/>
      <c r="H2657"/>
    </row>
    <row r="2658" spans="1:8">
      <c r="A2658"/>
      <c r="B2658"/>
      <c r="C2658"/>
      <c r="E2658"/>
      <c r="F2658"/>
      <c r="G2658"/>
      <c r="H2658"/>
    </row>
    <row r="2659" spans="1:8">
      <c r="A2659"/>
      <c r="B2659"/>
      <c r="C2659"/>
      <c r="E2659"/>
      <c r="F2659"/>
      <c r="G2659"/>
      <c r="H2659"/>
    </row>
    <row r="2660" spans="1:8">
      <c r="A2660"/>
      <c r="B2660"/>
      <c r="C2660"/>
      <c r="E2660"/>
      <c r="F2660"/>
      <c r="G2660"/>
      <c r="H2660"/>
    </row>
    <row r="2661" spans="1:8">
      <c r="A2661"/>
      <c r="B2661"/>
      <c r="C2661"/>
      <c r="E2661"/>
      <c r="F2661"/>
      <c r="G2661"/>
      <c r="H2661"/>
    </row>
    <row r="2662" spans="1:8">
      <c r="A2662"/>
      <c r="B2662"/>
      <c r="C2662"/>
      <c r="E2662"/>
      <c r="F2662"/>
      <c r="G2662"/>
      <c r="H2662"/>
    </row>
    <row r="2663" spans="1:8">
      <c r="A2663"/>
      <c r="B2663"/>
      <c r="C2663"/>
      <c r="E2663"/>
      <c r="F2663"/>
      <c r="G2663"/>
      <c r="H2663"/>
    </row>
    <row r="2664" spans="1:8">
      <c r="A2664"/>
      <c r="B2664"/>
      <c r="C2664"/>
      <c r="E2664"/>
      <c r="F2664"/>
      <c r="G2664"/>
      <c r="H2664"/>
    </row>
    <row r="2665" spans="1:8">
      <c r="A2665"/>
      <c r="B2665"/>
      <c r="C2665"/>
      <c r="E2665"/>
      <c r="F2665"/>
      <c r="G2665"/>
      <c r="H2665"/>
    </row>
    <row r="2666" spans="1:8">
      <c r="A2666"/>
      <c r="B2666"/>
      <c r="C2666"/>
      <c r="E2666"/>
      <c r="F2666"/>
      <c r="G2666"/>
      <c r="H2666"/>
    </row>
    <row r="2667" spans="1:8">
      <c r="A2667"/>
      <c r="B2667"/>
      <c r="C2667"/>
      <c r="E2667"/>
      <c r="F2667"/>
      <c r="G2667"/>
      <c r="H2667"/>
    </row>
    <row r="2668" spans="1:8">
      <c r="A2668"/>
      <c r="B2668"/>
      <c r="C2668"/>
      <c r="E2668"/>
      <c r="F2668"/>
      <c r="G2668"/>
      <c r="H2668"/>
    </row>
    <row r="2669" spans="1:8">
      <c r="A2669"/>
      <c r="B2669"/>
      <c r="C2669"/>
      <c r="E2669"/>
      <c r="F2669"/>
      <c r="G2669"/>
      <c r="H2669"/>
    </row>
    <row r="2670" spans="1:8">
      <c r="A2670"/>
      <c r="B2670"/>
      <c r="C2670"/>
      <c r="E2670"/>
      <c r="F2670"/>
      <c r="G2670"/>
      <c r="H2670"/>
    </row>
    <row r="2671" spans="1:8">
      <c r="A2671"/>
      <c r="B2671"/>
      <c r="C2671"/>
      <c r="E2671"/>
      <c r="F2671"/>
      <c r="G2671"/>
      <c r="H2671"/>
    </row>
    <row r="2672" spans="1:8">
      <c r="A2672"/>
      <c r="B2672"/>
      <c r="C2672"/>
      <c r="E2672"/>
      <c r="F2672"/>
      <c r="G2672"/>
      <c r="H2672"/>
    </row>
    <row r="2673" spans="1:8">
      <c r="A2673"/>
      <c r="B2673"/>
      <c r="C2673"/>
      <c r="E2673"/>
      <c r="F2673"/>
      <c r="G2673"/>
      <c r="H2673"/>
    </row>
    <row r="2674" spans="1:8">
      <c r="A2674"/>
      <c r="B2674"/>
      <c r="C2674"/>
      <c r="E2674"/>
      <c r="F2674"/>
      <c r="G2674"/>
      <c r="H2674"/>
    </row>
    <row r="2675" spans="1:8">
      <c r="A2675"/>
      <c r="B2675"/>
      <c r="C2675"/>
      <c r="E2675"/>
      <c r="F2675"/>
      <c r="G2675"/>
      <c r="H2675"/>
    </row>
    <row r="2676" spans="1:8">
      <c r="A2676"/>
      <c r="B2676"/>
      <c r="C2676"/>
      <c r="E2676"/>
      <c r="F2676"/>
      <c r="G2676"/>
      <c r="H2676"/>
    </row>
    <row r="2677" spans="1:8">
      <c r="A2677"/>
      <c r="B2677"/>
      <c r="C2677"/>
      <c r="E2677"/>
      <c r="F2677"/>
      <c r="G2677"/>
      <c r="H2677"/>
    </row>
    <row r="2678" spans="1:8">
      <c r="A2678"/>
      <c r="B2678"/>
      <c r="C2678"/>
      <c r="E2678"/>
      <c r="F2678"/>
      <c r="G2678"/>
      <c r="H2678"/>
    </row>
    <row r="2679" spans="1:8">
      <c r="A2679"/>
      <c r="B2679"/>
      <c r="C2679"/>
      <c r="E2679"/>
      <c r="F2679"/>
      <c r="G2679"/>
      <c r="H2679"/>
    </row>
    <row r="2680" spans="1:8">
      <c r="A2680"/>
      <c r="B2680"/>
      <c r="C2680"/>
      <c r="E2680"/>
      <c r="F2680"/>
      <c r="G2680"/>
      <c r="H2680"/>
    </row>
    <row r="2681" spans="1:8">
      <c r="A2681"/>
      <c r="B2681"/>
      <c r="C2681"/>
      <c r="E2681"/>
      <c r="F2681"/>
      <c r="G2681"/>
      <c r="H2681"/>
    </row>
    <row r="2682" spans="1:8">
      <c r="A2682"/>
      <c r="B2682"/>
      <c r="C2682"/>
      <c r="E2682"/>
      <c r="F2682"/>
      <c r="G2682"/>
      <c r="H2682"/>
    </row>
    <row r="2683" spans="1:8">
      <c r="A2683"/>
      <c r="B2683"/>
      <c r="C2683"/>
      <c r="E2683"/>
      <c r="F2683"/>
      <c r="G2683"/>
      <c r="H2683"/>
    </row>
    <row r="2684" spans="1:8">
      <c r="A2684"/>
      <c r="B2684"/>
      <c r="C2684"/>
      <c r="E2684"/>
      <c r="F2684"/>
      <c r="G2684"/>
      <c r="H2684"/>
    </row>
    <row r="2685" spans="1:8">
      <c r="A2685"/>
      <c r="B2685"/>
      <c r="C2685"/>
      <c r="E2685"/>
      <c r="F2685"/>
      <c r="G2685"/>
      <c r="H2685"/>
    </row>
    <row r="2686" spans="1:8">
      <c r="A2686"/>
      <c r="B2686"/>
      <c r="C2686"/>
      <c r="E2686"/>
      <c r="F2686"/>
      <c r="G2686"/>
      <c r="H2686"/>
    </row>
    <row r="2687" spans="1:8">
      <c r="A2687"/>
      <c r="B2687"/>
      <c r="C2687"/>
      <c r="E2687"/>
      <c r="F2687"/>
      <c r="G2687"/>
      <c r="H2687"/>
    </row>
    <row r="2688" spans="1:8">
      <c r="A2688"/>
      <c r="B2688"/>
      <c r="C2688"/>
      <c r="E2688"/>
      <c r="F2688"/>
      <c r="G2688"/>
      <c r="H2688"/>
    </row>
    <row r="2689" spans="1:8">
      <c r="A2689"/>
      <c r="B2689"/>
      <c r="C2689"/>
      <c r="E2689"/>
      <c r="F2689"/>
      <c r="G2689"/>
      <c r="H2689"/>
    </row>
    <row r="2690" spans="1:8">
      <c r="A2690"/>
      <c r="B2690"/>
      <c r="C2690"/>
      <c r="E2690"/>
      <c r="F2690"/>
      <c r="G2690"/>
      <c r="H2690"/>
    </row>
    <row r="2691" spans="1:8">
      <c r="A2691"/>
      <c r="B2691"/>
      <c r="C2691"/>
      <c r="E2691"/>
      <c r="F2691"/>
      <c r="G2691"/>
      <c r="H2691"/>
    </row>
    <row r="2692" spans="1:8">
      <c r="A2692"/>
      <c r="B2692"/>
      <c r="C2692"/>
      <c r="E2692"/>
      <c r="F2692"/>
      <c r="G2692"/>
      <c r="H2692"/>
    </row>
    <row r="2693" spans="1:8">
      <c r="A2693"/>
      <c r="B2693"/>
      <c r="C2693"/>
      <c r="E2693"/>
      <c r="F2693"/>
      <c r="G2693"/>
      <c r="H2693"/>
    </row>
    <row r="2694" spans="1:8">
      <c r="A2694"/>
      <c r="B2694"/>
      <c r="C2694"/>
      <c r="E2694"/>
      <c r="F2694"/>
      <c r="G2694"/>
      <c r="H2694"/>
    </row>
    <row r="2695" spans="1:8">
      <c r="A2695"/>
      <c r="B2695"/>
      <c r="C2695"/>
      <c r="E2695"/>
      <c r="F2695"/>
      <c r="G2695"/>
      <c r="H2695"/>
    </row>
    <row r="2696" spans="1:8">
      <c r="A2696"/>
      <c r="B2696"/>
      <c r="C2696"/>
      <c r="E2696"/>
      <c r="F2696"/>
      <c r="G2696"/>
      <c r="H2696"/>
    </row>
    <row r="2697" spans="1:8">
      <c r="A2697"/>
      <c r="B2697"/>
      <c r="C2697"/>
      <c r="E2697"/>
      <c r="F2697"/>
      <c r="G2697"/>
      <c r="H2697"/>
    </row>
    <row r="2698" spans="1:8">
      <c r="A2698"/>
      <c r="B2698"/>
      <c r="C2698"/>
      <c r="E2698"/>
      <c r="F2698"/>
      <c r="G2698"/>
      <c r="H2698"/>
    </row>
    <row r="2699" spans="1:8">
      <c r="A2699"/>
      <c r="B2699"/>
      <c r="C2699"/>
      <c r="E2699"/>
      <c r="F2699"/>
      <c r="G2699"/>
      <c r="H2699"/>
    </row>
    <row r="2700" spans="1:8">
      <c r="A2700"/>
      <c r="B2700"/>
      <c r="C2700"/>
      <c r="E2700"/>
      <c r="F2700"/>
      <c r="G2700"/>
      <c r="H2700"/>
    </row>
    <row r="2701" spans="1:8">
      <c r="A2701"/>
      <c r="B2701"/>
      <c r="C2701"/>
      <c r="E2701"/>
      <c r="F2701"/>
      <c r="G2701"/>
      <c r="H2701"/>
    </row>
    <row r="2702" spans="1:8">
      <c r="A2702"/>
      <c r="B2702"/>
      <c r="C2702"/>
      <c r="E2702"/>
      <c r="F2702"/>
      <c r="G2702"/>
      <c r="H2702"/>
    </row>
    <row r="2703" spans="1:8">
      <c r="A2703"/>
      <c r="B2703"/>
      <c r="C2703"/>
      <c r="E2703"/>
      <c r="F2703"/>
      <c r="G2703"/>
      <c r="H2703"/>
    </row>
    <row r="2704" spans="1:8">
      <c r="A2704"/>
      <c r="B2704"/>
      <c r="C2704"/>
      <c r="E2704"/>
      <c r="F2704"/>
      <c r="G2704"/>
      <c r="H2704"/>
    </row>
    <row r="2705" spans="1:8">
      <c r="A2705"/>
      <c r="B2705"/>
      <c r="C2705"/>
      <c r="E2705"/>
      <c r="F2705"/>
      <c r="G2705"/>
      <c r="H2705"/>
    </row>
    <row r="2706" spans="1:8">
      <c r="A2706"/>
      <c r="B2706"/>
      <c r="C2706"/>
      <c r="E2706"/>
      <c r="F2706"/>
      <c r="G2706"/>
      <c r="H2706"/>
    </row>
    <row r="2707" spans="1:8">
      <c r="A2707"/>
      <c r="B2707"/>
      <c r="C2707"/>
      <c r="E2707"/>
      <c r="F2707"/>
      <c r="G2707"/>
      <c r="H2707"/>
    </row>
    <row r="2708" spans="1:8">
      <c r="A2708"/>
      <c r="B2708"/>
      <c r="C2708"/>
      <c r="E2708"/>
      <c r="F2708"/>
      <c r="G2708"/>
      <c r="H2708"/>
    </row>
    <row r="2709" spans="1:8">
      <c r="A2709"/>
      <c r="B2709"/>
      <c r="C2709"/>
      <c r="E2709"/>
      <c r="F2709"/>
      <c r="G2709"/>
      <c r="H2709"/>
    </row>
    <row r="2710" spans="1:8">
      <c r="A2710"/>
      <c r="B2710"/>
      <c r="C2710"/>
      <c r="E2710"/>
      <c r="F2710"/>
      <c r="G2710"/>
      <c r="H2710"/>
    </row>
    <row r="2711" spans="1:8">
      <c r="A2711"/>
      <c r="B2711"/>
      <c r="C2711"/>
      <c r="E2711"/>
      <c r="F2711"/>
      <c r="G2711"/>
      <c r="H2711"/>
    </row>
    <row r="2712" spans="1:8">
      <c r="A2712"/>
      <c r="B2712"/>
      <c r="C2712"/>
      <c r="E2712"/>
      <c r="F2712"/>
      <c r="G2712"/>
      <c r="H2712"/>
    </row>
    <row r="2713" spans="1:8">
      <c r="A2713"/>
      <c r="B2713"/>
      <c r="C2713"/>
      <c r="E2713"/>
      <c r="F2713"/>
      <c r="G2713"/>
      <c r="H2713"/>
    </row>
    <row r="2714" spans="1:8">
      <c r="A2714"/>
      <c r="B2714"/>
      <c r="C2714"/>
      <c r="E2714"/>
      <c r="F2714"/>
      <c r="G2714"/>
      <c r="H2714"/>
    </row>
    <row r="2715" spans="1:8">
      <c r="A2715"/>
      <c r="B2715"/>
      <c r="C2715"/>
      <c r="E2715"/>
      <c r="F2715"/>
      <c r="G2715"/>
      <c r="H2715"/>
    </row>
    <row r="2716" spans="1:8">
      <c r="A2716"/>
      <c r="B2716"/>
      <c r="C2716"/>
      <c r="E2716"/>
      <c r="F2716"/>
      <c r="G2716"/>
      <c r="H2716"/>
    </row>
    <row r="2717" spans="1:8">
      <c r="A2717"/>
      <c r="B2717"/>
      <c r="C2717"/>
      <c r="E2717"/>
      <c r="F2717"/>
      <c r="G2717"/>
      <c r="H2717"/>
    </row>
    <row r="2718" spans="1:8">
      <c r="A2718"/>
      <c r="B2718"/>
      <c r="C2718"/>
      <c r="E2718"/>
      <c r="F2718"/>
      <c r="G2718"/>
      <c r="H2718"/>
    </row>
    <row r="2719" spans="1:8">
      <c r="A2719"/>
      <c r="B2719"/>
      <c r="C2719"/>
      <c r="E2719"/>
      <c r="F2719"/>
      <c r="G2719"/>
      <c r="H2719"/>
    </row>
    <row r="2720" spans="1:8">
      <c r="A2720"/>
      <c r="B2720"/>
      <c r="C2720"/>
      <c r="E2720"/>
      <c r="F2720"/>
      <c r="G2720"/>
      <c r="H2720"/>
    </row>
    <row r="2721" spans="1:8">
      <c r="A2721"/>
      <c r="B2721"/>
      <c r="C2721"/>
      <c r="E2721"/>
      <c r="F2721"/>
      <c r="G2721"/>
      <c r="H2721"/>
    </row>
    <row r="2722" spans="1:8">
      <c r="A2722"/>
      <c r="B2722"/>
      <c r="C2722"/>
      <c r="E2722"/>
      <c r="F2722"/>
      <c r="G2722"/>
      <c r="H2722"/>
    </row>
    <row r="2723" spans="1:8">
      <c r="A2723"/>
      <c r="B2723"/>
      <c r="C2723"/>
      <c r="E2723"/>
      <c r="F2723"/>
      <c r="G2723"/>
      <c r="H2723"/>
    </row>
    <row r="2724" spans="1:8">
      <c r="A2724"/>
      <c r="B2724"/>
      <c r="C2724"/>
      <c r="E2724"/>
      <c r="F2724"/>
      <c r="G2724"/>
      <c r="H2724"/>
    </row>
    <row r="2725" spans="1:8">
      <c r="A2725"/>
      <c r="B2725"/>
      <c r="C2725"/>
      <c r="E2725"/>
      <c r="F2725"/>
      <c r="G2725"/>
      <c r="H2725"/>
    </row>
    <row r="2726" spans="1:8">
      <c r="A2726"/>
      <c r="B2726"/>
      <c r="C2726"/>
      <c r="E2726"/>
      <c r="F2726"/>
      <c r="G2726"/>
      <c r="H2726"/>
    </row>
    <row r="2727" spans="1:8">
      <c r="A2727"/>
      <c r="B2727"/>
      <c r="C2727"/>
      <c r="E2727"/>
      <c r="F2727"/>
      <c r="G2727"/>
      <c r="H2727"/>
    </row>
    <row r="2728" spans="1:8">
      <c r="A2728"/>
      <c r="B2728"/>
      <c r="C2728"/>
      <c r="E2728"/>
      <c r="F2728"/>
      <c r="G2728"/>
      <c r="H2728"/>
    </row>
    <row r="2729" spans="1:8">
      <c r="A2729"/>
      <c r="B2729"/>
      <c r="C2729"/>
      <c r="E2729"/>
      <c r="F2729"/>
      <c r="G2729"/>
      <c r="H2729"/>
    </row>
    <row r="2730" spans="1:8">
      <c r="A2730"/>
      <c r="B2730"/>
      <c r="C2730"/>
      <c r="E2730"/>
      <c r="F2730"/>
      <c r="G2730"/>
      <c r="H2730"/>
    </row>
    <row r="2731" spans="1:8">
      <c r="A2731"/>
      <c r="B2731"/>
      <c r="C2731"/>
      <c r="E2731"/>
      <c r="F2731"/>
      <c r="G2731"/>
      <c r="H2731"/>
    </row>
    <row r="2732" spans="1:8">
      <c r="A2732"/>
      <c r="B2732"/>
      <c r="C2732"/>
      <c r="E2732"/>
      <c r="F2732"/>
      <c r="G2732"/>
      <c r="H2732"/>
    </row>
    <row r="2733" spans="1:8">
      <c r="A2733"/>
      <c r="B2733"/>
      <c r="C2733"/>
      <c r="E2733"/>
      <c r="F2733"/>
      <c r="G2733"/>
      <c r="H2733"/>
    </row>
    <row r="2734" spans="1:8">
      <c r="A2734"/>
      <c r="B2734"/>
      <c r="C2734"/>
      <c r="E2734"/>
      <c r="F2734"/>
      <c r="G2734"/>
      <c r="H2734"/>
    </row>
    <row r="2735" spans="1:8">
      <c r="A2735"/>
      <c r="B2735"/>
      <c r="C2735"/>
      <c r="E2735"/>
      <c r="F2735"/>
      <c r="G2735"/>
      <c r="H2735"/>
    </row>
    <row r="2736" spans="1:8">
      <c r="A2736"/>
      <c r="B2736"/>
      <c r="C2736"/>
      <c r="E2736"/>
      <c r="F2736"/>
      <c r="G2736"/>
      <c r="H2736"/>
    </row>
    <row r="2737" spans="1:8">
      <c r="A2737"/>
      <c r="B2737"/>
      <c r="C2737"/>
      <c r="E2737"/>
      <c r="F2737"/>
      <c r="G2737"/>
      <c r="H2737"/>
    </row>
    <row r="2738" spans="1:8">
      <c r="A2738"/>
      <c r="B2738"/>
      <c r="C2738"/>
      <c r="E2738"/>
      <c r="F2738"/>
      <c r="G2738"/>
      <c r="H2738"/>
    </row>
    <row r="2739" spans="1:8">
      <c r="A2739"/>
      <c r="B2739"/>
      <c r="C2739"/>
      <c r="E2739"/>
      <c r="F2739"/>
      <c r="G2739"/>
      <c r="H2739"/>
    </row>
    <row r="2740" spans="1:8">
      <c r="A2740"/>
      <c r="B2740"/>
      <c r="C2740"/>
      <c r="E2740"/>
      <c r="F2740"/>
      <c r="G2740"/>
      <c r="H2740"/>
    </row>
    <row r="2741" spans="1:8">
      <c r="A2741"/>
      <c r="B2741"/>
      <c r="C2741"/>
      <c r="E2741"/>
      <c r="F2741"/>
      <c r="G2741"/>
      <c r="H2741"/>
    </row>
    <row r="2742" spans="1:8">
      <c r="A2742"/>
      <c r="B2742"/>
      <c r="C2742"/>
      <c r="E2742"/>
      <c r="F2742"/>
      <c r="G2742"/>
      <c r="H2742"/>
    </row>
    <row r="2743" spans="1:8">
      <c r="A2743"/>
      <c r="B2743"/>
      <c r="C2743"/>
      <c r="E2743"/>
      <c r="F2743"/>
      <c r="G2743"/>
      <c r="H2743"/>
    </row>
    <row r="2744" spans="1:8">
      <c r="A2744"/>
      <c r="B2744"/>
      <c r="C2744"/>
      <c r="E2744"/>
      <c r="F2744"/>
      <c r="G2744"/>
      <c r="H2744"/>
    </row>
    <row r="2745" spans="1:8">
      <c r="A2745"/>
      <c r="B2745"/>
      <c r="C2745"/>
      <c r="E2745"/>
      <c r="F2745"/>
      <c r="G2745"/>
      <c r="H2745"/>
    </row>
    <row r="2746" spans="1:8">
      <c r="A2746"/>
      <c r="B2746"/>
      <c r="C2746"/>
      <c r="E2746"/>
      <c r="F2746"/>
      <c r="G2746"/>
      <c r="H2746"/>
    </row>
    <row r="2747" spans="1:8">
      <c r="A2747"/>
      <c r="B2747"/>
      <c r="C2747"/>
      <c r="E2747"/>
      <c r="F2747"/>
      <c r="G2747"/>
      <c r="H2747"/>
    </row>
    <row r="2748" spans="1:8">
      <c r="A2748"/>
      <c r="B2748"/>
      <c r="C2748"/>
      <c r="E2748"/>
      <c r="F2748"/>
      <c r="G2748"/>
      <c r="H2748"/>
    </row>
    <row r="2749" spans="1:8">
      <c r="A2749"/>
      <c r="B2749"/>
      <c r="C2749"/>
      <c r="E2749"/>
      <c r="F2749"/>
      <c r="G2749"/>
      <c r="H2749"/>
    </row>
    <row r="2750" spans="1:8">
      <c r="A2750"/>
      <c r="B2750"/>
      <c r="C2750"/>
      <c r="E2750"/>
      <c r="F2750"/>
      <c r="G2750"/>
      <c r="H2750"/>
    </row>
    <row r="2751" spans="1:8">
      <c r="A2751"/>
      <c r="B2751"/>
      <c r="C2751"/>
      <c r="E2751"/>
      <c r="F2751"/>
      <c r="G2751"/>
      <c r="H2751"/>
    </row>
    <row r="2752" spans="1:8">
      <c r="A2752"/>
      <c r="B2752"/>
      <c r="C2752"/>
      <c r="E2752"/>
      <c r="F2752"/>
      <c r="G2752"/>
      <c r="H2752"/>
    </row>
    <row r="2753" spans="1:8">
      <c r="A2753"/>
      <c r="B2753"/>
      <c r="C2753"/>
      <c r="E2753"/>
      <c r="F2753"/>
      <c r="G2753"/>
      <c r="H2753"/>
    </row>
    <row r="2754" spans="1:8">
      <c r="A2754"/>
      <c r="B2754"/>
      <c r="C2754"/>
      <c r="E2754"/>
      <c r="F2754"/>
      <c r="G2754"/>
      <c r="H2754"/>
    </row>
    <row r="2755" spans="1:8">
      <c r="A2755"/>
      <c r="B2755"/>
      <c r="C2755"/>
      <c r="E2755"/>
      <c r="F2755"/>
      <c r="G2755"/>
      <c r="H2755"/>
    </row>
    <row r="2756" spans="1:8">
      <c r="A2756"/>
      <c r="B2756"/>
      <c r="C2756"/>
      <c r="E2756"/>
      <c r="F2756"/>
      <c r="G2756"/>
      <c r="H2756"/>
    </row>
    <row r="2757" spans="1:8">
      <c r="A2757"/>
      <c r="B2757"/>
      <c r="C2757"/>
      <c r="E2757"/>
      <c r="F2757"/>
      <c r="G2757"/>
      <c r="H2757"/>
    </row>
    <row r="2758" spans="1:8">
      <c r="A2758"/>
      <c r="B2758"/>
      <c r="C2758"/>
      <c r="E2758"/>
      <c r="F2758"/>
      <c r="G2758"/>
      <c r="H2758"/>
    </row>
    <row r="2759" spans="1:8">
      <c r="A2759"/>
      <c r="B2759"/>
      <c r="C2759"/>
      <c r="E2759"/>
      <c r="F2759"/>
      <c r="G2759"/>
      <c r="H2759"/>
    </row>
    <row r="2760" spans="1:8">
      <c r="A2760"/>
      <c r="B2760"/>
      <c r="C2760"/>
      <c r="E2760"/>
      <c r="F2760"/>
      <c r="G2760"/>
      <c r="H2760"/>
    </row>
    <row r="2761" spans="1:8">
      <c r="A2761"/>
      <c r="B2761"/>
      <c r="C2761"/>
      <c r="E2761"/>
      <c r="F2761"/>
      <c r="G2761"/>
      <c r="H2761"/>
    </row>
    <row r="2762" spans="1:8">
      <c r="A2762"/>
      <c r="B2762"/>
      <c r="C2762"/>
      <c r="E2762"/>
      <c r="F2762"/>
      <c r="G2762"/>
      <c r="H2762"/>
    </row>
    <row r="2763" spans="1:8">
      <c r="A2763"/>
      <c r="B2763"/>
      <c r="C2763"/>
      <c r="E2763"/>
      <c r="F2763"/>
      <c r="G2763"/>
      <c r="H2763"/>
    </row>
    <row r="2764" spans="1:8">
      <c r="A2764"/>
      <c r="B2764"/>
      <c r="C2764"/>
      <c r="E2764"/>
      <c r="F2764"/>
      <c r="G2764"/>
      <c r="H2764"/>
    </row>
    <row r="2765" spans="1:8">
      <c r="A2765"/>
      <c r="B2765"/>
      <c r="C2765"/>
      <c r="E2765"/>
      <c r="F2765"/>
      <c r="G2765"/>
      <c r="H2765"/>
    </row>
    <row r="2766" spans="1:8">
      <c r="A2766"/>
      <c r="B2766"/>
      <c r="C2766"/>
      <c r="E2766"/>
      <c r="F2766"/>
      <c r="G2766"/>
      <c r="H2766"/>
    </row>
    <row r="2767" spans="1:8">
      <c r="A2767"/>
      <c r="B2767"/>
      <c r="C2767"/>
      <c r="E2767"/>
      <c r="F2767"/>
      <c r="G2767"/>
      <c r="H2767"/>
    </row>
    <row r="2768" spans="1:8">
      <c r="A2768"/>
      <c r="B2768"/>
      <c r="C2768"/>
      <c r="E2768"/>
      <c r="F2768"/>
      <c r="G2768"/>
      <c r="H2768"/>
    </row>
    <row r="2769" spans="1:8">
      <c r="A2769"/>
      <c r="B2769"/>
      <c r="C2769"/>
      <c r="E2769"/>
      <c r="F2769"/>
      <c r="G2769"/>
      <c r="H2769"/>
    </row>
    <row r="2770" spans="1:8">
      <c r="A2770"/>
      <c r="B2770"/>
      <c r="C2770"/>
      <c r="E2770"/>
      <c r="F2770"/>
      <c r="G2770"/>
      <c r="H2770"/>
    </row>
    <row r="2771" spans="1:8">
      <c r="A2771"/>
      <c r="B2771"/>
      <c r="C2771"/>
      <c r="E2771"/>
      <c r="F2771"/>
      <c r="G2771"/>
      <c r="H2771"/>
    </row>
    <row r="2772" spans="1:8">
      <c r="A2772"/>
      <c r="B2772"/>
      <c r="C2772"/>
      <c r="E2772"/>
      <c r="F2772"/>
      <c r="G2772"/>
      <c r="H2772"/>
    </row>
    <row r="2773" spans="1:8">
      <c r="A2773"/>
      <c r="B2773"/>
      <c r="C2773"/>
      <c r="E2773"/>
      <c r="F2773"/>
      <c r="G2773"/>
      <c r="H2773"/>
    </row>
    <row r="2774" spans="1:8">
      <c r="A2774"/>
      <c r="B2774"/>
      <c r="C2774"/>
      <c r="E2774"/>
      <c r="F2774"/>
      <c r="G2774"/>
      <c r="H2774"/>
    </row>
    <row r="2775" spans="1:8">
      <c r="A2775"/>
      <c r="B2775"/>
      <c r="C2775"/>
      <c r="E2775"/>
      <c r="F2775"/>
      <c r="G2775"/>
      <c r="H2775"/>
    </row>
    <row r="2776" spans="1:8">
      <c r="A2776"/>
      <c r="B2776"/>
      <c r="C2776"/>
      <c r="E2776"/>
      <c r="F2776"/>
      <c r="G2776"/>
      <c r="H2776"/>
    </row>
    <row r="2777" spans="1:8">
      <c r="A2777"/>
      <c r="B2777"/>
      <c r="C2777"/>
      <c r="E2777"/>
      <c r="F2777"/>
      <c r="G2777"/>
      <c r="H2777"/>
    </row>
    <row r="2778" spans="1:8">
      <c r="A2778"/>
      <c r="B2778"/>
      <c r="C2778"/>
      <c r="E2778"/>
      <c r="F2778"/>
      <c r="G2778"/>
      <c r="H2778"/>
    </row>
    <row r="2779" spans="1:8">
      <c r="A2779"/>
      <c r="B2779"/>
      <c r="C2779"/>
      <c r="E2779"/>
      <c r="F2779"/>
      <c r="G2779"/>
      <c r="H2779"/>
    </row>
    <row r="2780" spans="1:8">
      <c r="A2780"/>
      <c r="B2780"/>
      <c r="C2780"/>
      <c r="E2780"/>
      <c r="F2780"/>
      <c r="G2780"/>
      <c r="H2780"/>
    </row>
    <row r="2781" spans="1:8">
      <c r="A2781"/>
      <c r="B2781"/>
      <c r="C2781"/>
      <c r="E2781"/>
      <c r="F2781"/>
      <c r="G2781"/>
      <c r="H2781"/>
    </row>
    <row r="2782" spans="1:8">
      <c r="A2782"/>
      <c r="B2782"/>
      <c r="C2782"/>
      <c r="E2782"/>
      <c r="F2782"/>
      <c r="G2782"/>
      <c r="H2782"/>
    </row>
    <row r="2783" spans="1:8">
      <c r="A2783"/>
      <c r="B2783"/>
      <c r="C2783"/>
      <c r="E2783"/>
      <c r="F2783"/>
      <c r="G2783"/>
      <c r="H2783"/>
    </row>
    <row r="2784" spans="1:8">
      <c r="A2784"/>
      <c r="B2784"/>
      <c r="C2784"/>
      <c r="E2784"/>
      <c r="F2784"/>
      <c r="G2784"/>
      <c r="H2784"/>
    </row>
    <row r="2785" spans="1:8">
      <c r="A2785"/>
      <c r="B2785"/>
      <c r="C2785"/>
      <c r="E2785"/>
      <c r="F2785"/>
      <c r="G2785"/>
      <c r="H2785"/>
    </row>
    <row r="2786" spans="1:8">
      <c r="A2786"/>
      <c r="B2786"/>
      <c r="C2786"/>
      <c r="E2786"/>
      <c r="F2786"/>
      <c r="G2786"/>
      <c r="H2786"/>
    </row>
    <row r="2787" spans="1:8">
      <c r="A2787"/>
      <c r="B2787"/>
      <c r="C2787"/>
      <c r="E2787"/>
      <c r="F2787"/>
      <c r="G2787"/>
      <c r="H2787"/>
    </row>
    <row r="2788" spans="1:8">
      <c r="A2788"/>
      <c r="B2788"/>
      <c r="C2788"/>
      <c r="E2788"/>
      <c r="F2788"/>
      <c r="G2788"/>
      <c r="H2788"/>
    </row>
    <row r="2789" spans="1:8">
      <c r="A2789"/>
      <c r="B2789"/>
      <c r="C2789"/>
      <c r="E2789"/>
      <c r="F2789"/>
      <c r="G2789"/>
      <c r="H2789"/>
    </row>
    <row r="2790" spans="1:8">
      <c r="A2790"/>
      <c r="B2790"/>
      <c r="C2790"/>
      <c r="E2790"/>
      <c r="F2790"/>
      <c r="G2790"/>
      <c r="H2790"/>
    </row>
    <row r="2791" spans="1:8">
      <c r="A2791"/>
      <c r="B2791"/>
      <c r="C2791"/>
      <c r="E2791"/>
      <c r="F2791"/>
      <c r="G2791"/>
      <c r="H2791"/>
    </row>
    <row r="2792" spans="1:8">
      <c r="A2792"/>
      <c r="B2792"/>
      <c r="C2792"/>
      <c r="E2792"/>
      <c r="F2792"/>
      <c r="G2792"/>
      <c r="H2792"/>
    </row>
    <row r="2793" spans="1:8">
      <c r="A2793"/>
      <c r="B2793"/>
      <c r="C2793"/>
      <c r="E2793"/>
      <c r="F2793"/>
      <c r="G2793"/>
      <c r="H2793"/>
    </row>
    <row r="2794" spans="1:8">
      <c r="A2794"/>
      <c r="B2794"/>
      <c r="C2794"/>
      <c r="E2794"/>
      <c r="F2794"/>
      <c r="G2794"/>
      <c r="H2794"/>
    </row>
    <row r="2795" spans="1:8">
      <c r="A2795"/>
      <c r="B2795"/>
      <c r="C2795"/>
      <c r="E2795"/>
      <c r="F2795"/>
      <c r="G2795"/>
      <c r="H2795"/>
    </row>
    <row r="2796" spans="1:8">
      <c r="A2796"/>
      <c r="B2796"/>
      <c r="C2796"/>
      <c r="E2796"/>
      <c r="F2796"/>
      <c r="G2796"/>
      <c r="H2796"/>
    </row>
    <row r="2797" spans="1:8">
      <c r="A2797"/>
      <c r="B2797"/>
      <c r="C2797"/>
      <c r="E2797"/>
      <c r="F2797"/>
      <c r="G2797"/>
      <c r="H2797"/>
    </row>
    <row r="2798" spans="1:8">
      <c r="A2798"/>
      <c r="B2798"/>
      <c r="C2798"/>
      <c r="E2798"/>
      <c r="F2798"/>
      <c r="G2798"/>
      <c r="H2798"/>
    </row>
    <row r="2799" spans="1:8">
      <c r="A2799"/>
      <c r="B2799"/>
      <c r="C2799"/>
      <c r="E2799"/>
      <c r="F2799"/>
      <c r="G2799"/>
      <c r="H2799"/>
    </row>
    <row r="2800" spans="1:8">
      <c r="A2800"/>
      <c r="B2800"/>
      <c r="C2800"/>
      <c r="E2800"/>
      <c r="F2800"/>
      <c r="G2800"/>
      <c r="H2800"/>
    </row>
    <row r="2801" spans="1:8">
      <c r="A2801"/>
      <c r="B2801"/>
      <c r="C2801"/>
      <c r="E2801"/>
      <c r="F2801"/>
      <c r="G2801"/>
      <c r="H2801"/>
    </row>
    <row r="2802" spans="1:8">
      <c r="A2802"/>
      <c r="B2802"/>
      <c r="C2802"/>
      <c r="E2802"/>
      <c r="F2802"/>
      <c r="G2802"/>
      <c r="H2802"/>
    </row>
    <row r="2803" spans="1:8">
      <c r="A2803"/>
      <c r="B2803"/>
      <c r="C2803"/>
      <c r="E2803"/>
      <c r="F2803"/>
      <c r="G2803"/>
      <c r="H2803"/>
    </row>
    <row r="2804" spans="1:8">
      <c r="A2804"/>
      <c r="B2804"/>
      <c r="C2804"/>
      <c r="E2804"/>
      <c r="F2804"/>
      <c r="G2804"/>
      <c r="H2804"/>
    </row>
    <row r="2805" spans="1:8">
      <c r="A2805"/>
      <c r="B2805"/>
      <c r="C2805"/>
      <c r="E2805"/>
      <c r="F2805"/>
      <c r="G2805"/>
      <c r="H2805"/>
    </row>
    <row r="2806" spans="1:8">
      <c r="A2806"/>
      <c r="B2806"/>
      <c r="C2806"/>
      <c r="E2806"/>
      <c r="F2806"/>
      <c r="G2806"/>
      <c r="H2806"/>
    </row>
    <row r="2807" spans="1:8">
      <c r="A2807"/>
      <c r="B2807"/>
      <c r="C2807"/>
      <c r="E2807"/>
      <c r="F2807"/>
      <c r="G2807"/>
      <c r="H2807"/>
    </row>
    <row r="2808" spans="1:8">
      <c r="A2808"/>
      <c r="B2808"/>
      <c r="C2808"/>
      <c r="E2808"/>
      <c r="F2808"/>
      <c r="G2808"/>
      <c r="H2808"/>
    </row>
    <row r="2809" spans="1:8">
      <c r="A2809"/>
      <c r="B2809"/>
      <c r="C2809"/>
      <c r="E2809"/>
      <c r="F2809"/>
      <c r="G2809"/>
      <c r="H2809"/>
    </row>
    <row r="2810" spans="1:8">
      <c r="A2810"/>
      <c r="B2810"/>
      <c r="C2810"/>
      <c r="E2810"/>
      <c r="F2810"/>
      <c r="G2810"/>
      <c r="H2810"/>
    </row>
    <row r="2811" spans="1:8">
      <c r="A2811"/>
      <c r="B2811"/>
      <c r="C2811"/>
      <c r="E2811"/>
      <c r="F2811"/>
      <c r="G2811"/>
      <c r="H2811"/>
    </row>
    <row r="2812" spans="1:8">
      <c r="A2812"/>
      <c r="B2812"/>
      <c r="C2812"/>
      <c r="E2812"/>
      <c r="F2812"/>
      <c r="G2812"/>
      <c r="H2812"/>
    </row>
    <row r="2813" spans="1:8">
      <c r="A2813"/>
      <c r="B2813"/>
      <c r="C2813"/>
      <c r="E2813"/>
      <c r="F2813"/>
      <c r="G2813"/>
      <c r="H2813"/>
    </row>
    <row r="2814" spans="1:8">
      <c r="A2814"/>
      <c r="B2814"/>
      <c r="C2814"/>
      <c r="E2814"/>
      <c r="F2814"/>
      <c r="G2814"/>
      <c r="H2814"/>
    </row>
    <row r="2815" spans="1:8">
      <c r="A2815"/>
      <c r="B2815"/>
      <c r="C2815"/>
      <c r="E2815"/>
      <c r="F2815"/>
      <c r="G2815"/>
      <c r="H2815"/>
    </row>
    <row r="2816" spans="1:8">
      <c r="A2816"/>
      <c r="B2816"/>
      <c r="C2816"/>
      <c r="E2816"/>
      <c r="F2816"/>
      <c r="G2816"/>
      <c r="H2816"/>
    </row>
    <row r="2817" spans="1:8">
      <c r="A2817"/>
      <c r="B2817"/>
      <c r="C2817"/>
      <c r="E2817"/>
      <c r="F2817"/>
      <c r="G2817"/>
      <c r="H2817"/>
    </row>
    <row r="2818" spans="1:8">
      <c r="A2818"/>
      <c r="B2818"/>
      <c r="C2818"/>
      <c r="E2818"/>
      <c r="F2818"/>
      <c r="G2818"/>
      <c r="H2818"/>
    </row>
    <row r="2819" spans="1:8">
      <c r="A2819"/>
      <c r="B2819"/>
      <c r="C2819"/>
      <c r="E2819"/>
      <c r="F2819"/>
      <c r="G2819"/>
      <c r="H2819"/>
    </row>
    <row r="2820" spans="1:8">
      <c r="A2820"/>
      <c r="B2820"/>
      <c r="C2820"/>
      <c r="E2820"/>
      <c r="F2820"/>
      <c r="G2820"/>
      <c r="H2820"/>
    </row>
    <row r="2821" spans="1:8">
      <c r="A2821"/>
      <c r="B2821"/>
      <c r="C2821"/>
      <c r="E2821"/>
      <c r="F2821"/>
      <c r="G2821"/>
      <c r="H2821"/>
    </row>
    <row r="2822" spans="1:8">
      <c r="A2822"/>
      <c r="B2822"/>
      <c r="C2822"/>
      <c r="E2822"/>
      <c r="F2822"/>
      <c r="G2822"/>
      <c r="H2822"/>
    </row>
    <row r="2823" spans="1:8">
      <c r="A2823"/>
      <c r="B2823"/>
      <c r="C2823"/>
      <c r="E2823"/>
      <c r="F2823"/>
      <c r="G2823"/>
      <c r="H2823"/>
    </row>
    <row r="2824" spans="1:8">
      <c r="A2824"/>
      <c r="B2824"/>
      <c r="C2824"/>
      <c r="E2824"/>
      <c r="F2824"/>
      <c r="G2824"/>
      <c r="H2824"/>
    </row>
    <row r="2825" spans="1:8">
      <c r="A2825"/>
      <c r="B2825"/>
      <c r="C2825"/>
      <c r="E2825"/>
      <c r="F2825"/>
      <c r="G2825"/>
      <c r="H2825"/>
    </row>
    <row r="2826" spans="1:8">
      <c r="A2826"/>
      <c r="B2826"/>
      <c r="C2826"/>
      <c r="E2826"/>
      <c r="F2826"/>
      <c r="G2826"/>
      <c r="H2826"/>
    </row>
    <row r="2827" spans="1:8">
      <c r="A2827"/>
      <c r="B2827"/>
      <c r="C2827"/>
      <c r="E2827"/>
      <c r="F2827"/>
      <c r="G2827"/>
      <c r="H2827"/>
    </row>
    <row r="2828" spans="1:8">
      <c r="A2828"/>
      <c r="B2828"/>
      <c r="C2828"/>
      <c r="E2828"/>
      <c r="F2828"/>
      <c r="G2828"/>
      <c r="H2828"/>
    </row>
    <row r="2829" spans="1:8">
      <c r="A2829"/>
      <c r="B2829"/>
      <c r="C2829"/>
      <c r="E2829"/>
      <c r="F2829"/>
      <c r="G2829"/>
      <c r="H2829"/>
    </row>
    <row r="2830" spans="1:8">
      <c r="A2830"/>
      <c r="B2830"/>
      <c r="C2830"/>
      <c r="E2830"/>
      <c r="F2830"/>
      <c r="G2830"/>
      <c r="H2830"/>
    </row>
    <row r="2831" spans="1:8">
      <c r="A2831"/>
      <c r="B2831"/>
      <c r="C2831"/>
      <c r="E2831"/>
      <c r="F2831"/>
      <c r="G2831"/>
      <c r="H2831"/>
    </row>
    <row r="2832" spans="1:8">
      <c r="A2832"/>
      <c r="B2832"/>
      <c r="C2832"/>
      <c r="E2832"/>
      <c r="F2832"/>
      <c r="G2832"/>
      <c r="H2832"/>
    </row>
    <row r="2833" spans="1:8">
      <c r="A2833"/>
      <c r="B2833"/>
      <c r="C2833"/>
      <c r="E2833"/>
      <c r="F2833"/>
      <c r="G2833"/>
      <c r="H2833"/>
    </row>
    <row r="2834" spans="1:8">
      <c r="A2834"/>
      <c r="B2834"/>
      <c r="C2834"/>
      <c r="E2834"/>
      <c r="F2834"/>
      <c r="G2834"/>
      <c r="H2834"/>
    </row>
    <row r="2835" spans="1:8">
      <c r="A2835"/>
      <c r="B2835"/>
      <c r="C2835"/>
      <c r="E2835"/>
      <c r="F2835"/>
      <c r="G2835"/>
      <c r="H2835"/>
    </row>
    <row r="2836" spans="1:8">
      <c r="A2836"/>
      <c r="B2836"/>
      <c r="C2836"/>
      <c r="E2836"/>
      <c r="F2836"/>
      <c r="G2836"/>
      <c r="H2836"/>
    </row>
    <row r="2837" spans="1:8">
      <c r="A2837"/>
      <c r="B2837"/>
      <c r="C2837"/>
      <c r="E2837"/>
      <c r="F2837"/>
      <c r="G2837"/>
      <c r="H2837"/>
    </row>
    <row r="2838" spans="1:8">
      <c r="A2838"/>
      <c r="B2838"/>
      <c r="C2838"/>
      <c r="E2838"/>
      <c r="F2838"/>
      <c r="G2838"/>
      <c r="H2838"/>
    </row>
    <row r="2839" spans="1:8">
      <c r="A2839"/>
      <c r="B2839"/>
      <c r="C2839"/>
      <c r="E2839"/>
      <c r="F2839"/>
      <c r="G2839"/>
      <c r="H2839"/>
    </row>
    <row r="2840" spans="1:8">
      <c r="A2840"/>
      <c r="B2840"/>
      <c r="C2840"/>
      <c r="E2840"/>
      <c r="F2840"/>
      <c r="G2840"/>
      <c r="H2840"/>
    </row>
    <row r="2841" spans="1:8">
      <c r="A2841"/>
      <c r="B2841"/>
      <c r="C2841"/>
      <c r="E2841"/>
      <c r="F2841"/>
      <c r="G2841"/>
      <c r="H2841"/>
    </row>
    <row r="2842" spans="1:8">
      <c r="A2842"/>
      <c r="B2842"/>
      <c r="C2842"/>
      <c r="E2842"/>
      <c r="F2842"/>
      <c r="G2842"/>
      <c r="H2842"/>
    </row>
    <row r="2843" spans="1:8">
      <c r="A2843"/>
      <c r="B2843"/>
      <c r="C2843"/>
      <c r="E2843"/>
      <c r="F2843"/>
      <c r="G2843"/>
      <c r="H2843"/>
    </row>
    <row r="2844" spans="1:8">
      <c r="A2844"/>
      <c r="B2844"/>
      <c r="C2844"/>
      <c r="E2844"/>
      <c r="F2844"/>
      <c r="G2844"/>
      <c r="H2844"/>
    </row>
    <row r="2845" spans="1:8">
      <c r="A2845"/>
      <c r="B2845"/>
      <c r="C2845"/>
      <c r="E2845"/>
      <c r="F2845"/>
      <c r="G2845"/>
      <c r="H2845"/>
    </row>
    <row r="2846" spans="1:8">
      <c r="A2846"/>
      <c r="B2846"/>
      <c r="C2846"/>
      <c r="E2846"/>
      <c r="F2846"/>
      <c r="G2846"/>
      <c r="H2846"/>
    </row>
    <row r="2847" spans="1:8">
      <c r="A2847"/>
      <c r="B2847"/>
      <c r="C2847"/>
      <c r="E2847"/>
      <c r="F2847"/>
      <c r="G2847"/>
      <c r="H2847"/>
    </row>
    <row r="2848" spans="1:8">
      <c r="A2848"/>
      <c r="B2848"/>
      <c r="C2848"/>
      <c r="E2848"/>
      <c r="F2848"/>
      <c r="G2848"/>
      <c r="H2848"/>
    </row>
    <row r="2849" spans="1:8">
      <c r="A2849"/>
      <c r="B2849"/>
      <c r="C2849"/>
      <c r="E2849"/>
      <c r="F2849"/>
      <c r="G2849"/>
      <c r="H2849"/>
    </row>
    <row r="2850" spans="1:8">
      <c r="A2850"/>
      <c r="B2850"/>
      <c r="C2850"/>
      <c r="E2850"/>
      <c r="F2850"/>
      <c r="G2850"/>
      <c r="H2850"/>
    </row>
    <row r="2851" spans="1:8">
      <c r="A2851"/>
      <c r="B2851"/>
      <c r="C2851"/>
      <c r="E2851"/>
      <c r="F2851"/>
      <c r="G2851"/>
      <c r="H2851"/>
    </row>
    <row r="2852" spans="1:8">
      <c r="A2852"/>
      <c r="B2852"/>
      <c r="C2852"/>
      <c r="E2852"/>
      <c r="F2852"/>
      <c r="G2852"/>
      <c r="H2852"/>
    </row>
    <row r="2853" spans="1:8">
      <c r="A2853"/>
      <c r="B2853"/>
      <c r="C2853"/>
      <c r="E2853"/>
      <c r="F2853"/>
      <c r="G2853"/>
      <c r="H2853"/>
    </row>
    <row r="2854" spans="1:8">
      <c r="A2854"/>
      <c r="B2854"/>
      <c r="C2854"/>
      <c r="E2854"/>
      <c r="F2854"/>
      <c r="G2854"/>
      <c r="H2854"/>
    </row>
    <row r="2855" spans="1:8">
      <c r="A2855"/>
      <c r="B2855"/>
      <c r="C2855"/>
      <c r="E2855"/>
      <c r="F2855"/>
      <c r="G2855"/>
      <c r="H2855"/>
    </row>
    <row r="2856" spans="1:8">
      <c r="A2856"/>
      <c r="B2856"/>
      <c r="C2856"/>
      <c r="E2856"/>
      <c r="F2856"/>
      <c r="G2856"/>
      <c r="H2856"/>
    </row>
    <row r="2857" spans="1:8">
      <c r="A2857"/>
      <c r="B2857"/>
      <c r="C2857"/>
      <c r="E2857"/>
      <c r="F2857"/>
      <c r="G2857"/>
      <c r="H2857"/>
    </row>
    <row r="2858" spans="1:8">
      <c r="A2858"/>
      <c r="B2858"/>
      <c r="C2858"/>
      <c r="E2858"/>
      <c r="F2858"/>
      <c r="G2858"/>
      <c r="H2858"/>
    </row>
    <row r="2859" spans="1:8">
      <c r="A2859"/>
      <c r="B2859"/>
      <c r="C2859"/>
      <c r="E2859"/>
      <c r="F2859"/>
      <c r="G2859"/>
      <c r="H2859"/>
    </row>
    <row r="2860" spans="1:8">
      <c r="A2860"/>
      <c r="B2860"/>
      <c r="C2860"/>
      <c r="E2860"/>
      <c r="F2860"/>
      <c r="G2860"/>
      <c r="H2860"/>
    </row>
    <row r="2861" spans="1:8">
      <c r="A2861"/>
      <c r="B2861"/>
      <c r="C2861"/>
      <c r="E2861"/>
      <c r="F2861"/>
      <c r="G2861"/>
      <c r="H2861"/>
    </row>
    <row r="2862" spans="1:8">
      <c r="A2862"/>
      <c r="B2862"/>
      <c r="C2862"/>
      <c r="E2862"/>
      <c r="F2862"/>
      <c r="G2862"/>
      <c r="H2862"/>
    </row>
    <row r="2863" spans="1:8">
      <c r="A2863"/>
      <c r="B2863"/>
      <c r="C2863"/>
      <c r="E2863"/>
      <c r="F2863"/>
      <c r="G2863"/>
      <c r="H2863"/>
    </row>
    <row r="2864" spans="1:8">
      <c r="A2864"/>
      <c r="B2864"/>
      <c r="C2864"/>
      <c r="E2864"/>
      <c r="F2864"/>
      <c r="G2864"/>
      <c r="H2864"/>
    </row>
    <row r="2865" spans="1:8">
      <c r="A2865"/>
      <c r="B2865"/>
      <c r="C2865"/>
      <c r="E2865"/>
      <c r="F2865"/>
      <c r="G2865"/>
      <c r="H2865"/>
    </row>
    <row r="2866" spans="1:8">
      <c r="A2866"/>
      <c r="B2866"/>
      <c r="C2866"/>
      <c r="E2866"/>
      <c r="F2866"/>
      <c r="G2866"/>
      <c r="H2866"/>
    </row>
    <row r="2867" spans="1:8">
      <c r="A2867"/>
      <c r="B2867"/>
      <c r="C2867"/>
      <c r="E2867"/>
      <c r="F2867"/>
      <c r="G2867"/>
      <c r="H2867"/>
    </row>
    <row r="2868" spans="1:8">
      <c r="A2868"/>
      <c r="B2868"/>
      <c r="C2868"/>
      <c r="E2868"/>
      <c r="F2868"/>
      <c r="G2868"/>
      <c r="H2868"/>
    </row>
    <row r="2869" spans="1:8">
      <c r="A2869"/>
      <c r="B2869"/>
      <c r="C2869"/>
      <c r="E2869"/>
      <c r="F2869"/>
      <c r="G2869"/>
      <c r="H2869"/>
    </row>
    <row r="2870" spans="1:8">
      <c r="A2870"/>
      <c r="B2870"/>
      <c r="C2870"/>
      <c r="E2870"/>
      <c r="F2870"/>
      <c r="G2870"/>
      <c r="H2870"/>
    </row>
    <row r="2871" spans="1:8">
      <c r="A2871"/>
      <c r="B2871"/>
      <c r="C2871"/>
      <c r="E2871"/>
      <c r="F2871"/>
      <c r="G2871"/>
      <c r="H2871"/>
    </row>
    <row r="2872" spans="1:8">
      <c r="A2872"/>
      <c r="B2872"/>
      <c r="C2872"/>
      <c r="E2872"/>
      <c r="F2872"/>
      <c r="G2872"/>
      <c r="H2872"/>
    </row>
    <row r="2873" spans="1:8">
      <c r="A2873"/>
      <c r="B2873"/>
      <c r="C2873"/>
      <c r="E2873"/>
      <c r="F2873"/>
      <c r="G2873"/>
      <c r="H2873"/>
    </row>
    <row r="2874" spans="1:8">
      <c r="A2874"/>
      <c r="B2874"/>
      <c r="C2874"/>
      <c r="E2874"/>
      <c r="F2874"/>
      <c r="G2874"/>
      <c r="H2874"/>
    </row>
    <row r="2875" spans="1:8">
      <c r="A2875"/>
      <c r="B2875"/>
      <c r="C2875"/>
      <c r="E2875"/>
      <c r="F2875"/>
      <c r="G2875"/>
      <c r="H2875"/>
    </row>
    <row r="2876" spans="1:8">
      <c r="A2876"/>
      <c r="B2876"/>
      <c r="C2876"/>
      <c r="E2876"/>
      <c r="F2876"/>
      <c r="G2876"/>
      <c r="H2876"/>
    </row>
    <row r="2877" spans="1:8">
      <c r="A2877"/>
      <c r="B2877"/>
      <c r="C2877"/>
      <c r="E2877"/>
      <c r="F2877"/>
      <c r="G2877"/>
      <c r="H2877"/>
    </row>
    <row r="2878" spans="1:8">
      <c r="A2878"/>
      <c r="B2878"/>
      <c r="C2878"/>
      <c r="E2878"/>
      <c r="F2878"/>
      <c r="G2878"/>
      <c r="H2878"/>
    </row>
    <row r="2879" spans="1:8">
      <c r="A2879"/>
      <c r="B2879"/>
      <c r="C2879"/>
      <c r="E2879"/>
      <c r="F2879"/>
      <c r="G2879"/>
      <c r="H2879"/>
    </row>
    <row r="2880" spans="1:8">
      <c r="A2880"/>
      <c r="B2880"/>
      <c r="C2880"/>
      <c r="E2880"/>
      <c r="F2880"/>
      <c r="G2880"/>
      <c r="H2880"/>
    </row>
    <row r="2881" spans="1:8">
      <c r="A2881"/>
      <c r="B2881"/>
      <c r="C2881"/>
      <c r="E2881"/>
      <c r="F2881"/>
      <c r="G2881"/>
      <c r="H2881"/>
    </row>
    <row r="2882" spans="1:8">
      <c r="A2882"/>
      <c r="B2882"/>
      <c r="C2882"/>
      <c r="E2882"/>
      <c r="F2882"/>
      <c r="G2882"/>
      <c r="H2882"/>
    </row>
    <row r="2883" spans="1:8">
      <c r="A2883"/>
      <c r="B2883"/>
      <c r="C2883"/>
      <c r="E2883"/>
      <c r="F2883"/>
      <c r="G2883"/>
      <c r="H2883"/>
    </row>
    <row r="2884" spans="1:8">
      <c r="A2884"/>
      <c r="B2884"/>
      <c r="C2884"/>
      <c r="E2884"/>
      <c r="F2884"/>
      <c r="G2884"/>
      <c r="H2884"/>
    </row>
    <row r="2885" spans="1:8">
      <c r="A2885"/>
      <c r="B2885"/>
      <c r="C2885"/>
      <c r="E2885"/>
      <c r="F2885"/>
      <c r="G2885"/>
      <c r="H2885"/>
    </row>
    <row r="2886" spans="1:8">
      <c r="A2886"/>
      <c r="B2886"/>
      <c r="C2886"/>
      <c r="E2886"/>
      <c r="F2886"/>
      <c r="G2886"/>
      <c r="H2886"/>
    </row>
    <row r="2887" spans="1:8">
      <c r="A2887"/>
      <c r="B2887"/>
      <c r="C2887"/>
      <c r="E2887"/>
      <c r="F2887"/>
      <c r="G2887"/>
      <c r="H2887"/>
    </row>
    <row r="2888" spans="1:8">
      <c r="A2888"/>
      <c r="B2888"/>
      <c r="C2888"/>
      <c r="E2888"/>
      <c r="F2888"/>
      <c r="G2888"/>
      <c r="H2888"/>
    </row>
    <row r="2889" spans="1:8">
      <c r="A2889"/>
      <c r="B2889"/>
      <c r="C2889"/>
      <c r="E2889"/>
      <c r="F2889"/>
      <c r="G2889"/>
      <c r="H2889"/>
    </row>
    <row r="2890" spans="1:8">
      <c r="A2890"/>
      <c r="B2890"/>
      <c r="C2890"/>
      <c r="E2890"/>
      <c r="F2890"/>
      <c r="G2890"/>
      <c r="H2890"/>
    </row>
    <row r="2891" spans="1:8">
      <c r="A2891"/>
      <c r="B2891"/>
      <c r="C2891"/>
      <c r="E2891"/>
      <c r="F2891"/>
      <c r="G2891"/>
      <c r="H2891"/>
    </row>
    <row r="2892" spans="1:8">
      <c r="A2892"/>
      <c r="B2892"/>
      <c r="C2892"/>
      <c r="E2892"/>
      <c r="F2892"/>
      <c r="G2892"/>
      <c r="H2892"/>
    </row>
    <row r="2893" spans="1:8">
      <c r="A2893"/>
      <c r="B2893"/>
      <c r="C2893"/>
      <c r="E2893"/>
      <c r="F2893"/>
      <c r="G2893"/>
      <c r="H2893"/>
    </row>
    <row r="2894" spans="1:8">
      <c r="A2894"/>
      <c r="B2894"/>
      <c r="C2894"/>
      <c r="E2894"/>
      <c r="F2894"/>
      <c r="G2894"/>
      <c r="H2894"/>
    </row>
    <row r="2895" spans="1:8">
      <c r="A2895"/>
      <c r="B2895"/>
      <c r="C2895"/>
      <c r="E2895"/>
      <c r="F2895"/>
      <c r="G2895"/>
      <c r="H2895"/>
    </row>
    <row r="2896" spans="1:8">
      <c r="A2896"/>
      <c r="B2896"/>
      <c r="C2896"/>
      <c r="E2896"/>
      <c r="F2896"/>
      <c r="G2896"/>
      <c r="H2896"/>
    </row>
    <row r="2897" spans="1:8">
      <c r="A2897"/>
      <c r="B2897"/>
      <c r="C2897"/>
      <c r="E2897"/>
      <c r="F2897"/>
      <c r="G2897"/>
      <c r="H2897"/>
    </row>
    <row r="2898" spans="1:8">
      <c r="A2898"/>
      <c r="B2898"/>
      <c r="C2898"/>
      <c r="E2898"/>
      <c r="F2898"/>
      <c r="G2898"/>
      <c r="H2898"/>
    </row>
    <row r="2899" spans="1:8">
      <c r="A2899"/>
      <c r="B2899"/>
      <c r="C2899"/>
      <c r="E2899"/>
      <c r="F2899"/>
      <c r="G2899"/>
      <c r="H2899"/>
    </row>
    <row r="2900" spans="1:8">
      <c r="A2900"/>
      <c r="B2900"/>
      <c r="C2900"/>
      <c r="E2900"/>
      <c r="F2900"/>
      <c r="G2900"/>
      <c r="H2900"/>
    </row>
    <row r="2901" spans="1:8">
      <c r="A2901"/>
      <c r="B2901"/>
      <c r="C2901"/>
      <c r="E2901"/>
      <c r="F2901"/>
      <c r="G2901"/>
      <c r="H2901"/>
    </row>
    <row r="2902" spans="1:8">
      <c r="A2902"/>
      <c r="B2902"/>
      <c r="C2902"/>
      <c r="E2902"/>
      <c r="F2902"/>
      <c r="G2902"/>
      <c r="H2902"/>
    </row>
    <row r="2903" spans="1:8">
      <c r="A2903"/>
      <c r="B2903"/>
      <c r="C2903"/>
      <c r="E2903"/>
      <c r="F2903"/>
      <c r="G2903"/>
      <c r="H2903"/>
    </row>
    <row r="2904" spans="1:8">
      <c r="A2904"/>
      <c r="B2904"/>
      <c r="C2904"/>
      <c r="E2904"/>
      <c r="F2904"/>
      <c r="G2904"/>
      <c r="H2904"/>
    </row>
    <row r="2905" spans="1:8">
      <c r="A2905"/>
      <c r="B2905"/>
      <c r="C2905"/>
      <c r="E2905"/>
      <c r="F2905"/>
      <c r="G2905"/>
      <c r="H2905"/>
    </row>
    <row r="2906" spans="1:8">
      <c r="A2906"/>
      <c r="B2906"/>
      <c r="C2906"/>
      <c r="E2906"/>
      <c r="F2906"/>
      <c r="G2906"/>
      <c r="H2906"/>
    </row>
    <row r="2907" spans="1:8">
      <c r="A2907"/>
      <c r="B2907"/>
      <c r="C2907"/>
      <c r="E2907"/>
      <c r="F2907"/>
      <c r="G2907"/>
      <c r="H2907"/>
    </row>
    <row r="2908" spans="1:8">
      <c r="A2908"/>
      <c r="B2908"/>
      <c r="C2908"/>
      <c r="E2908"/>
      <c r="F2908"/>
      <c r="G2908"/>
      <c r="H2908"/>
    </row>
    <row r="2909" spans="1:8">
      <c r="A2909"/>
      <c r="B2909"/>
      <c r="C2909"/>
      <c r="E2909"/>
      <c r="F2909"/>
      <c r="G2909"/>
      <c r="H2909"/>
    </row>
    <row r="2910" spans="1:8">
      <c r="A2910"/>
      <c r="B2910"/>
      <c r="C2910"/>
      <c r="E2910"/>
      <c r="F2910"/>
      <c r="G2910"/>
      <c r="H2910"/>
    </row>
    <row r="2911" spans="1:8">
      <c r="A2911"/>
      <c r="B2911"/>
      <c r="C2911"/>
      <c r="E2911"/>
      <c r="F2911"/>
      <c r="G2911"/>
      <c r="H2911"/>
    </row>
    <row r="2912" spans="1:8">
      <c r="A2912"/>
      <c r="B2912"/>
      <c r="C2912"/>
      <c r="E2912"/>
      <c r="F2912"/>
      <c r="G2912"/>
      <c r="H2912"/>
    </row>
    <row r="2913" spans="1:8">
      <c r="A2913"/>
      <c r="B2913"/>
      <c r="C2913"/>
      <c r="E2913"/>
      <c r="F2913"/>
      <c r="G2913"/>
      <c r="H2913"/>
    </row>
    <row r="2914" spans="1:8">
      <c r="A2914"/>
      <c r="B2914"/>
      <c r="C2914"/>
      <c r="E2914"/>
      <c r="F2914"/>
      <c r="G2914"/>
      <c r="H2914"/>
    </row>
    <row r="2915" spans="1:8">
      <c r="A2915"/>
      <c r="B2915"/>
      <c r="C2915"/>
      <c r="E2915"/>
      <c r="F2915"/>
      <c r="G2915"/>
      <c r="H2915"/>
    </row>
    <row r="2916" spans="1:8">
      <c r="A2916"/>
      <c r="B2916"/>
      <c r="C2916"/>
      <c r="E2916"/>
      <c r="F2916"/>
      <c r="G2916"/>
      <c r="H2916"/>
    </row>
    <row r="2917" spans="1:8">
      <c r="A2917"/>
      <c r="B2917"/>
      <c r="C2917"/>
      <c r="E2917"/>
      <c r="F2917"/>
      <c r="G2917"/>
      <c r="H2917"/>
    </row>
    <row r="2918" spans="1:8">
      <c r="A2918"/>
      <c r="B2918"/>
      <c r="C2918"/>
      <c r="E2918"/>
      <c r="F2918"/>
      <c r="G2918"/>
      <c r="H2918"/>
    </row>
    <row r="2919" spans="1:8">
      <c r="A2919"/>
      <c r="B2919"/>
      <c r="C2919"/>
      <c r="E2919"/>
      <c r="F2919"/>
      <c r="G2919"/>
      <c r="H2919"/>
    </row>
    <row r="2920" spans="1:8">
      <c r="A2920"/>
      <c r="B2920"/>
      <c r="C2920"/>
      <c r="E2920"/>
      <c r="F2920"/>
      <c r="G2920"/>
      <c r="H2920"/>
    </row>
    <row r="2921" spans="1:8">
      <c r="A2921"/>
      <c r="B2921"/>
      <c r="C2921"/>
      <c r="E2921"/>
      <c r="F2921"/>
      <c r="G2921"/>
      <c r="H2921"/>
    </row>
    <row r="2922" spans="1:8">
      <c r="A2922"/>
      <c r="B2922"/>
      <c r="C2922"/>
      <c r="E2922"/>
      <c r="F2922"/>
      <c r="G2922"/>
      <c r="H2922"/>
    </row>
    <row r="2923" spans="1:8">
      <c r="A2923"/>
      <c r="B2923"/>
      <c r="C2923"/>
      <c r="E2923"/>
      <c r="F2923"/>
      <c r="G2923"/>
      <c r="H2923"/>
    </row>
    <row r="2924" spans="1:8">
      <c r="A2924"/>
      <c r="B2924"/>
      <c r="C2924"/>
      <c r="E2924"/>
      <c r="F2924"/>
      <c r="G2924"/>
      <c r="H2924"/>
    </row>
    <row r="2925" spans="1:8">
      <c r="A2925"/>
      <c r="B2925"/>
      <c r="C2925"/>
      <c r="E2925"/>
      <c r="F2925"/>
      <c r="G2925"/>
      <c r="H2925"/>
    </row>
    <row r="2926" spans="1:8">
      <c r="A2926"/>
      <c r="B2926"/>
      <c r="C2926"/>
      <c r="E2926"/>
      <c r="F2926"/>
      <c r="G2926"/>
      <c r="H2926"/>
    </row>
    <row r="2927" spans="1:8">
      <c r="A2927"/>
      <c r="B2927"/>
      <c r="C2927"/>
      <c r="E2927"/>
      <c r="F2927"/>
      <c r="G2927"/>
      <c r="H2927"/>
    </row>
    <row r="2928" spans="1:8">
      <c r="A2928"/>
      <c r="B2928"/>
      <c r="C2928"/>
      <c r="E2928"/>
      <c r="F2928"/>
      <c r="G2928"/>
      <c r="H2928"/>
    </row>
    <row r="2929" spans="1:8">
      <c r="A2929"/>
      <c r="B2929"/>
      <c r="C2929"/>
      <c r="E2929"/>
      <c r="F2929"/>
      <c r="G2929"/>
      <c r="H2929"/>
    </row>
    <row r="2930" spans="1:8">
      <c r="A2930"/>
      <c r="B2930"/>
      <c r="C2930"/>
      <c r="E2930"/>
      <c r="F2930"/>
      <c r="G2930"/>
      <c r="H2930"/>
    </row>
    <row r="2931" spans="1:8">
      <c r="A2931"/>
      <c r="B2931"/>
      <c r="C2931"/>
      <c r="E2931"/>
      <c r="F2931"/>
      <c r="G2931"/>
      <c r="H2931"/>
    </row>
    <row r="2932" spans="1:8">
      <c r="A2932"/>
      <c r="B2932"/>
      <c r="C2932"/>
      <c r="E2932"/>
      <c r="F2932"/>
      <c r="G2932"/>
      <c r="H2932"/>
    </row>
    <row r="2933" spans="1:8">
      <c r="A2933"/>
      <c r="B2933"/>
      <c r="C2933"/>
      <c r="E2933"/>
      <c r="F2933"/>
      <c r="G2933"/>
      <c r="H2933"/>
    </row>
    <row r="2934" spans="1:8">
      <c r="A2934"/>
      <c r="B2934"/>
      <c r="C2934"/>
      <c r="E2934"/>
      <c r="F2934"/>
      <c r="G2934"/>
      <c r="H2934"/>
    </row>
    <row r="2935" spans="1:8">
      <c r="A2935"/>
      <c r="B2935"/>
      <c r="C2935"/>
      <c r="E2935"/>
      <c r="F2935"/>
      <c r="G2935"/>
      <c r="H2935"/>
    </row>
    <row r="2936" spans="1:8">
      <c r="A2936"/>
      <c r="B2936"/>
      <c r="C2936"/>
      <c r="E2936"/>
      <c r="F2936"/>
      <c r="G2936"/>
      <c r="H2936"/>
    </row>
    <row r="2937" spans="1:8">
      <c r="A2937"/>
      <c r="B2937"/>
      <c r="C2937"/>
      <c r="E2937"/>
      <c r="F2937"/>
      <c r="G2937"/>
      <c r="H2937"/>
    </row>
    <row r="2938" spans="1:8">
      <c r="A2938"/>
      <c r="B2938"/>
      <c r="C2938"/>
      <c r="E2938"/>
      <c r="F2938"/>
      <c r="G2938"/>
      <c r="H2938"/>
    </row>
    <row r="2939" spans="1:8">
      <c r="A2939"/>
      <c r="B2939"/>
      <c r="C2939"/>
      <c r="E2939"/>
      <c r="F2939"/>
      <c r="G2939"/>
      <c r="H2939"/>
    </row>
    <row r="2940" spans="1:8">
      <c r="A2940"/>
      <c r="B2940"/>
      <c r="C2940"/>
      <c r="E2940"/>
      <c r="F2940"/>
      <c r="G2940"/>
      <c r="H2940"/>
    </row>
    <row r="2941" spans="1:8">
      <c r="A2941"/>
      <c r="B2941"/>
      <c r="C2941"/>
      <c r="E2941"/>
      <c r="F2941"/>
      <c r="G2941"/>
      <c r="H2941"/>
    </row>
    <row r="2942" spans="1:8">
      <c r="A2942"/>
      <c r="B2942"/>
      <c r="C2942"/>
      <c r="E2942"/>
      <c r="F2942"/>
      <c r="G2942"/>
      <c r="H2942"/>
    </row>
    <row r="2943" spans="1:8">
      <c r="A2943"/>
      <c r="B2943"/>
      <c r="C2943"/>
      <c r="E2943"/>
      <c r="F2943"/>
      <c r="G2943"/>
      <c r="H2943"/>
    </row>
    <row r="2944" spans="1:8">
      <c r="A2944"/>
      <c r="B2944"/>
      <c r="C2944"/>
      <c r="E2944"/>
      <c r="F2944"/>
      <c r="G2944"/>
      <c r="H2944"/>
    </row>
    <row r="2945" spans="1:8">
      <c r="A2945"/>
      <c r="B2945"/>
      <c r="C2945"/>
      <c r="E2945"/>
      <c r="F2945"/>
      <c r="G2945"/>
      <c r="H2945"/>
    </row>
    <row r="2946" spans="1:8">
      <c r="A2946"/>
      <c r="B2946"/>
      <c r="C2946"/>
      <c r="E2946"/>
      <c r="F2946"/>
      <c r="G2946"/>
      <c r="H2946"/>
    </row>
    <row r="2947" spans="1:8">
      <c r="A2947"/>
      <c r="B2947"/>
      <c r="C2947"/>
      <c r="E2947"/>
      <c r="F2947"/>
      <c r="G2947"/>
      <c r="H2947"/>
    </row>
    <row r="2948" spans="1:8">
      <c r="A2948"/>
      <c r="B2948"/>
      <c r="C2948"/>
      <c r="E2948"/>
      <c r="F2948"/>
      <c r="G2948"/>
      <c r="H2948"/>
    </row>
    <row r="2949" spans="1:8">
      <c r="A2949"/>
      <c r="B2949"/>
      <c r="C2949"/>
      <c r="E2949"/>
      <c r="F2949"/>
      <c r="G2949"/>
      <c r="H2949"/>
    </row>
    <row r="2950" spans="1:8">
      <c r="A2950"/>
      <c r="B2950"/>
      <c r="C2950"/>
      <c r="E2950"/>
      <c r="F2950"/>
      <c r="G2950"/>
      <c r="H2950"/>
    </row>
    <row r="2951" spans="1:8">
      <c r="A2951"/>
      <c r="B2951"/>
      <c r="C2951"/>
      <c r="E2951"/>
      <c r="F2951"/>
      <c r="G2951"/>
      <c r="H2951"/>
    </row>
    <row r="2952" spans="1:8">
      <c r="A2952"/>
      <c r="B2952"/>
      <c r="C2952"/>
      <c r="E2952"/>
      <c r="F2952"/>
      <c r="G2952"/>
      <c r="H2952"/>
    </row>
    <row r="2953" spans="1:8">
      <c r="A2953"/>
      <c r="B2953"/>
      <c r="C2953"/>
      <c r="E2953"/>
      <c r="F2953"/>
      <c r="G2953"/>
      <c r="H2953"/>
    </row>
    <row r="2954" spans="1:8">
      <c r="A2954"/>
      <c r="B2954"/>
      <c r="C2954"/>
      <c r="E2954"/>
      <c r="F2954"/>
      <c r="G2954"/>
      <c r="H2954"/>
    </row>
    <row r="2955" spans="1:8">
      <c r="A2955"/>
      <c r="B2955"/>
      <c r="C2955"/>
      <c r="E2955"/>
      <c r="F2955"/>
      <c r="G2955"/>
      <c r="H2955"/>
    </row>
    <row r="2956" spans="1:8">
      <c r="A2956"/>
      <c r="B2956"/>
      <c r="C2956"/>
      <c r="E2956"/>
      <c r="F2956"/>
      <c r="G2956"/>
      <c r="H2956"/>
    </row>
    <row r="2957" spans="1:8">
      <c r="A2957"/>
      <c r="B2957"/>
      <c r="C2957"/>
      <c r="E2957"/>
      <c r="F2957"/>
      <c r="G2957"/>
      <c r="H2957"/>
    </row>
    <row r="2958" spans="1:8">
      <c r="A2958"/>
      <c r="B2958"/>
      <c r="C2958"/>
      <c r="E2958"/>
      <c r="F2958"/>
      <c r="G2958"/>
      <c r="H2958"/>
    </row>
    <row r="2959" spans="1:8">
      <c r="A2959"/>
      <c r="B2959"/>
      <c r="C2959"/>
      <c r="E2959"/>
      <c r="F2959"/>
      <c r="G2959"/>
      <c r="H2959"/>
    </row>
    <row r="2960" spans="1:8">
      <c r="A2960"/>
      <c r="B2960"/>
      <c r="C2960"/>
      <c r="E2960"/>
      <c r="F2960"/>
      <c r="G2960"/>
      <c r="H2960"/>
    </row>
    <row r="2961" spans="1:8">
      <c r="A2961"/>
      <c r="B2961"/>
      <c r="C2961"/>
      <c r="E2961"/>
      <c r="F2961"/>
      <c r="G2961"/>
      <c r="H2961"/>
    </row>
    <row r="2962" spans="1:8">
      <c r="A2962"/>
      <c r="B2962"/>
      <c r="C2962"/>
      <c r="E2962"/>
      <c r="F2962"/>
      <c r="G2962"/>
      <c r="H2962"/>
    </row>
    <row r="2963" spans="1:8">
      <c r="A2963"/>
      <c r="B2963"/>
      <c r="C2963"/>
      <c r="E2963"/>
      <c r="F2963"/>
      <c r="G2963"/>
      <c r="H2963"/>
    </row>
    <row r="2964" spans="1:8">
      <c r="A2964"/>
      <c r="B2964"/>
      <c r="C2964"/>
      <c r="E2964"/>
      <c r="F2964"/>
      <c r="G2964"/>
      <c r="H2964"/>
    </row>
    <row r="2965" spans="1:8">
      <c r="A2965"/>
      <c r="B2965"/>
      <c r="C2965"/>
      <c r="E2965"/>
      <c r="F2965"/>
      <c r="G2965"/>
      <c r="H2965"/>
    </row>
    <row r="2966" spans="1:8">
      <c r="A2966"/>
      <c r="B2966"/>
      <c r="C2966"/>
      <c r="E2966"/>
      <c r="F2966"/>
      <c r="G2966"/>
      <c r="H2966"/>
    </row>
    <row r="2967" spans="1:8">
      <c r="A2967"/>
      <c r="B2967"/>
      <c r="C2967"/>
      <c r="E2967"/>
      <c r="F2967"/>
      <c r="G2967"/>
      <c r="H2967"/>
    </row>
    <row r="2968" spans="1:8">
      <c r="A2968"/>
      <c r="B2968"/>
      <c r="C2968"/>
      <c r="E2968"/>
      <c r="F2968"/>
      <c r="G2968"/>
      <c r="H2968"/>
    </row>
    <row r="2969" spans="1:8">
      <c r="A2969"/>
      <c r="B2969"/>
      <c r="C2969"/>
      <c r="E2969"/>
      <c r="F2969"/>
      <c r="G2969"/>
      <c r="H2969"/>
    </row>
    <row r="2970" spans="1:8">
      <c r="A2970"/>
      <c r="B2970"/>
      <c r="C2970"/>
      <c r="E2970"/>
      <c r="F2970"/>
      <c r="G2970"/>
      <c r="H2970"/>
    </row>
    <row r="2971" spans="1:8">
      <c r="A2971"/>
      <c r="B2971"/>
      <c r="C2971"/>
      <c r="E2971"/>
      <c r="F2971"/>
      <c r="G2971"/>
      <c r="H2971"/>
    </row>
    <row r="2972" spans="1:8">
      <c r="A2972"/>
      <c r="B2972"/>
      <c r="C2972"/>
      <c r="E2972"/>
      <c r="F2972"/>
      <c r="G2972"/>
      <c r="H2972"/>
    </row>
    <row r="2973" spans="1:8">
      <c r="A2973"/>
      <c r="B2973"/>
      <c r="C2973"/>
      <c r="E2973"/>
      <c r="F2973"/>
      <c r="G2973"/>
      <c r="H2973"/>
    </row>
    <row r="2974" spans="1:8">
      <c r="A2974"/>
      <c r="B2974"/>
      <c r="C2974"/>
      <c r="E2974"/>
      <c r="F2974"/>
      <c r="G2974"/>
      <c r="H2974"/>
    </row>
    <row r="2975" spans="1:8">
      <c r="A2975"/>
      <c r="B2975"/>
      <c r="C2975"/>
      <c r="E2975"/>
      <c r="F2975"/>
      <c r="G2975"/>
      <c r="H2975"/>
    </row>
    <row r="2976" spans="1:8">
      <c r="A2976"/>
      <c r="B2976"/>
      <c r="C2976"/>
      <c r="E2976"/>
      <c r="F2976"/>
      <c r="G2976"/>
      <c r="H2976"/>
    </row>
    <row r="2977" spans="1:8">
      <c r="A2977"/>
      <c r="B2977"/>
      <c r="C2977"/>
      <c r="E2977"/>
      <c r="F2977"/>
      <c r="G2977"/>
      <c r="H2977"/>
    </row>
    <row r="2978" spans="1:8">
      <c r="A2978"/>
      <c r="B2978"/>
      <c r="C2978"/>
      <c r="E2978"/>
      <c r="F2978"/>
      <c r="G2978"/>
      <c r="H2978"/>
    </row>
    <row r="2979" spans="1:8">
      <c r="A2979"/>
      <c r="B2979"/>
      <c r="C2979"/>
      <c r="E2979"/>
      <c r="F2979"/>
      <c r="G2979"/>
      <c r="H2979"/>
    </row>
    <row r="2980" spans="1:8">
      <c r="A2980"/>
      <c r="B2980"/>
      <c r="C2980"/>
      <c r="E2980"/>
      <c r="F2980"/>
      <c r="G2980"/>
      <c r="H2980"/>
    </row>
    <row r="2981" spans="1:8">
      <c r="A2981"/>
      <c r="B2981"/>
      <c r="C2981"/>
      <c r="E2981"/>
      <c r="F2981"/>
      <c r="G2981"/>
      <c r="H2981"/>
    </row>
    <row r="2982" spans="1:8">
      <c r="A2982"/>
      <c r="B2982"/>
      <c r="C2982"/>
      <c r="E2982"/>
      <c r="F2982"/>
      <c r="G2982"/>
      <c r="H2982"/>
    </row>
    <row r="2983" spans="1:8">
      <c r="A2983"/>
      <c r="B2983"/>
      <c r="C2983"/>
      <c r="E2983"/>
      <c r="F2983"/>
      <c r="G2983"/>
      <c r="H2983"/>
    </row>
    <row r="2984" spans="1:8">
      <c r="A2984"/>
      <c r="B2984"/>
      <c r="C2984"/>
      <c r="E2984"/>
      <c r="F2984"/>
      <c r="G2984"/>
      <c r="H2984"/>
    </row>
    <row r="2985" spans="1:8">
      <c r="A2985"/>
      <c r="B2985"/>
      <c r="C2985"/>
      <c r="E2985"/>
      <c r="F2985"/>
      <c r="G2985"/>
      <c r="H2985"/>
    </row>
    <row r="2986" spans="1:8">
      <c r="A2986"/>
      <c r="B2986"/>
      <c r="C2986"/>
      <c r="E2986"/>
      <c r="F2986"/>
      <c r="G2986"/>
      <c r="H2986"/>
    </row>
    <row r="2987" spans="1:8">
      <c r="A2987"/>
      <c r="B2987"/>
      <c r="C2987"/>
      <c r="E2987"/>
      <c r="F2987"/>
      <c r="G2987"/>
      <c r="H2987"/>
    </row>
    <row r="2988" spans="1:8">
      <c r="A2988"/>
      <c r="B2988"/>
      <c r="C2988"/>
      <c r="E2988"/>
      <c r="F2988"/>
      <c r="G2988"/>
      <c r="H2988"/>
    </row>
    <row r="2989" spans="1:8">
      <c r="A2989"/>
      <c r="B2989"/>
      <c r="C2989"/>
      <c r="E2989"/>
      <c r="F2989"/>
      <c r="G2989"/>
      <c r="H2989"/>
    </row>
    <row r="2990" spans="1:8">
      <c r="A2990"/>
      <c r="B2990"/>
      <c r="C2990"/>
      <c r="E2990"/>
      <c r="F2990"/>
      <c r="G2990"/>
      <c r="H2990"/>
    </row>
    <row r="2991" spans="1:8">
      <c r="A2991"/>
      <c r="B2991"/>
      <c r="C2991"/>
      <c r="E2991"/>
      <c r="F2991"/>
      <c r="G2991"/>
      <c r="H2991"/>
    </row>
    <row r="2992" spans="1:8">
      <c r="A2992"/>
      <c r="B2992"/>
      <c r="C2992"/>
      <c r="E2992"/>
      <c r="F2992"/>
      <c r="G2992"/>
      <c r="H2992"/>
    </row>
    <row r="2993" spans="1:8">
      <c r="A2993"/>
      <c r="B2993"/>
      <c r="C2993"/>
      <c r="E2993"/>
      <c r="F2993"/>
      <c r="G2993"/>
      <c r="H2993"/>
    </row>
    <row r="2994" spans="1:8">
      <c r="A2994"/>
      <c r="B2994"/>
      <c r="C2994"/>
      <c r="E2994"/>
      <c r="F2994"/>
      <c r="G2994"/>
      <c r="H2994"/>
    </row>
    <row r="2995" spans="1:8">
      <c r="A2995"/>
      <c r="B2995"/>
      <c r="C2995"/>
      <c r="E2995"/>
      <c r="F2995"/>
      <c r="G2995"/>
      <c r="H2995"/>
    </row>
    <row r="2996" spans="1:8">
      <c r="A2996"/>
      <c r="B2996"/>
      <c r="C2996"/>
      <c r="E2996"/>
      <c r="F2996"/>
      <c r="G2996"/>
      <c r="H2996"/>
    </row>
    <row r="2997" spans="1:8">
      <c r="A2997"/>
      <c r="B2997"/>
      <c r="C2997"/>
      <c r="E2997"/>
      <c r="F2997"/>
      <c r="G2997"/>
      <c r="H2997"/>
    </row>
    <row r="2998" spans="1:8">
      <c r="A2998"/>
      <c r="B2998"/>
      <c r="C2998"/>
      <c r="E2998"/>
      <c r="F2998"/>
      <c r="G2998"/>
      <c r="H2998"/>
    </row>
    <row r="2999" spans="1:8">
      <c r="A2999"/>
      <c r="B2999"/>
      <c r="C2999"/>
      <c r="E2999"/>
      <c r="F2999"/>
      <c r="G2999"/>
      <c r="H2999"/>
    </row>
    <row r="3000" spans="1:8">
      <c r="A3000"/>
      <c r="B3000"/>
      <c r="C3000"/>
      <c r="E3000"/>
      <c r="F3000"/>
      <c r="G3000"/>
      <c r="H3000"/>
    </row>
    <row r="3001" spans="1:8">
      <c r="A3001"/>
      <c r="B3001"/>
      <c r="C3001"/>
      <c r="E3001"/>
      <c r="F3001"/>
      <c r="G3001"/>
      <c r="H3001"/>
    </row>
    <row r="3002" spans="1:8">
      <c r="A3002"/>
      <c r="B3002"/>
      <c r="C3002"/>
      <c r="E3002"/>
      <c r="F3002"/>
      <c r="G3002"/>
      <c r="H3002"/>
    </row>
    <row r="3003" spans="1:8">
      <c r="A3003"/>
      <c r="B3003"/>
      <c r="C3003"/>
      <c r="E3003"/>
      <c r="F3003"/>
      <c r="G3003"/>
      <c r="H3003"/>
    </row>
    <row r="3004" spans="1:8">
      <c r="A3004"/>
      <c r="B3004"/>
      <c r="C3004"/>
      <c r="E3004"/>
      <c r="F3004"/>
      <c r="G3004"/>
      <c r="H3004"/>
    </row>
    <row r="3005" spans="1:8">
      <c r="A3005"/>
      <c r="B3005"/>
      <c r="C3005"/>
      <c r="E3005"/>
      <c r="F3005"/>
      <c r="G3005"/>
      <c r="H3005"/>
    </row>
    <row r="3006" spans="1:8">
      <c r="A3006"/>
      <c r="B3006"/>
      <c r="C3006"/>
      <c r="E3006"/>
      <c r="F3006"/>
      <c r="G3006"/>
      <c r="H3006"/>
    </row>
    <row r="3007" spans="1:8">
      <c r="A3007"/>
      <c r="B3007"/>
      <c r="C3007"/>
      <c r="E3007"/>
      <c r="F3007"/>
      <c r="G3007"/>
      <c r="H3007"/>
    </row>
    <row r="3008" spans="1:8">
      <c r="A3008"/>
      <c r="B3008"/>
      <c r="C3008"/>
      <c r="E3008"/>
      <c r="F3008"/>
      <c r="G3008"/>
      <c r="H3008"/>
    </row>
    <row r="3009" spans="1:8">
      <c r="A3009"/>
      <c r="B3009"/>
      <c r="C3009"/>
      <c r="E3009"/>
      <c r="F3009"/>
      <c r="G3009"/>
      <c r="H3009"/>
    </row>
    <row r="3010" spans="1:8">
      <c r="A3010"/>
      <c r="B3010"/>
      <c r="C3010"/>
      <c r="E3010"/>
      <c r="F3010"/>
      <c r="G3010"/>
      <c r="H3010"/>
    </row>
    <row r="3011" spans="1:8">
      <c r="A3011"/>
      <c r="B3011"/>
      <c r="C3011"/>
      <c r="E3011"/>
      <c r="F3011"/>
      <c r="G3011"/>
      <c r="H3011"/>
    </row>
    <row r="3012" spans="1:8">
      <c r="A3012"/>
      <c r="B3012"/>
      <c r="C3012"/>
      <c r="E3012"/>
      <c r="F3012"/>
      <c r="G3012"/>
      <c r="H3012"/>
    </row>
    <row r="3013" spans="1:8">
      <c r="A3013"/>
      <c r="B3013"/>
      <c r="C3013"/>
      <c r="E3013"/>
      <c r="F3013"/>
      <c r="G3013"/>
      <c r="H3013"/>
    </row>
    <row r="3014" spans="1:8">
      <c r="A3014"/>
      <c r="B3014"/>
      <c r="C3014"/>
      <c r="E3014"/>
      <c r="F3014"/>
      <c r="G3014"/>
      <c r="H3014"/>
    </row>
    <row r="3015" spans="1:8">
      <c r="A3015"/>
      <c r="B3015"/>
      <c r="C3015"/>
      <c r="E3015"/>
      <c r="F3015"/>
      <c r="G3015"/>
      <c r="H3015"/>
    </row>
    <row r="3016" spans="1:8">
      <c r="A3016"/>
      <c r="B3016"/>
      <c r="C3016"/>
      <c r="E3016"/>
      <c r="F3016"/>
      <c r="G3016"/>
      <c r="H3016"/>
    </row>
    <row r="3017" spans="1:8">
      <c r="A3017"/>
      <c r="B3017"/>
      <c r="C3017"/>
      <c r="E3017"/>
      <c r="F3017"/>
      <c r="G3017"/>
      <c r="H3017"/>
    </row>
    <row r="3018" spans="1:8">
      <c r="A3018"/>
      <c r="B3018"/>
      <c r="C3018"/>
      <c r="E3018"/>
      <c r="F3018"/>
      <c r="G3018"/>
      <c r="H3018"/>
    </row>
    <row r="3019" spans="1:8">
      <c r="A3019"/>
      <c r="B3019"/>
      <c r="C3019"/>
      <c r="E3019"/>
      <c r="F3019"/>
      <c r="G3019"/>
      <c r="H3019"/>
    </row>
    <row r="3020" spans="1:8">
      <c r="A3020"/>
      <c r="B3020"/>
      <c r="C3020"/>
      <c r="E3020"/>
      <c r="F3020"/>
      <c r="G3020"/>
      <c r="H3020"/>
    </row>
    <row r="3021" spans="1:8">
      <c r="A3021"/>
      <c r="B3021"/>
      <c r="C3021"/>
      <c r="E3021"/>
      <c r="F3021"/>
      <c r="G3021"/>
      <c r="H3021"/>
    </row>
    <row r="3022" spans="1:8">
      <c r="A3022"/>
      <c r="B3022"/>
      <c r="C3022"/>
      <c r="E3022"/>
      <c r="F3022"/>
      <c r="G3022"/>
      <c r="H3022"/>
    </row>
    <row r="3023" spans="1:8">
      <c r="A3023"/>
      <c r="B3023"/>
      <c r="C3023"/>
      <c r="E3023"/>
      <c r="F3023"/>
      <c r="G3023"/>
      <c r="H3023"/>
    </row>
    <row r="3024" spans="1:8">
      <c r="A3024"/>
      <c r="B3024"/>
      <c r="C3024"/>
      <c r="E3024"/>
      <c r="F3024"/>
      <c r="G3024"/>
      <c r="H3024"/>
    </row>
    <row r="3025" spans="1:8">
      <c r="A3025"/>
      <c r="B3025"/>
      <c r="C3025"/>
      <c r="E3025"/>
      <c r="F3025"/>
      <c r="G3025"/>
      <c r="H3025"/>
    </row>
    <row r="3026" spans="1:8">
      <c r="A3026"/>
      <c r="B3026"/>
      <c r="C3026"/>
      <c r="E3026"/>
      <c r="F3026"/>
      <c r="G3026"/>
      <c r="H3026"/>
    </row>
    <row r="3027" spans="1:8">
      <c r="A3027"/>
      <c r="B3027"/>
      <c r="C3027"/>
      <c r="E3027"/>
      <c r="F3027"/>
      <c r="G3027"/>
      <c r="H3027"/>
    </row>
    <row r="3028" spans="1:8">
      <c r="A3028"/>
      <c r="B3028"/>
      <c r="C3028"/>
      <c r="E3028"/>
      <c r="F3028"/>
      <c r="G3028"/>
      <c r="H3028"/>
    </row>
    <row r="3029" spans="1:8">
      <c r="A3029"/>
      <c r="B3029"/>
      <c r="C3029"/>
      <c r="E3029"/>
      <c r="F3029"/>
      <c r="G3029"/>
      <c r="H3029"/>
    </row>
    <row r="3030" spans="1:8">
      <c r="A3030"/>
      <c r="B3030"/>
      <c r="C3030"/>
      <c r="E3030"/>
      <c r="F3030"/>
      <c r="G3030"/>
      <c r="H3030"/>
    </row>
    <row r="3031" spans="1:8">
      <c r="A3031"/>
      <c r="B3031"/>
      <c r="C3031"/>
      <c r="E3031"/>
      <c r="F3031"/>
      <c r="G3031"/>
      <c r="H3031"/>
    </row>
    <row r="3032" spans="1:8">
      <c r="A3032"/>
      <c r="B3032"/>
      <c r="C3032"/>
      <c r="E3032"/>
      <c r="F3032"/>
      <c r="G3032"/>
      <c r="H3032"/>
    </row>
    <row r="3033" spans="1:8">
      <c r="A3033"/>
      <c r="B3033"/>
      <c r="C3033"/>
      <c r="E3033"/>
      <c r="F3033"/>
      <c r="G3033"/>
      <c r="H3033"/>
    </row>
    <row r="3034" spans="1:8">
      <c r="A3034"/>
      <c r="B3034"/>
      <c r="C3034"/>
      <c r="E3034"/>
      <c r="F3034"/>
      <c r="G3034"/>
      <c r="H3034"/>
    </row>
    <row r="3035" spans="1:8">
      <c r="A3035"/>
      <c r="B3035"/>
      <c r="C3035"/>
      <c r="E3035"/>
      <c r="F3035"/>
      <c r="G3035"/>
      <c r="H3035"/>
    </row>
    <row r="3036" spans="1:8">
      <c r="A3036"/>
      <c r="B3036"/>
      <c r="C3036"/>
      <c r="E3036"/>
      <c r="F3036"/>
      <c r="G3036"/>
      <c r="H3036"/>
    </row>
    <row r="3037" spans="1:8">
      <c r="A3037"/>
      <c r="B3037"/>
      <c r="C3037"/>
      <c r="E3037"/>
      <c r="F3037"/>
      <c r="G3037"/>
      <c r="H3037"/>
    </row>
    <row r="3038" spans="1:8">
      <c r="A3038"/>
      <c r="B3038"/>
      <c r="C3038"/>
      <c r="E3038"/>
      <c r="F3038"/>
      <c r="G3038"/>
      <c r="H3038"/>
    </row>
    <row r="3039" spans="1:8">
      <c r="A3039"/>
      <c r="B3039"/>
      <c r="C3039"/>
      <c r="E3039"/>
      <c r="F3039"/>
      <c r="G3039"/>
      <c r="H3039"/>
    </row>
    <row r="3040" spans="1:8">
      <c r="A3040"/>
      <c r="B3040"/>
      <c r="C3040"/>
      <c r="E3040"/>
      <c r="F3040"/>
      <c r="G3040"/>
      <c r="H3040"/>
    </row>
    <row r="3041" spans="1:8">
      <c r="A3041"/>
      <c r="B3041"/>
      <c r="C3041"/>
      <c r="E3041"/>
      <c r="F3041"/>
      <c r="G3041"/>
      <c r="H3041"/>
    </row>
    <row r="3042" spans="1:8">
      <c r="A3042"/>
      <c r="B3042"/>
      <c r="C3042"/>
      <c r="E3042"/>
      <c r="F3042"/>
      <c r="G3042"/>
      <c r="H3042"/>
    </row>
    <row r="3043" spans="1:8">
      <c r="A3043"/>
      <c r="B3043"/>
      <c r="C3043"/>
      <c r="E3043"/>
      <c r="F3043"/>
      <c r="G3043"/>
      <c r="H3043"/>
    </row>
    <row r="3044" spans="1:8">
      <c r="A3044"/>
      <c r="B3044"/>
      <c r="C3044"/>
      <c r="E3044"/>
      <c r="F3044"/>
      <c r="G3044"/>
      <c r="H3044"/>
    </row>
    <row r="3045" spans="1:8">
      <c r="A3045"/>
      <c r="B3045"/>
      <c r="C3045"/>
      <c r="E3045"/>
      <c r="F3045"/>
      <c r="G3045"/>
      <c r="H3045"/>
    </row>
    <row r="3046" spans="1:8">
      <c r="A3046"/>
      <c r="B3046"/>
      <c r="C3046"/>
      <c r="E3046"/>
      <c r="F3046"/>
      <c r="G3046"/>
      <c r="H3046"/>
    </row>
    <row r="3047" spans="1:8">
      <c r="A3047"/>
      <c r="B3047"/>
      <c r="C3047"/>
      <c r="E3047"/>
      <c r="F3047"/>
      <c r="G3047"/>
      <c r="H3047"/>
    </row>
    <row r="3048" spans="1:8">
      <c r="A3048"/>
      <c r="B3048"/>
      <c r="C3048"/>
      <c r="E3048"/>
      <c r="F3048"/>
      <c r="G3048"/>
      <c r="H3048"/>
    </row>
    <row r="3049" spans="1:8">
      <c r="A3049"/>
      <c r="B3049"/>
      <c r="C3049"/>
      <c r="E3049"/>
      <c r="F3049"/>
      <c r="G3049"/>
      <c r="H3049"/>
    </row>
    <row r="3050" spans="1:8">
      <c r="A3050"/>
      <c r="B3050"/>
      <c r="C3050"/>
      <c r="E3050"/>
      <c r="F3050"/>
      <c r="G3050"/>
      <c r="H3050"/>
    </row>
    <row r="3051" spans="1:8">
      <c r="A3051"/>
      <c r="B3051"/>
      <c r="C3051"/>
      <c r="E3051"/>
      <c r="F3051"/>
      <c r="G3051"/>
      <c r="H3051"/>
    </row>
    <row r="3052" spans="1:8">
      <c r="A3052"/>
      <c r="B3052"/>
      <c r="C3052"/>
      <c r="E3052"/>
      <c r="F3052"/>
      <c r="G3052"/>
      <c r="H3052"/>
    </row>
    <row r="3053" spans="1:8">
      <c r="A3053"/>
      <c r="B3053"/>
      <c r="C3053"/>
      <c r="E3053"/>
      <c r="F3053"/>
      <c r="G3053"/>
      <c r="H3053"/>
    </row>
    <row r="3054" spans="1:8">
      <c r="A3054"/>
      <c r="B3054"/>
      <c r="C3054"/>
      <c r="E3054"/>
      <c r="F3054"/>
      <c r="G3054"/>
      <c r="H3054"/>
    </row>
    <row r="3055" spans="1:8">
      <c r="A3055"/>
      <c r="B3055"/>
      <c r="C3055"/>
      <c r="E3055"/>
      <c r="F3055"/>
      <c r="G3055"/>
      <c r="H3055"/>
    </row>
    <row r="3056" spans="1:8">
      <c r="A3056"/>
      <c r="B3056"/>
      <c r="C3056"/>
      <c r="E3056"/>
      <c r="F3056"/>
      <c r="G3056"/>
      <c r="H3056"/>
    </row>
    <row r="3057" spans="1:8">
      <c r="A3057"/>
      <c r="B3057"/>
      <c r="C3057"/>
      <c r="E3057"/>
      <c r="F3057"/>
      <c r="G3057"/>
      <c r="H3057"/>
    </row>
    <row r="3058" spans="1:8">
      <c r="A3058"/>
      <c r="B3058"/>
      <c r="C3058"/>
      <c r="E3058"/>
      <c r="F3058"/>
      <c r="G3058"/>
      <c r="H3058"/>
    </row>
    <row r="3059" spans="1:8">
      <c r="A3059"/>
      <c r="B3059"/>
      <c r="C3059"/>
      <c r="E3059"/>
      <c r="F3059"/>
      <c r="G3059"/>
      <c r="H3059"/>
    </row>
    <row r="3060" spans="1:8">
      <c r="A3060"/>
      <c r="B3060"/>
      <c r="C3060"/>
      <c r="E3060"/>
      <c r="F3060"/>
      <c r="G3060"/>
      <c r="H3060"/>
    </row>
    <row r="3061" spans="1:8">
      <c r="A3061"/>
      <c r="B3061"/>
      <c r="C3061"/>
      <c r="E3061"/>
      <c r="F3061"/>
      <c r="G3061"/>
      <c r="H3061"/>
    </row>
    <row r="3062" spans="1:8">
      <c r="A3062"/>
      <c r="B3062"/>
      <c r="C3062"/>
      <c r="E3062"/>
      <c r="F3062"/>
      <c r="G3062"/>
      <c r="H3062"/>
    </row>
    <row r="3063" spans="1:8">
      <c r="A3063"/>
      <c r="B3063"/>
      <c r="C3063"/>
      <c r="E3063"/>
      <c r="F3063"/>
      <c r="G3063"/>
      <c r="H3063"/>
    </row>
    <row r="3064" spans="1:8">
      <c r="A3064"/>
      <c r="B3064"/>
      <c r="C3064"/>
      <c r="E3064"/>
      <c r="F3064"/>
      <c r="G3064"/>
      <c r="H3064"/>
    </row>
    <row r="3065" spans="1:8">
      <c r="A3065"/>
      <c r="B3065"/>
      <c r="C3065"/>
      <c r="E3065"/>
      <c r="F3065"/>
      <c r="G3065"/>
      <c r="H3065"/>
    </row>
    <row r="3066" spans="1:8">
      <c r="A3066"/>
      <c r="B3066"/>
      <c r="C3066"/>
      <c r="E3066"/>
      <c r="F3066"/>
      <c r="G3066"/>
      <c r="H3066"/>
    </row>
    <row r="3067" spans="1:8">
      <c r="A3067"/>
      <c r="B3067"/>
      <c r="C3067"/>
      <c r="E3067"/>
      <c r="F3067"/>
      <c r="G3067"/>
      <c r="H3067"/>
    </row>
    <row r="3068" spans="1:8">
      <c r="A3068"/>
      <c r="B3068"/>
      <c r="C3068"/>
      <c r="E3068"/>
      <c r="F3068"/>
      <c r="G3068"/>
      <c r="H3068"/>
    </row>
    <row r="3069" spans="1:8">
      <c r="A3069"/>
      <c r="B3069"/>
      <c r="C3069"/>
      <c r="E3069"/>
      <c r="F3069"/>
      <c r="G3069"/>
      <c r="H3069"/>
    </row>
    <row r="3070" spans="1:8">
      <c r="A3070"/>
      <c r="B3070"/>
      <c r="C3070"/>
      <c r="E3070"/>
      <c r="F3070"/>
      <c r="G3070"/>
      <c r="H3070"/>
    </row>
    <row r="3071" spans="1:8">
      <c r="A3071"/>
      <c r="B3071"/>
      <c r="C3071"/>
      <c r="E3071"/>
      <c r="F3071"/>
      <c r="G3071"/>
      <c r="H3071"/>
    </row>
    <row r="3072" spans="1:8">
      <c r="A3072"/>
      <c r="B3072"/>
      <c r="C3072"/>
      <c r="E3072"/>
      <c r="F3072"/>
      <c r="G3072"/>
      <c r="H3072"/>
    </row>
    <row r="3073" spans="1:8">
      <c r="A3073"/>
      <c r="B3073"/>
      <c r="C3073"/>
      <c r="E3073"/>
      <c r="F3073"/>
      <c r="G3073"/>
      <c r="H3073"/>
    </row>
    <row r="3074" spans="1:8">
      <c r="A3074"/>
      <c r="B3074"/>
      <c r="C3074"/>
      <c r="E3074"/>
      <c r="F3074"/>
      <c r="G3074"/>
      <c r="H3074"/>
    </row>
    <row r="3075" spans="1:8">
      <c r="A3075"/>
      <c r="B3075"/>
      <c r="C3075"/>
      <c r="E3075"/>
      <c r="F3075"/>
      <c r="G3075"/>
      <c r="H3075"/>
    </row>
    <row r="3076" spans="1:8">
      <c r="A3076"/>
      <c r="B3076"/>
      <c r="C3076"/>
      <c r="E3076"/>
      <c r="F3076"/>
      <c r="G3076"/>
      <c r="H3076"/>
    </row>
    <row r="3077" spans="1:8">
      <c r="A3077"/>
      <c r="B3077"/>
      <c r="C3077"/>
      <c r="E3077"/>
      <c r="F3077"/>
      <c r="G3077"/>
      <c r="H3077"/>
    </row>
    <row r="3078" spans="1:8">
      <c r="A3078"/>
      <c r="B3078"/>
      <c r="C3078"/>
      <c r="E3078"/>
      <c r="F3078"/>
      <c r="G3078"/>
      <c r="H3078"/>
    </row>
    <row r="3079" spans="1:8">
      <c r="A3079"/>
      <c r="B3079"/>
      <c r="C3079"/>
      <c r="E3079"/>
      <c r="F3079"/>
      <c r="G3079"/>
      <c r="H3079"/>
    </row>
    <row r="3080" spans="1:8">
      <c r="A3080"/>
      <c r="B3080"/>
      <c r="C3080"/>
      <c r="E3080"/>
      <c r="F3080"/>
      <c r="G3080"/>
      <c r="H3080"/>
    </row>
    <row r="3081" spans="1:8">
      <c r="A3081"/>
      <c r="B3081"/>
      <c r="C3081"/>
      <c r="E3081"/>
      <c r="F3081"/>
      <c r="G3081"/>
      <c r="H3081"/>
    </row>
    <row r="3082" spans="1:8">
      <c r="A3082"/>
      <c r="B3082"/>
      <c r="C3082"/>
      <c r="E3082"/>
      <c r="F3082"/>
      <c r="G3082"/>
      <c r="H3082"/>
    </row>
    <row r="3083" spans="1:8">
      <c r="A3083"/>
      <c r="B3083"/>
      <c r="C3083"/>
      <c r="E3083"/>
      <c r="F3083"/>
      <c r="G3083"/>
      <c r="H3083"/>
    </row>
    <row r="3084" spans="1:8">
      <c r="A3084"/>
      <c r="B3084"/>
      <c r="C3084"/>
      <c r="E3084"/>
      <c r="F3084"/>
      <c r="G3084"/>
      <c r="H3084"/>
    </row>
    <row r="3085" spans="1:8">
      <c r="A3085"/>
      <c r="B3085"/>
      <c r="C3085"/>
      <c r="E3085"/>
      <c r="F3085"/>
      <c r="G3085"/>
      <c r="H3085"/>
    </row>
    <row r="3086" spans="1:8">
      <c r="A3086"/>
      <c r="B3086"/>
      <c r="C3086"/>
      <c r="E3086"/>
      <c r="F3086"/>
      <c r="G3086"/>
      <c r="H3086"/>
    </row>
    <row r="3087" spans="1:8">
      <c r="A3087"/>
      <c r="B3087"/>
      <c r="C3087"/>
      <c r="E3087"/>
      <c r="F3087"/>
      <c r="G3087"/>
      <c r="H3087"/>
    </row>
    <row r="3088" spans="1:8">
      <c r="A3088"/>
      <c r="B3088"/>
      <c r="C3088"/>
      <c r="E3088"/>
      <c r="F3088"/>
      <c r="G3088"/>
      <c r="H3088"/>
    </row>
    <row r="3089" spans="1:8">
      <c r="A3089"/>
      <c r="B3089"/>
      <c r="C3089"/>
      <c r="E3089"/>
      <c r="F3089"/>
      <c r="G3089"/>
      <c r="H3089"/>
    </row>
    <row r="3090" spans="1:8">
      <c r="A3090"/>
      <c r="B3090"/>
      <c r="C3090"/>
      <c r="E3090"/>
      <c r="F3090"/>
      <c r="G3090"/>
      <c r="H3090"/>
    </row>
    <row r="3091" spans="1:8">
      <c r="A3091"/>
      <c r="B3091"/>
      <c r="C3091"/>
      <c r="E3091"/>
      <c r="F3091"/>
      <c r="G3091"/>
      <c r="H3091"/>
    </row>
    <row r="3092" spans="1:8">
      <c r="A3092"/>
      <c r="B3092"/>
      <c r="C3092"/>
      <c r="E3092"/>
      <c r="F3092"/>
      <c r="G3092"/>
      <c r="H3092"/>
    </row>
    <row r="3093" spans="1:8">
      <c r="A3093"/>
      <c r="B3093"/>
      <c r="C3093"/>
      <c r="E3093"/>
      <c r="F3093"/>
      <c r="G3093"/>
      <c r="H3093"/>
    </row>
    <row r="3094" spans="1:8">
      <c r="A3094"/>
      <c r="B3094"/>
      <c r="C3094"/>
      <c r="E3094"/>
      <c r="F3094"/>
      <c r="G3094"/>
      <c r="H3094"/>
    </row>
    <row r="3095" spans="1:8">
      <c r="A3095"/>
      <c r="B3095"/>
      <c r="C3095"/>
      <c r="E3095"/>
      <c r="F3095"/>
      <c r="G3095"/>
      <c r="H3095"/>
    </row>
    <row r="3096" spans="1:8">
      <c r="A3096"/>
      <c r="B3096"/>
      <c r="C3096"/>
      <c r="E3096"/>
      <c r="F3096"/>
      <c r="G3096"/>
      <c r="H3096"/>
    </row>
    <row r="3097" spans="1:8">
      <c r="A3097"/>
      <c r="B3097"/>
      <c r="C3097"/>
      <c r="E3097"/>
      <c r="F3097"/>
      <c r="G3097"/>
      <c r="H3097"/>
    </row>
    <row r="3098" spans="1:8">
      <c r="A3098"/>
      <c r="B3098"/>
      <c r="C3098"/>
      <c r="E3098"/>
      <c r="F3098"/>
      <c r="G3098"/>
      <c r="H3098"/>
    </row>
    <row r="3099" spans="1:8">
      <c r="A3099"/>
      <c r="B3099"/>
      <c r="C3099"/>
      <c r="E3099"/>
      <c r="F3099"/>
      <c r="G3099"/>
      <c r="H3099"/>
    </row>
    <row r="3100" spans="1:8">
      <c r="A3100"/>
      <c r="B3100"/>
      <c r="C3100"/>
      <c r="E3100"/>
      <c r="F3100"/>
      <c r="G3100"/>
      <c r="H3100"/>
    </row>
    <row r="3101" spans="1:8">
      <c r="A3101"/>
      <c r="B3101"/>
      <c r="C3101"/>
      <c r="E3101"/>
      <c r="F3101"/>
      <c r="G3101"/>
      <c r="H3101"/>
    </row>
    <row r="3102" spans="1:8">
      <c r="A3102"/>
      <c r="B3102"/>
      <c r="C3102"/>
      <c r="E3102"/>
      <c r="F3102"/>
      <c r="G3102"/>
      <c r="H3102"/>
    </row>
    <row r="3103" spans="1:8">
      <c r="A3103"/>
      <c r="B3103"/>
      <c r="C3103"/>
      <c r="E3103"/>
      <c r="F3103"/>
      <c r="G3103"/>
      <c r="H3103"/>
    </row>
    <row r="3104" spans="1:8">
      <c r="A3104"/>
      <c r="B3104"/>
      <c r="C3104"/>
      <c r="E3104"/>
      <c r="F3104"/>
      <c r="G3104"/>
      <c r="H3104"/>
    </row>
    <row r="3105" spans="1:8">
      <c r="A3105"/>
      <c r="B3105"/>
      <c r="C3105"/>
      <c r="E3105"/>
      <c r="F3105"/>
      <c r="G3105"/>
      <c r="H3105"/>
    </row>
    <row r="3106" spans="1:8">
      <c r="A3106"/>
      <c r="B3106"/>
      <c r="C3106"/>
      <c r="E3106"/>
      <c r="F3106"/>
      <c r="G3106"/>
      <c r="H3106"/>
    </row>
    <row r="3107" spans="1:8">
      <c r="A3107"/>
      <c r="B3107"/>
      <c r="C3107"/>
      <c r="E3107"/>
      <c r="F3107"/>
      <c r="G3107"/>
      <c r="H3107"/>
    </row>
    <row r="3108" spans="1:8">
      <c r="A3108"/>
      <c r="B3108"/>
      <c r="C3108"/>
      <c r="E3108"/>
      <c r="F3108"/>
      <c r="G3108"/>
      <c r="H3108"/>
    </row>
    <row r="3109" spans="1:8">
      <c r="A3109"/>
      <c r="B3109"/>
      <c r="C3109"/>
      <c r="E3109"/>
      <c r="F3109"/>
      <c r="G3109"/>
      <c r="H3109"/>
    </row>
    <row r="3110" spans="1:8">
      <c r="A3110"/>
      <c r="B3110"/>
      <c r="C3110"/>
      <c r="E3110"/>
      <c r="F3110"/>
      <c r="G3110"/>
      <c r="H3110"/>
    </row>
    <row r="3111" spans="1:8">
      <c r="A3111"/>
      <c r="B3111"/>
      <c r="C3111"/>
      <c r="E3111"/>
      <c r="F3111"/>
      <c r="G3111"/>
      <c r="H3111"/>
    </row>
    <row r="3112" spans="1:8">
      <c r="A3112"/>
      <c r="B3112"/>
      <c r="C3112"/>
      <c r="E3112"/>
      <c r="F3112"/>
      <c r="G3112"/>
      <c r="H3112"/>
    </row>
    <row r="3113" spans="1:8">
      <c r="A3113"/>
      <c r="B3113"/>
      <c r="C3113"/>
      <c r="E3113"/>
      <c r="F3113"/>
      <c r="G3113"/>
      <c r="H3113"/>
    </row>
    <row r="3114" spans="1:8">
      <c r="A3114"/>
      <c r="B3114"/>
      <c r="C3114"/>
      <c r="E3114"/>
      <c r="F3114"/>
      <c r="G3114"/>
      <c r="H3114"/>
    </row>
    <row r="3115" spans="1:8">
      <c r="A3115"/>
      <c r="B3115"/>
      <c r="C3115"/>
      <c r="E3115"/>
      <c r="F3115"/>
      <c r="G3115"/>
      <c r="H3115"/>
    </row>
    <row r="3116" spans="1:8">
      <c r="A3116"/>
      <c r="B3116"/>
      <c r="C3116"/>
      <c r="E3116"/>
      <c r="F3116"/>
      <c r="G3116"/>
      <c r="H3116"/>
    </row>
    <row r="3117" spans="1:8">
      <c r="A3117"/>
      <c r="B3117"/>
      <c r="C3117"/>
      <c r="E3117"/>
      <c r="F3117"/>
      <c r="G3117"/>
      <c r="H3117"/>
    </row>
    <row r="3118" spans="1:8">
      <c r="A3118"/>
      <c r="B3118"/>
      <c r="C3118"/>
      <c r="E3118"/>
      <c r="F3118"/>
      <c r="G3118"/>
      <c r="H3118"/>
    </row>
    <row r="3119" spans="1:8">
      <c r="A3119"/>
      <c r="B3119"/>
      <c r="C3119"/>
      <c r="E3119"/>
      <c r="F3119"/>
      <c r="G3119"/>
      <c r="H3119"/>
    </row>
    <row r="3120" spans="1:8">
      <c r="A3120"/>
      <c r="B3120"/>
      <c r="C3120"/>
      <c r="E3120"/>
      <c r="F3120"/>
      <c r="G3120"/>
      <c r="H3120"/>
    </row>
    <row r="3121" spans="1:8">
      <c r="A3121"/>
      <c r="B3121"/>
      <c r="C3121"/>
      <c r="E3121"/>
      <c r="F3121"/>
      <c r="G3121"/>
      <c r="H3121"/>
    </row>
    <row r="3122" spans="1:8">
      <c r="A3122"/>
      <c r="B3122"/>
      <c r="C3122"/>
      <c r="E3122"/>
      <c r="F3122"/>
      <c r="G3122"/>
      <c r="H3122"/>
    </row>
    <row r="3123" spans="1:8">
      <c r="A3123"/>
      <c r="B3123"/>
      <c r="C3123"/>
      <c r="E3123"/>
      <c r="F3123"/>
      <c r="G3123"/>
      <c r="H3123"/>
    </row>
    <row r="3124" spans="1:8">
      <c r="A3124"/>
      <c r="B3124"/>
      <c r="C3124"/>
      <c r="E3124"/>
      <c r="F3124"/>
      <c r="G3124"/>
      <c r="H3124"/>
    </row>
    <row r="3125" spans="1:8">
      <c r="A3125"/>
      <c r="B3125"/>
      <c r="C3125"/>
      <c r="E3125"/>
      <c r="F3125"/>
      <c r="G3125"/>
      <c r="H3125"/>
    </row>
    <row r="3126" spans="1:8">
      <c r="A3126"/>
      <c r="B3126"/>
      <c r="C3126"/>
      <c r="E3126"/>
      <c r="F3126"/>
      <c r="G3126"/>
      <c r="H3126"/>
    </row>
    <row r="3127" spans="1:8">
      <c r="A3127"/>
      <c r="B3127"/>
      <c r="C3127"/>
      <c r="E3127"/>
      <c r="F3127"/>
      <c r="G3127"/>
      <c r="H3127"/>
    </row>
    <row r="3128" spans="1:8">
      <c r="A3128"/>
      <c r="B3128"/>
      <c r="C3128"/>
      <c r="E3128"/>
      <c r="F3128"/>
      <c r="G3128"/>
      <c r="H3128"/>
    </row>
    <row r="3129" spans="1:8">
      <c r="A3129"/>
      <c r="B3129"/>
      <c r="C3129"/>
      <c r="E3129"/>
      <c r="F3129"/>
      <c r="G3129"/>
      <c r="H3129"/>
    </row>
    <row r="3130" spans="1:8">
      <c r="A3130"/>
      <c r="B3130"/>
      <c r="C3130"/>
      <c r="E3130"/>
      <c r="F3130"/>
      <c r="G3130"/>
      <c r="H3130"/>
    </row>
    <row r="3131" spans="1:8">
      <c r="A3131"/>
      <c r="B3131"/>
      <c r="C3131"/>
      <c r="E3131"/>
      <c r="F3131"/>
      <c r="G3131"/>
      <c r="H3131"/>
    </row>
    <row r="3132" spans="1:8">
      <c r="A3132"/>
      <c r="B3132"/>
      <c r="C3132"/>
      <c r="E3132"/>
      <c r="F3132"/>
      <c r="G3132"/>
      <c r="H3132"/>
    </row>
    <row r="3133" spans="1:8">
      <c r="A3133"/>
      <c r="B3133"/>
      <c r="C3133"/>
      <c r="E3133"/>
      <c r="F3133"/>
      <c r="G3133"/>
      <c r="H3133"/>
    </row>
    <row r="3134" spans="1:8">
      <c r="A3134"/>
      <c r="B3134"/>
      <c r="C3134"/>
      <c r="E3134"/>
      <c r="F3134"/>
      <c r="G3134"/>
      <c r="H3134"/>
    </row>
    <row r="3135" spans="1:8">
      <c r="A3135"/>
      <c r="B3135"/>
      <c r="C3135"/>
      <c r="E3135"/>
      <c r="F3135"/>
      <c r="G3135"/>
      <c r="H3135"/>
    </row>
    <row r="3136" spans="1:8">
      <c r="A3136"/>
      <c r="B3136"/>
      <c r="C3136"/>
      <c r="E3136"/>
      <c r="F3136"/>
      <c r="G3136"/>
      <c r="H3136"/>
    </row>
    <row r="3137" spans="1:8">
      <c r="A3137"/>
      <c r="B3137"/>
      <c r="C3137"/>
      <c r="E3137"/>
      <c r="F3137"/>
      <c r="G3137"/>
      <c r="H3137"/>
    </row>
    <row r="3138" spans="1:8">
      <c r="A3138"/>
      <c r="B3138"/>
      <c r="C3138"/>
      <c r="E3138"/>
      <c r="F3138"/>
      <c r="G3138"/>
      <c r="H3138"/>
    </row>
    <row r="3139" spans="1:8">
      <c r="A3139"/>
      <c r="B3139"/>
      <c r="C3139"/>
      <c r="E3139"/>
      <c r="F3139"/>
      <c r="G3139"/>
      <c r="H3139"/>
    </row>
    <row r="3140" spans="1:8">
      <c r="A3140"/>
      <c r="B3140"/>
      <c r="C3140"/>
      <c r="E3140"/>
      <c r="F3140"/>
      <c r="G3140"/>
      <c r="H3140"/>
    </row>
    <row r="3141" spans="1:8">
      <c r="A3141"/>
      <c r="B3141"/>
      <c r="C3141"/>
      <c r="E3141"/>
      <c r="F3141"/>
      <c r="G3141"/>
      <c r="H3141"/>
    </row>
    <row r="3142" spans="1:8">
      <c r="A3142"/>
      <c r="B3142"/>
      <c r="C3142"/>
      <c r="E3142"/>
      <c r="F3142"/>
      <c r="G3142"/>
      <c r="H3142"/>
    </row>
    <row r="3143" spans="1:8">
      <c r="A3143"/>
      <c r="B3143"/>
      <c r="C3143"/>
      <c r="E3143"/>
      <c r="F3143"/>
      <c r="G3143"/>
      <c r="H3143"/>
    </row>
    <row r="3144" spans="1:8">
      <c r="A3144"/>
      <c r="B3144"/>
      <c r="C3144"/>
      <c r="E3144"/>
      <c r="F3144"/>
      <c r="G3144"/>
      <c r="H3144"/>
    </row>
    <row r="3145" spans="1:8">
      <c r="A3145"/>
      <c r="B3145"/>
      <c r="C3145"/>
      <c r="E3145"/>
      <c r="F3145"/>
      <c r="G3145"/>
      <c r="H3145"/>
    </row>
    <row r="3146" spans="1:8">
      <c r="A3146"/>
      <c r="B3146"/>
      <c r="C3146"/>
      <c r="E3146"/>
      <c r="F3146"/>
      <c r="G3146"/>
      <c r="H3146"/>
    </row>
    <row r="3147" spans="1:8">
      <c r="A3147"/>
      <c r="B3147"/>
      <c r="C3147"/>
      <c r="E3147"/>
      <c r="F3147"/>
      <c r="G3147"/>
      <c r="H3147"/>
    </row>
    <row r="3148" spans="1:8">
      <c r="A3148"/>
      <c r="B3148"/>
      <c r="C3148"/>
      <c r="E3148"/>
      <c r="F3148"/>
      <c r="G3148"/>
      <c r="H3148"/>
    </row>
    <row r="3149" spans="1:8">
      <c r="A3149"/>
      <c r="B3149"/>
      <c r="C3149"/>
      <c r="E3149"/>
      <c r="F3149"/>
      <c r="G3149"/>
      <c r="H3149"/>
    </row>
    <row r="3150" spans="1:8">
      <c r="A3150"/>
      <c r="B3150"/>
      <c r="C3150"/>
      <c r="E3150"/>
      <c r="F3150"/>
      <c r="G3150"/>
      <c r="H3150"/>
    </row>
    <row r="3151" spans="1:8">
      <c r="A3151"/>
      <c r="B3151"/>
      <c r="C3151"/>
      <c r="E3151"/>
      <c r="F3151"/>
      <c r="G3151"/>
      <c r="H3151"/>
    </row>
    <row r="3152" spans="1:8">
      <c r="A3152"/>
      <c r="B3152"/>
      <c r="C3152"/>
      <c r="E3152"/>
      <c r="F3152"/>
      <c r="G3152"/>
      <c r="H3152"/>
    </row>
    <row r="3153" spans="1:8">
      <c r="A3153"/>
      <c r="B3153"/>
      <c r="C3153"/>
      <c r="E3153"/>
      <c r="F3153"/>
      <c r="G3153"/>
      <c r="H3153"/>
    </row>
    <row r="3154" spans="1:8">
      <c r="A3154"/>
      <c r="B3154"/>
      <c r="C3154"/>
      <c r="E3154"/>
      <c r="F3154"/>
      <c r="G3154"/>
      <c r="H3154"/>
    </row>
    <row r="3155" spans="1:8">
      <c r="A3155"/>
      <c r="B3155"/>
      <c r="C3155"/>
      <c r="E3155"/>
      <c r="F3155"/>
      <c r="G3155"/>
      <c r="H3155"/>
    </row>
    <row r="3156" spans="1:8">
      <c r="A3156"/>
      <c r="B3156"/>
      <c r="C3156"/>
      <c r="E3156"/>
      <c r="F3156"/>
      <c r="G3156"/>
      <c r="H3156"/>
    </row>
    <row r="3157" spans="1:8">
      <c r="A3157"/>
      <c r="B3157"/>
      <c r="C3157"/>
      <c r="E3157"/>
      <c r="F3157"/>
      <c r="G3157"/>
      <c r="H3157"/>
    </row>
    <row r="3158" spans="1:8">
      <c r="A3158"/>
      <c r="B3158"/>
      <c r="C3158"/>
      <c r="E3158"/>
      <c r="F3158"/>
      <c r="G3158"/>
      <c r="H3158"/>
    </row>
    <row r="3159" spans="1:8">
      <c r="A3159"/>
      <c r="B3159"/>
      <c r="C3159"/>
      <c r="E3159"/>
      <c r="F3159"/>
      <c r="G3159"/>
      <c r="H3159"/>
    </row>
    <row r="3160" spans="1:8">
      <c r="A3160"/>
      <c r="B3160"/>
      <c r="C3160"/>
      <c r="E3160"/>
      <c r="F3160"/>
      <c r="G3160"/>
      <c r="H3160"/>
    </row>
    <row r="3161" spans="1:8">
      <c r="A3161"/>
      <c r="B3161"/>
      <c r="C3161"/>
      <c r="E3161"/>
      <c r="F3161"/>
      <c r="G3161"/>
      <c r="H3161"/>
    </row>
    <row r="3162" spans="1:8">
      <c r="A3162"/>
      <c r="B3162"/>
      <c r="C3162"/>
      <c r="E3162"/>
      <c r="F3162"/>
      <c r="G3162"/>
      <c r="H3162"/>
    </row>
    <row r="3163" spans="1:8">
      <c r="A3163"/>
      <c r="B3163"/>
      <c r="C3163"/>
      <c r="E3163"/>
      <c r="F3163"/>
      <c r="G3163"/>
      <c r="H3163"/>
    </row>
    <row r="3164" spans="1:8">
      <c r="A3164"/>
      <c r="B3164"/>
      <c r="C3164"/>
      <c r="E3164"/>
      <c r="F3164"/>
      <c r="G3164"/>
      <c r="H3164"/>
    </row>
    <row r="3165" spans="1:8">
      <c r="A3165"/>
      <c r="B3165"/>
      <c r="C3165"/>
      <c r="E3165"/>
      <c r="F3165"/>
      <c r="G3165"/>
      <c r="H3165"/>
    </row>
    <row r="3166" spans="1:8">
      <c r="A3166"/>
      <c r="B3166"/>
      <c r="C3166"/>
      <c r="E3166"/>
      <c r="F3166"/>
      <c r="G3166"/>
      <c r="H3166"/>
    </row>
    <row r="3167" spans="1:8">
      <c r="A3167"/>
      <c r="B3167"/>
      <c r="C3167"/>
      <c r="E3167"/>
      <c r="F3167"/>
      <c r="G3167"/>
      <c r="H3167"/>
    </row>
    <row r="3168" spans="1:8">
      <c r="A3168"/>
      <c r="B3168"/>
      <c r="C3168"/>
      <c r="E3168"/>
      <c r="F3168"/>
      <c r="G3168"/>
      <c r="H3168"/>
    </row>
    <row r="3169" spans="1:8">
      <c r="A3169"/>
      <c r="B3169"/>
      <c r="C3169"/>
      <c r="E3169"/>
      <c r="F3169"/>
      <c r="G3169"/>
      <c r="H3169"/>
    </row>
    <row r="3170" spans="1:8">
      <c r="A3170"/>
      <c r="B3170"/>
      <c r="C3170"/>
      <c r="E3170"/>
      <c r="F3170"/>
      <c r="G3170"/>
      <c r="H3170"/>
    </row>
    <row r="3171" spans="1:8">
      <c r="A3171"/>
      <c r="B3171"/>
      <c r="C3171"/>
      <c r="E3171"/>
      <c r="F3171"/>
      <c r="G3171"/>
      <c r="H3171"/>
    </row>
    <row r="3172" spans="1:8">
      <c r="A3172"/>
      <c r="B3172"/>
      <c r="C3172"/>
      <c r="E3172"/>
      <c r="F3172"/>
      <c r="G3172"/>
      <c r="H3172"/>
    </row>
    <row r="3173" spans="1:8">
      <c r="A3173"/>
      <c r="B3173"/>
      <c r="C3173"/>
      <c r="E3173"/>
      <c r="F3173"/>
      <c r="G3173"/>
      <c r="H3173"/>
    </row>
    <row r="3174" spans="1:8">
      <c r="A3174"/>
      <c r="B3174"/>
      <c r="C3174"/>
      <c r="E3174"/>
      <c r="F3174"/>
      <c r="G3174"/>
      <c r="H3174"/>
    </row>
    <row r="3175" spans="1:8">
      <c r="A3175"/>
      <c r="B3175"/>
      <c r="C3175"/>
      <c r="E3175"/>
      <c r="F3175"/>
      <c r="G3175"/>
      <c r="H3175"/>
    </row>
    <row r="3176" spans="1:8">
      <c r="A3176"/>
      <c r="B3176"/>
      <c r="C3176"/>
      <c r="E3176"/>
      <c r="F3176"/>
      <c r="G3176"/>
      <c r="H3176"/>
    </row>
    <row r="3177" spans="1:8">
      <c r="A3177"/>
      <c r="B3177"/>
      <c r="C3177"/>
      <c r="E3177"/>
      <c r="F3177"/>
      <c r="G3177"/>
      <c r="H3177"/>
    </row>
    <row r="3178" spans="1:8">
      <c r="A3178"/>
      <c r="B3178"/>
      <c r="C3178"/>
      <c r="E3178"/>
      <c r="F3178"/>
      <c r="G3178"/>
      <c r="H3178"/>
    </row>
    <row r="3179" spans="1:8">
      <c r="A3179"/>
      <c r="B3179"/>
      <c r="C3179"/>
      <c r="E3179"/>
      <c r="F3179"/>
      <c r="G3179"/>
      <c r="H3179"/>
    </row>
    <row r="3180" spans="1:8">
      <c r="A3180"/>
      <c r="B3180"/>
      <c r="C3180"/>
      <c r="E3180"/>
      <c r="F3180"/>
      <c r="G3180"/>
      <c r="H3180"/>
    </row>
    <row r="3181" spans="1:8">
      <c r="A3181"/>
      <c r="B3181"/>
      <c r="C3181"/>
      <c r="E3181"/>
      <c r="F3181"/>
      <c r="G3181"/>
      <c r="H3181"/>
    </row>
    <row r="3182" spans="1:8">
      <c r="A3182"/>
      <c r="B3182"/>
      <c r="C3182"/>
      <c r="E3182"/>
      <c r="F3182"/>
      <c r="G3182"/>
      <c r="H3182"/>
    </row>
    <row r="3183" spans="1:8">
      <c r="A3183"/>
      <c r="B3183"/>
      <c r="C3183"/>
      <c r="E3183"/>
      <c r="F3183"/>
      <c r="G3183"/>
      <c r="H3183"/>
    </row>
    <row r="3184" spans="1:8">
      <c r="A3184"/>
      <c r="B3184"/>
      <c r="C3184"/>
      <c r="E3184"/>
      <c r="F3184"/>
      <c r="G3184"/>
      <c r="H3184"/>
    </row>
    <row r="3185" spans="1:8">
      <c r="A3185"/>
      <c r="B3185"/>
      <c r="C3185"/>
      <c r="E3185"/>
      <c r="F3185"/>
      <c r="G3185"/>
      <c r="H3185"/>
    </row>
    <row r="3186" spans="1:8">
      <c r="A3186"/>
      <c r="B3186"/>
      <c r="C3186"/>
      <c r="E3186"/>
      <c r="F3186"/>
      <c r="G3186"/>
      <c r="H3186"/>
    </row>
    <row r="3187" spans="1:8">
      <c r="A3187"/>
      <c r="B3187"/>
      <c r="C3187"/>
      <c r="E3187"/>
      <c r="F3187"/>
      <c r="G3187"/>
      <c r="H3187"/>
    </row>
    <row r="3188" spans="1:8">
      <c r="A3188"/>
      <c r="B3188"/>
      <c r="C3188"/>
      <c r="E3188"/>
      <c r="F3188"/>
      <c r="G3188"/>
      <c r="H3188"/>
    </row>
    <row r="3189" spans="1:8">
      <c r="A3189"/>
      <c r="B3189"/>
      <c r="C3189"/>
      <c r="E3189"/>
      <c r="F3189"/>
      <c r="G3189"/>
      <c r="H3189"/>
    </row>
    <row r="3190" spans="1:8">
      <c r="A3190"/>
      <c r="B3190"/>
      <c r="C3190"/>
      <c r="E3190"/>
      <c r="F3190"/>
      <c r="G3190"/>
      <c r="H3190"/>
    </row>
    <row r="3191" spans="1:8">
      <c r="A3191"/>
      <c r="B3191"/>
      <c r="C3191"/>
      <c r="E3191"/>
      <c r="F3191"/>
      <c r="G3191"/>
      <c r="H3191"/>
    </row>
    <row r="3192" spans="1:8">
      <c r="A3192"/>
      <c r="B3192"/>
      <c r="C3192"/>
      <c r="E3192"/>
      <c r="F3192"/>
      <c r="G3192"/>
      <c r="H3192"/>
    </row>
    <row r="3193" spans="1:8">
      <c r="A3193"/>
      <c r="B3193"/>
      <c r="C3193"/>
      <c r="E3193"/>
      <c r="F3193"/>
      <c r="G3193"/>
      <c r="H3193"/>
    </row>
    <row r="3194" spans="1:8">
      <c r="A3194"/>
      <c r="B3194"/>
      <c r="C3194"/>
      <c r="E3194"/>
      <c r="F3194"/>
      <c r="G3194"/>
      <c r="H3194"/>
    </row>
    <row r="3195" spans="1:8">
      <c r="A3195"/>
      <c r="B3195"/>
      <c r="C3195"/>
      <c r="E3195"/>
      <c r="F3195"/>
      <c r="G3195"/>
      <c r="H3195"/>
    </row>
    <row r="3196" spans="1:8">
      <c r="A3196"/>
      <c r="B3196"/>
      <c r="C3196"/>
      <c r="E3196"/>
      <c r="F3196"/>
      <c r="G3196"/>
      <c r="H3196"/>
    </row>
    <row r="3197" spans="1:8">
      <c r="A3197"/>
      <c r="B3197"/>
      <c r="C3197"/>
      <c r="E3197"/>
      <c r="F3197"/>
      <c r="G3197"/>
      <c r="H3197"/>
    </row>
    <row r="3198" spans="1:8">
      <c r="A3198"/>
      <c r="B3198"/>
      <c r="C3198"/>
      <c r="E3198"/>
      <c r="F3198"/>
      <c r="G3198"/>
      <c r="H3198"/>
    </row>
    <row r="3199" spans="1:8">
      <c r="A3199"/>
      <c r="B3199"/>
      <c r="C3199"/>
      <c r="E3199"/>
      <c r="F3199"/>
      <c r="G3199"/>
      <c r="H3199"/>
    </row>
    <row r="3200" spans="1:8">
      <c r="A3200"/>
      <c r="B3200"/>
      <c r="C3200"/>
      <c r="E3200"/>
      <c r="F3200"/>
      <c r="G3200"/>
      <c r="H3200"/>
    </row>
    <row r="3201" spans="1:8">
      <c r="A3201"/>
      <c r="B3201"/>
      <c r="C3201"/>
      <c r="E3201"/>
      <c r="F3201"/>
      <c r="G3201"/>
      <c r="H3201"/>
    </row>
    <row r="3202" spans="1:8">
      <c r="A3202"/>
      <c r="B3202"/>
      <c r="C3202"/>
      <c r="E3202"/>
      <c r="F3202"/>
      <c r="G3202"/>
      <c r="H3202"/>
    </row>
    <row r="3203" spans="1:8">
      <c r="A3203"/>
      <c r="B3203"/>
      <c r="C3203"/>
      <c r="E3203"/>
      <c r="F3203"/>
      <c r="G3203"/>
      <c r="H3203"/>
    </row>
    <row r="3204" spans="1:8">
      <c r="A3204"/>
      <c r="B3204"/>
      <c r="C3204"/>
      <c r="E3204"/>
      <c r="F3204"/>
      <c r="G3204"/>
      <c r="H3204"/>
    </row>
    <row r="3205" spans="1:8">
      <c r="A3205"/>
      <c r="B3205"/>
      <c r="C3205"/>
      <c r="E3205"/>
      <c r="F3205"/>
      <c r="G3205"/>
      <c r="H3205"/>
    </row>
    <row r="3206" spans="1:8">
      <c r="A3206"/>
      <c r="B3206"/>
      <c r="C3206"/>
      <c r="E3206"/>
      <c r="F3206"/>
      <c r="G3206"/>
      <c r="H3206"/>
    </row>
    <row r="3207" spans="1:8">
      <c r="A3207"/>
      <c r="B3207"/>
      <c r="C3207"/>
      <c r="E3207"/>
      <c r="F3207"/>
      <c r="G3207"/>
      <c r="H3207"/>
    </row>
    <row r="3208" spans="1:8">
      <c r="A3208"/>
      <c r="B3208"/>
      <c r="C3208"/>
      <c r="E3208"/>
      <c r="F3208"/>
      <c r="G3208"/>
      <c r="H3208"/>
    </row>
    <row r="3209" spans="1:8">
      <c r="A3209"/>
      <c r="B3209"/>
      <c r="C3209"/>
      <c r="E3209"/>
      <c r="F3209"/>
      <c r="G3209"/>
      <c r="H3209"/>
    </row>
    <row r="3210" spans="1:8">
      <c r="A3210"/>
      <c r="B3210"/>
      <c r="C3210"/>
      <c r="E3210"/>
      <c r="F3210"/>
      <c r="G3210"/>
      <c r="H3210"/>
    </row>
    <row r="3211" spans="1:8">
      <c r="A3211"/>
      <c r="B3211"/>
      <c r="C3211"/>
      <c r="E3211"/>
      <c r="F3211"/>
      <c r="G3211"/>
      <c r="H3211"/>
    </row>
    <row r="3212" spans="1:8">
      <c r="A3212"/>
      <c r="B3212"/>
      <c r="C3212"/>
      <c r="E3212"/>
      <c r="F3212"/>
      <c r="G3212"/>
      <c r="H3212"/>
    </row>
    <row r="3213" spans="1:8">
      <c r="A3213"/>
      <c r="B3213"/>
      <c r="C3213"/>
      <c r="E3213"/>
      <c r="F3213"/>
      <c r="G3213"/>
      <c r="H3213"/>
    </row>
    <row r="3214" spans="1:8">
      <c r="A3214"/>
      <c r="B3214"/>
      <c r="C3214"/>
      <c r="E3214"/>
      <c r="F3214"/>
      <c r="G3214"/>
      <c r="H3214"/>
    </row>
    <row r="3215" spans="1:8">
      <c r="A3215"/>
      <c r="B3215"/>
      <c r="C3215"/>
      <c r="E3215"/>
      <c r="F3215"/>
      <c r="G3215"/>
      <c r="H3215"/>
    </row>
    <row r="3216" spans="1:8">
      <c r="A3216"/>
      <c r="B3216"/>
      <c r="C3216"/>
      <c r="E3216"/>
      <c r="F3216"/>
      <c r="G3216"/>
      <c r="H3216"/>
    </row>
    <row r="3217" spans="1:8">
      <c r="A3217"/>
      <c r="B3217"/>
      <c r="C3217"/>
      <c r="E3217"/>
      <c r="F3217"/>
      <c r="G3217"/>
      <c r="H3217"/>
    </row>
    <row r="3218" spans="1:8">
      <c r="A3218"/>
      <c r="B3218"/>
      <c r="C3218"/>
      <c r="E3218"/>
      <c r="F3218"/>
      <c r="G3218"/>
      <c r="H3218"/>
    </row>
    <row r="3219" spans="1:8">
      <c r="A3219"/>
      <c r="B3219"/>
      <c r="C3219"/>
      <c r="E3219"/>
      <c r="F3219"/>
      <c r="G3219"/>
      <c r="H3219"/>
    </row>
    <row r="3220" spans="1:8">
      <c r="A3220"/>
      <c r="B3220"/>
      <c r="C3220"/>
      <c r="E3220"/>
      <c r="F3220"/>
      <c r="G3220"/>
      <c r="H3220"/>
    </row>
    <row r="3221" spans="1:8">
      <c r="A3221"/>
      <c r="B3221"/>
      <c r="C3221"/>
      <c r="E3221"/>
      <c r="F3221"/>
      <c r="G3221"/>
      <c r="H3221"/>
    </row>
    <row r="3222" spans="1:8">
      <c r="A3222"/>
      <c r="B3222"/>
      <c r="C3222"/>
      <c r="E3222"/>
      <c r="F3222"/>
      <c r="G3222"/>
      <c r="H3222"/>
    </row>
    <row r="3223" spans="1:8">
      <c r="A3223"/>
      <c r="B3223"/>
      <c r="C3223"/>
      <c r="E3223"/>
      <c r="F3223"/>
      <c r="G3223"/>
      <c r="H3223"/>
    </row>
    <row r="3224" spans="1:8">
      <c r="A3224"/>
      <c r="B3224"/>
      <c r="C3224"/>
      <c r="E3224"/>
      <c r="F3224"/>
      <c r="G3224"/>
      <c r="H3224"/>
    </row>
    <row r="3225" spans="1:8">
      <c r="A3225"/>
      <c r="B3225"/>
      <c r="C3225"/>
      <c r="E3225"/>
      <c r="F3225"/>
      <c r="G3225"/>
      <c r="H3225"/>
    </row>
    <row r="3226" spans="1:8">
      <c r="A3226"/>
      <c r="B3226"/>
      <c r="C3226"/>
      <c r="E3226"/>
      <c r="F3226"/>
      <c r="G3226"/>
      <c r="H3226"/>
    </row>
    <row r="3227" spans="1:8">
      <c r="A3227"/>
      <c r="B3227"/>
      <c r="C3227"/>
      <c r="E3227"/>
      <c r="F3227"/>
      <c r="G3227"/>
      <c r="H3227"/>
    </row>
    <row r="3228" spans="1:8">
      <c r="A3228"/>
      <c r="B3228"/>
      <c r="C3228"/>
      <c r="E3228"/>
      <c r="F3228"/>
      <c r="G3228"/>
      <c r="H3228"/>
    </row>
    <row r="3229" spans="1:8">
      <c r="A3229"/>
      <c r="B3229"/>
      <c r="C3229"/>
      <c r="E3229"/>
      <c r="F3229"/>
      <c r="G3229"/>
      <c r="H3229"/>
    </row>
    <row r="3230" spans="1:8">
      <c r="A3230"/>
      <c r="B3230"/>
      <c r="C3230"/>
      <c r="E3230"/>
      <c r="F3230"/>
      <c r="G3230"/>
      <c r="H3230"/>
    </row>
    <row r="3231" spans="1:8">
      <c r="A3231"/>
      <c r="B3231"/>
      <c r="C3231"/>
      <c r="E3231"/>
      <c r="F3231"/>
      <c r="G3231"/>
      <c r="H3231"/>
    </row>
    <row r="3232" spans="1:8">
      <c r="A3232"/>
      <c r="B3232"/>
      <c r="C3232"/>
      <c r="E3232"/>
      <c r="F3232"/>
      <c r="G3232"/>
      <c r="H3232"/>
    </row>
    <row r="3233" spans="1:8">
      <c r="A3233"/>
      <c r="B3233"/>
      <c r="C3233"/>
      <c r="E3233"/>
      <c r="F3233"/>
      <c r="G3233"/>
      <c r="H3233"/>
    </row>
    <row r="3234" spans="1:8">
      <c r="A3234"/>
      <c r="B3234"/>
      <c r="C3234"/>
      <c r="E3234"/>
      <c r="F3234"/>
      <c r="G3234"/>
      <c r="H3234"/>
    </row>
    <row r="3235" spans="1:8">
      <c r="A3235"/>
      <c r="B3235"/>
      <c r="C3235"/>
      <c r="E3235"/>
      <c r="F3235"/>
      <c r="G3235"/>
      <c r="H3235"/>
    </row>
    <row r="3236" spans="1:8">
      <c r="A3236"/>
      <c r="B3236"/>
      <c r="C3236"/>
      <c r="E3236"/>
      <c r="F3236"/>
      <c r="G3236"/>
      <c r="H3236"/>
    </row>
    <row r="3237" spans="1:8">
      <c r="A3237"/>
      <c r="B3237"/>
      <c r="C3237"/>
      <c r="E3237"/>
      <c r="F3237"/>
      <c r="G3237"/>
      <c r="H3237"/>
    </row>
    <row r="3238" spans="1:8">
      <c r="A3238"/>
      <c r="B3238"/>
      <c r="C3238"/>
      <c r="E3238"/>
      <c r="F3238"/>
      <c r="G3238"/>
      <c r="H3238"/>
    </row>
    <row r="3239" spans="1:8">
      <c r="A3239"/>
      <c r="B3239"/>
      <c r="C3239"/>
      <c r="E3239"/>
      <c r="F3239"/>
      <c r="G3239"/>
      <c r="H3239"/>
    </row>
    <row r="3240" spans="1:8">
      <c r="A3240"/>
      <c r="B3240"/>
      <c r="C3240"/>
      <c r="E3240"/>
      <c r="F3240"/>
      <c r="G3240"/>
      <c r="H3240"/>
    </row>
    <row r="3241" spans="1:8">
      <c r="A3241"/>
      <c r="B3241"/>
      <c r="C3241"/>
      <c r="E3241"/>
      <c r="F3241"/>
      <c r="G3241"/>
      <c r="H3241"/>
    </row>
    <row r="3242" spans="1:8">
      <c r="A3242"/>
      <c r="B3242"/>
      <c r="C3242"/>
      <c r="E3242"/>
      <c r="F3242"/>
      <c r="G3242"/>
      <c r="H3242"/>
    </row>
    <row r="3243" spans="1:8">
      <c r="A3243"/>
      <c r="B3243"/>
      <c r="C3243"/>
      <c r="E3243"/>
      <c r="F3243"/>
      <c r="G3243"/>
      <c r="H3243"/>
    </row>
    <row r="3244" spans="1:8">
      <c r="A3244"/>
      <c r="B3244"/>
      <c r="C3244"/>
      <c r="E3244"/>
      <c r="F3244"/>
      <c r="G3244"/>
      <c r="H3244"/>
    </row>
    <row r="3245" spans="1:8">
      <c r="A3245"/>
      <c r="B3245"/>
      <c r="C3245"/>
      <c r="E3245"/>
      <c r="F3245"/>
      <c r="G3245"/>
      <c r="H3245"/>
    </row>
    <row r="3246" spans="1:8">
      <c r="A3246"/>
      <c r="B3246"/>
      <c r="C3246"/>
      <c r="E3246"/>
      <c r="F3246"/>
      <c r="G3246"/>
      <c r="H3246"/>
    </row>
    <row r="3247" spans="1:8">
      <c r="A3247"/>
      <c r="B3247"/>
      <c r="C3247"/>
      <c r="E3247"/>
      <c r="F3247"/>
      <c r="G3247"/>
      <c r="H3247"/>
    </row>
    <row r="3248" spans="1:8">
      <c r="A3248"/>
      <c r="B3248"/>
      <c r="C3248"/>
      <c r="E3248"/>
      <c r="F3248"/>
      <c r="G3248"/>
      <c r="H3248"/>
    </row>
    <row r="3249" spans="1:8">
      <c r="A3249"/>
      <c r="B3249"/>
      <c r="C3249"/>
      <c r="E3249"/>
      <c r="F3249"/>
      <c r="G3249"/>
      <c r="H3249"/>
    </row>
    <row r="3250" spans="1:8">
      <c r="A3250"/>
      <c r="B3250"/>
      <c r="C3250"/>
      <c r="E3250"/>
      <c r="F3250"/>
      <c r="G3250"/>
      <c r="H3250"/>
    </row>
    <row r="3251" spans="1:8">
      <c r="A3251"/>
      <c r="B3251"/>
      <c r="C3251"/>
      <c r="E3251"/>
      <c r="F3251"/>
      <c r="G3251"/>
      <c r="H3251"/>
    </row>
    <row r="3252" spans="1:8">
      <c r="A3252"/>
      <c r="B3252"/>
      <c r="C3252"/>
      <c r="E3252"/>
      <c r="F3252"/>
      <c r="G3252"/>
      <c r="H3252"/>
    </row>
    <row r="3253" spans="1:8">
      <c r="A3253"/>
      <c r="B3253"/>
      <c r="C3253"/>
      <c r="E3253"/>
      <c r="F3253"/>
      <c r="G3253"/>
      <c r="H3253"/>
    </row>
    <row r="3254" spans="1:8">
      <c r="A3254"/>
      <c r="B3254"/>
      <c r="C3254"/>
      <c r="E3254"/>
      <c r="F3254"/>
      <c r="G3254"/>
      <c r="H3254"/>
    </row>
    <row r="3255" spans="1:8">
      <c r="A3255"/>
      <c r="B3255"/>
      <c r="C3255"/>
      <c r="E3255"/>
      <c r="F3255"/>
      <c r="G3255"/>
      <c r="H3255"/>
    </row>
    <row r="3256" spans="1:8">
      <c r="A3256"/>
      <c r="B3256"/>
      <c r="C3256"/>
      <c r="E3256"/>
      <c r="F3256"/>
      <c r="G3256"/>
      <c r="H3256"/>
    </row>
    <row r="3257" spans="1:8">
      <c r="A3257"/>
      <c r="B3257"/>
      <c r="C3257"/>
      <c r="E3257"/>
      <c r="F3257"/>
      <c r="G3257"/>
      <c r="H3257"/>
    </row>
    <row r="3258" spans="1:8">
      <c r="A3258"/>
      <c r="B3258"/>
      <c r="C3258"/>
      <c r="E3258"/>
      <c r="F3258"/>
      <c r="G3258"/>
      <c r="H3258"/>
    </row>
    <row r="3259" spans="1:8">
      <c r="A3259"/>
      <c r="B3259"/>
      <c r="C3259"/>
      <c r="E3259"/>
      <c r="F3259"/>
      <c r="G3259"/>
      <c r="H3259"/>
    </row>
    <row r="3260" spans="1:8">
      <c r="A3260"/>
      <c r="B3260"/>
      <c r="C3260"/>
      <c r="E3260"/>
      <c r="F3260"/>
      <c r="G3260"/>
      <c r="H3260"/>
    </row>
    <row r="3261" spans="1:8">
      <c r="A3261"/>
      <c r="B3261"/>
      <c r="C3261"/>
      <c r="E3261"/>
      <c r="F3261"/>
      <c r="G3261"/>
      <c r="H3261"/>
    </row>
    <row r="3262" spans="1:8">
      <c r="A3262"/>
      <c r="B3262"/>
      <c r="C3262"/>
      <c r="E3262"/>
      <c r="F3262"/>
      <c r="G3262"/>
      <c r="H3262"/>
    </row>
    <row r="3263" spans="1:8">
      <c r="A3263"/>
      <c r="B3263"/>
      <c r="C3263"/>
      <c r="E3263"/>
      <c r="F3263"/>
      <c r="G3263"/>
      <c r="H3263"/>
    </row>
    <row r="3264" spans="1:8">
      <c r="A3264"/>
      <c r="B3264"/>
      <c r="C3264"/>
      <c r="E3264"/>
      <c r="F3264"/>
      <c r="G3264"/>
      <c r="H3264"/>
    </row>
    <row r="3265" spans="1:8">
      <c r="A3265"/>
      <c r="B3265"/>
      <c r="C3265"/>
      <c r="E3265"/>
      <c r="F3265"/>
      <c r="G3265"/>
      <c r="H3265"/>
    </row>
    <row r="3266" spans="1:8">
      <c r="A3266"/>
      <c r="B3266"/>
      <c r="C3266"/>
      <c r="E3266"/>
      <c r="F3266"/>
      <c r="G3266"/>
      <c r="H3266"/>
    </row>
    <row r="3267" spans="1:8">
      <c r="A3267"/>
      <c r="B3267"/>
      <c r="C3267"/>
      <c r="E3267"/>
      <c r="F3267"/>
      <c r="G3267"/>
      <c r="H3267"/>
    </row>
    <row r="3268" spans="1:8">
      <c r="A3268"/>
      <c r="B3268"/>
      <c r="C3268"/>
      <c r="E3268"/>
      <c r="F3268"/>
      <c r="G3268"/>
      <c r="H3268"/>
    </row>
    <row r="3269" spans="1:8">
      <c r="A3269"/>
      <c r="B3269"/>
      <c r="C3269"/>
      <c r="E3269"/>
      <c r="F3269"/>
      <c r="G3269"/>
      <c r="H3269"/>
    </row>
    <row r="3270" spans="1:8">
      <c r="A3270"/>
      <c r="B3270"/>
      <c r="C3270"/>
      <c r="E3270"/>
      <c r="F3270"/>
      <c r="G3270"/>
      <c r="H3270"/>
    </row>
    <row r="3271" spans="1:8">
      <c r="A3271"/>
      <c r="B3271"/>
      <c r="C3271"/>
      <c r="E3271"/>
      <c r="F3271"/>
      <c r="G3271"/>
      <c r="H3271"/>
    </row>
    <row r="3272" spans="1:8">
      <c r="A3272"/>
      <c r="B3272"/>
      <c r="C3272"/>
      <c r="E3272"/>
      <c r="F3272"/>
      <c r="G3272"/>
      <c r="H3272"/>
    </row>
    <row r="3273" spans="1:8">
      <c r="A3273"/>
      <c r="B3273"/>
      <c r="C3273"/>
      <c r="E3273"/>
      <c r="F3273"/>
      <c r="G3273"/>
      <c r="H3273"/>
    </row>
    <row r="3274" spans="1:8">
      <c r="A3274"/>
      <c r="B3274"/>
      <c r="C3274"/>
      <c r="E3274"/>
      <c r="F3274"/>
      <c r="G3274"/>
      <c r="H3274"/>
    </row>
    <row r="3275" spans="1:8">
      <c r="A3275"/>
      <c r="B3275"/>
      <c r="C3275"/>
      <c r="E3275"/>
      <c r="F3275"/>
      <c r="G3275"/>
      <c r="H3275"/>
    </row>
    <row r="3276" spans="1:8">
      <c r="A3276"/>
      <c r="B3276"/>
      <c r="C3276"/>
      <c r="E3276"/>
      <c r="F3276"/>
      <c r="G3276"/>
      <c r="H3276"/>
    </row>
    <row r="3277" spans="1:8">
      <c r="A3277"/>
      <c r="B3277"/>
      <c r="C3277"/>
      <c r="E3277"/>
      <c r="F3277"/>
      <c r="G3277"/>
      <c r="H3277"/>
    </row>
    <row r="3278" spans="1:8">
      <c r="A3278"/>
      <c r="B3278"/>
      <c r="C3278"/>
      <c r="E3278"/>
      <c r="F3278"/>
      <c r="G3278"/>
      <c r="H3278"/>
    </row>
    <row r="3279" spans="1:8">
      <c r="A3279"/>
      <c r="B3279"/>
      <c r="C3279"/>
      <c r="E3279"/>
      <c r="F3279"/>
      <c r="G3279"/>
      <c r="H3279"/>
    </row>
    <row r="3280" spans="1:8">
      <c r="A3280"/>
      <c r="B3280"/>
      <c r="C3280"/>
      <c r="E3280"/>
      <c r="F3280"/>
      <c r="G3280"/>
      <c r="H3280"/>
    </row>
    <row r="3281" spans="1:8">
      <c r="A3281"/>
      <c r="B3281"/>
      <c r="C3281"/>
      <c r="E3281"/>
      <c r="F3281"/>
      <c r="G3281"/>
      <c r="H3281"/>
    </row>
    <row r="3282" spans="1:8">
      <c r="A3282"/>
      <c r="B3282"/>
      <c r="C3282"/>
      <c r="E3282"/>
      <c r="F3282"/>
      <c r="G3282"/>
      <c r="H3282"/>
    </row>
    <row r="3283" spans="1:8">
      <c r="A3283"/>
      <c r="B3283"/>
      <c r="C3283"/>
      <c r="E3283"/>
      <c r="F3283"/>
      <c r="G3283"/>
      <c r="H3283"/>
    </row>
    <row r="3284" spans="1:8">
      <c r="A3284"/>
      <c r="B3284"/>
      <c r="C3284"/>
      <c r="E3284"/>
      <c r="F3284"/>
      <c r="G3284"/>
      <c r="H3284"/>
    </row>
    <row r="3285" spans="1:8">
      <c r="A3285"/>
      <c r="B3285"/>
      <c r="C3285"/>
      <c r="E3285"/>
      <c r="F3285"/>
      <c r="G3285"/>
      <c r="H3285"/>
    </row>
    <row r="3286" spans="1:8">
      <c r="A3286"/>
      <c r="B3286"/>
      <c r="C3286"/>
      <c r="E3286"/>
      <c r="F3286"/>
      <c r="G3286"/>
      <c r="H3286"/>
    </row>
    <row r="3287" spans="1:8">
      <c r="A3287"/>
      <c r="B3287"/>
      <c r="C3287"/>
      <c r="E3287"/>
      <c r="F3287"/>
      <c r="G3287"/>
      <c r="H3287"/>
    </row>
    <row r="3288" spans="1:8">
      <c r="A3288"/>
      <c r="B3288"/>
      <c r="C3288"/>
      <c r="E3288"/>
      <c r="F3288"/>
      <c r="G3288"/>
      <c r="H3288"/>
    </row>
    <row r="3289" spans="1:8">
      <c r="A3289"/>
      <c r="B3289"/>
      <c r="C3289"/>
      <c r="E3289"/>
      <c r="F3289"/>
      <c r="G3289"/>
      <c r="H3289"/>
    </row>
    <row r="3290" spans="1:8">
      <c r="A3290"/>
      <c r="B3290"/>
      <c r="C3290"/>
      <c r="E3290"/>
      <c r="F3290"/>
      <c r="G3290"/>
      <c r="H3290"/>
    </row>
    <row r="3291" spans="1:8">
      <c r="A3291"/>
      <c r="B3291"/>
      <c r="C3291"/>
      <c r="E3291"/>
      <c r="F3291"/>
      <c r="G3291"/>
      <c r="H3291"/>
    </row>
    <row r="3292" spans="1:8">
      <c r="A3292"/>
      <c r="B3292"/>
      <c r="C3292"/>
      <c r="E3292"/>
      <c r="F3292"/>
      <c r="G3292"/>
      <c r="H3292"/>
    </row>
    <row r="3293" spans="1:8">
      <c r="A3293"/>
      <c r="B3293"/>
      <c r="C3293"/>
      <c r="E3293"/>
      <c r="F3293"/>
      <c r="G3293"/>
      <c r="H3293"/>
    </row>
    <row r="3294" spans="1:8">
      <c r="A3294"/>
      <c r="B3294"/>
      <c r="C3294"/>
      <c r="E3294"/>
      <c r="F3294"/>
      <c r="G3294"/>
      <c r="H3294"/>
    </row>
    <row r="3295" spans="1:8">
      <c r="A3295"/>
      <c r="B3295"/>
      <c r="C3295"/>
      <c r="E3295"/>
      <c r="F3295"/>
      <c r="G3295"/>
      <c r="H3295"/>
    </row>
    <row r="3296" spans="1:8">
      <c r="A3296"/>
      <c r="B3296"/>
      <c r="C3296"/>
      <c r="E3296"/>
      <c r="F3296"/>
      <c r="G3296"/>
      <c r="H3296"/>
    </row>
    <row r="3297" spans="1:8">
      <c r="A3297"/>
      <c r="B3297"/>
      <c r="C3297"/>
      <c r="E3297"/>
      <c r="F3297"/>
      <c r="G3297"/>
      <c r="H3297"/>
    </row>
    <row r="3298" spans="1:8">
      <c r="A3298"/>
      <c r="B3298"/>
      <c r="C3298"/>
      <c r="E3298"/>
      <c r="F3298"/>
      <c r="G3298"/>
      <c r="H3298"/>
    </row>
    <row r="3299" spans="1:8">
      <c r="A3299"/>
      <c r="B3299"/>
      <c r="C3299"/>
      <c r="E3299"/>
      <c r="F3299"/>
      <c r="G3299"/>
      <c r="H3299"/>
    </row>
    <row r="3300" spans="1:8">
      <c r="A3300"/>
      <c r="B3300"/>
      <c r="C3300"/>
      <c r="E3300"/>
      <c r="F3300"/>
      <c r="G3300"/>
      <c r="H3300"/>
    </row>
    <row r="3301" spans="1:8">
      <c r="A3301"/>
      <c r="B3301"/>
      <c r="C3301"/>
      <c r="E3301"/>
      <c r="F3301"/>
      <c r="G3301"/>
      <c r="H3301"/>
    </row>
    <row r="3302" spans="1:8">
      <c r="A3302"/>
      <c r="B3302"/>
      <c r="C3302"/>
      <c r="E3302"/>
      <c r="F3302"/>
      <c r="G3302"/>
      <c r="H3302"/>
    </row>
    <row r="3303" spans="1:8">
      <c r="A3303"/>
      <c r="B3303"/>
      <c r="C3303"/>
      <c r="E3303"/>
      <c r="F3303"/>
      <c r="G3303"/>
      <c r="H3303"/>
    </row>
    <row r="3304" spans="1:8">
      <c r="A3304"/>
      <c r="B3304"/>
      <c r="C3304"/>
      <c r="E3304"/>
      <c r="F3304"/>
      <c r="G3304"/>
      <c r="H3304"/>
    </row>
    <row r="3305" spans="1:8">
      <c r="A3305"/>
      <c r="B3305"/>
      <c r="C3305"/>
      <c r="E3305"/>
      <c r="F3305"/>
      <c r="G3305"/>
      <c r="H3305"/>
    </row>
    <row r="3306" spans="1:8">
      <c r="A3306"/>
      <c r="B3306"/>
      <c r="C3306"/>
      <c r="E3306"/>
      <c r="F3306"/>
      <c r="G3306"/>
      <c r="H3306"/>
    </row>
    <row r="3307" spans="1:8">
      <c r="A3307"/>
      <c r="B3307"/>
      <c r="C3307"/>
      <c r="E3307"/>
      <c r="F3307"/>
      <c r="G3307"/>
      <c r="H3307"/>
    </row>
    <row r="3308" spans="1:8">
      <c r="A3308"/>
      <c r="B3308"/>
      <c r="C3308"/>
      <c r="E3308"/>
      <c r="F3308"/>
      <c r="G3308"/>
      <c r="H3308"/>
    </row>
    <row r="3309" spans="1:8">
      <c r="A3309"/>
      <c r="B3309"/>
      <c r="C3309"/>
      <c r="E3309"/>
      <c r="F3309"/>
      <c r="G3309"/>
      <c r="H3309"/>
    </row>
    <row r="3310" spans="1:8">
      <c r="A3310"/>
      <c r="B3310"/>
      <c r="C3310"/>
      <c r="E3310"/>
      <c r="F3310"/>
      <c r="G3310"/>
      <c r="H3310"/>
    </row>
    <row r="3311" spans="1:8">
      <c r="A3311"/>
      <c r="B3311"/>
      <c r="C3311"/>
      <c r="E3311"/>
      <c r="F3311"/>
      <c r="G3311"/>
      <c r="H3311"/>
    </row>
    <row r="3312" spans="1:8">
      <c r="A3312"/>
      <c r="B3312"/>
      <c r="C3312"/>
      <c r="E3312"/>
      <c r="F3312"/>
      <c r="G3312"/>
      <c r="H3312"/>
    </row>
    <row r="3313" spans="1:8">
      <c r="A3313"/>
      <c r="B3313"/>
      <c r="C3313"/>
      <c r="E3313"/>
      <c r="F3313"/>
      <c r="G3313"/>
      <c r="H3313"/>
    </row>
    <row r="3314" spans="1:8">
      <c r="A3314"/>
      <c r="B3314"/>
      <c r="C3314"/>
      <c r="E3314"/>
      <c r="F3314"/>
      <c r="G3314"/>
      <c r="H3314"/>
    </row>
    <row r="3315" spans="1:8">
      <c r="A3315"/>
      <c r="B3315"/>
      <c r="C3315"/>
      <c r="E3315"/>
      <c r="F3315"/>
      <c r="G3315"/>
      <c r="H3315"/>
    </row>
    <row r="3316" spans="1:8">
      <c r="A3316"/>
      <c r="B3316"/>
      <c r="C3316"/>
      <c r="E3316"/>
      <c r="F3316"/>
      <c r="G3316"/>
      <c r="H3316"/>
    </row>
    <row r="3317" spans="1:8">
      <c r="A3317"/>
      <c r="B3317"/>
      <c r="C3317"/>
      <c r="E3317"/>
      <c r="F3317"/>
      <c r="G3317"/>
      <c r="H3317"/>
    </row>
    <row r="3318" spans="1:8">
      <c r="A3318"/>
      <c r="B3318"/>
      <c r="C3318"/>
      <c r="E3318"/>
      <c r="F3318"/>
      <c r="G3318"/>
      <c r="H3318"/>
    </row>
    <row r="3319" spans="1:8">
      <c r="A3319"/>
      <c r="B3319"/>
      <c r="C3319"/>
      <c r="E3319"/>
      <c r="F3319"/>
      <c r="G3319"/>
      <c r="H3319"/>
    </row>
    <row r="3320" spans="1:8">
      <c r="A3320"/>
      <c r="B3320"/>
      <c r="C3320"/>
      <c r="E3320"/>
      <c r="F3320"/>
      <c r="G3320"/>
      <c r="H3320"/>
    </row>
    <row r="3321" spans="1:8">
      <c r="A3321"/>
      <c r="B3321"/>
      <c r="C3321"/>
      <c r="E3321"/>
      <c r="F3321"/>
      <c r="G3321"/>
      <c r="H3321"/>
    </row>
    <row r="3322" spans="1:8">
      <c r="A3322"/>
      <c r="B3322"/>
      <c r="C3322"/>
      <c r="E3322"/>
      <c r="F3322"/>
      <c r="G3322"/>
      <c r="H3322"/>
    </row>
    <row r="3323" spans="1:8">
      <c r="A3323"/>
      <c r="B3323"/>
      <c r="C3323"/>
      <c r="E3323"/>
      <c r="F3323"/>
      <c r="G3323"/>
      <c r="H3323"/>
    </row>
    <row r="3324" spans="1:8">
      <c r="A3324"/>
      <c r="B3324"/>
      <c r="C3324"/>
      <c r="E3324"/>
      <c r="F3324"/>
      <c r="G3324"/>
      <c r="H3324"/>
    </row>
    <row r="3325" spans="1:8">
      <c r="A3325"/>
      <c r="B3325"/>
      <c r="C3325"/>
      <c r="E3325"/>
      <c r="F3325"/>
      <c r="G3325"/>
      <c r="H3325"/>
    </row>
    <row r="3326" spans="1:8">
      <c r="A3326"/>
      <c r="B3326"/>
      <c r="C3326"/>
      <c r="E3326"/>
      <c r="F3326"/>
      <c r="G3326"/>
      <c r="H3326"/>
    </row>
    <row r="3327" spans="1:8">
      <c r="A3327"/>
      <c r="B3327"/>
      <c r="C3327"/>
      <c r="E3327"/>
      <c r="F3327"/>
      <c r="G3327"/>
      <c r="H3327"/>
    </row>
    <row r="3328" spans="1:8">
      <c r="A3328"/>
      <c r="B3328"/>
      <c r="C3328"/>
      <c r="E3328"/>
      <c r="F3328"/>
      <c r="G3328"/>
      <c r="H3328"/>
    </row>
    <row r="3329" spans="1:8">
      <c r="A3329"/>
      <c r="B3329"/>
      <c r="C3329"/>
      <c r="E3329"/>
      <c r="F3329"/>
      <c r="G3329"/>
      <c r="H3329"/>
    </row>
    <row r="3330" spans="1:8">
      <c r="A3330"/>
      <c r="B3330"/>
      <c r="C3330"/>
      <c r="E3330"/>
      <c r="F3330"/>
      <c r="G3330"/>
      <c r="H3330"/>
    </row>
    <row r="3331" spans="1:8">
      <c r="A3331"/>
      <c r="B3331"/>
      <c r="C3331"/>
      <c r="E3331"/>
      <c r="F3331"/>
      <c r="G3331"/>
      <c r="H3331"/>
    </row>
    <row r="3332" spans="1:8">
      <c r="A3332"/>
      <c r="B3332"/>
      <c r="C3332"/>
      <c r="E3332"/>
      <c r="F3332"/>
      <c r="G3332"/>
      <c r="H3332"/>
    </row>
    <row r="3333" spans="1:8">
      <c r="A3333"/>
      <c r="B3333"/>
      <c r="C3333"/>
      <c r="E3333"/>
      <c r="F3333"/>
      <c r="G3333"/>
      <c r="H3333"/>
    </row>
    <row r="3334" spans="1:8">
      <c r="A3334"/>
      <c r="B3334"/>
      <c r="C3334"/>
      <c r="E3334"/>
      <c r="F3334"/>
      <c r="G3334"/>
      <c r="H3334"/>
    </row>
    <row r="3335" spans="1:8">
      <c r="A3335"/>
      <c r="B3335"/>
      <c r="C3335"/>
      <c r="E3335"/>
      <c r="F3335"/>
      <c r="G3335"/>
      <c r="H3335"/>
    </row>
    <row r="3336" spans="1:8">
      <c r="A3336"/>
      <c r="B3336"/>
      <c r="C3336"/>
      <c r="E3336"/>
      <c r="F3336"/>
      <c r="G3336"/>
      <c r="H3336"/>
    </row>
    <row r="3337" spans="1:8">
      <c r="A3337"/>
      <c r="B3337"/>
      <c r="C3337"/>
      <c r="E3337"/>
      <c r="F3337"/>
      <c r="G3337"/>
      <c r="H3337"/>
    </row>
    <row r="3338" spans="1:8">
      <c r="A3338"/>
      <c r="B3338"/>
      <c r="C3338"/>
      <c r="E3338"/>
      <c r="F3338"/>
      <c r="G3338"/>
      <c r="H3338"/>
    </row>
    <row r="3339" spans="1:8">
      <c r="A3339"/>
      <c r="B3339"/>
      <c r="C3339"/>
      <c r="E3339"/>
      <c r="F3339"/>
      <c r="G3339"/>
      <c r="H3339"/>
    </row>
    <row r="3340" spans="1:8">
      <c r="A3340"/>
      <c r="B3340"/>
      <c r="C3340"/>
      <c r="E3340"/>
      <c r="F3340"/>
      <c r="G3340"/>
      <c r="H3340"/>
    </row>
    <row r="3341" spans="1:8">
      <c r="A3341"/>
      <c r="B3341"/>
      <c r="C3341"/>
      <c r="E3341"/>
      <c r="F3341"/>
      <c r="G3341"/>
      <c r="H3341"/>
    </row>
    <row r="3342" spans="1:8">
      <c r="A3342"/>
      <c r="B3342"/>
      <c r="C3342"/>
      <c r="E3342"/>
      <c r="F3342"/>
      <c r="G3342"/>
      <c r="H3342"/>
    </row>
    <row r="3343" spans="1:8">
      <c r="A3343"/>
      <c r="B3343"/>
      <c r="C3343"/>
      <c r="E3343"/>
      <c r="F3343"/>
      <c r="G3343"/>
      <c r="H3343"/>
    </row>
    <row r="3344" spans="1:8">
      <c r="A3344"/>
      <c r="B3344"/>
      <c r="C3344"/>
      <c r="E3344"/>
      <c r="F3344"/>
      <c r="G3344"/>
      <c r="H3344"/>
    </row>
    <row r="3345" spans="1:8">
      <c r="A3345"/>
      <c r="B3345"/>
      <c r="C3345"/>
      <c r="E3345"/>
      <c r="F3345"/>
      <c r="G3345"/>
      <c r="H3345"/>
    </row>
    <row r="3346" spans="1:8">
      <c r="A3346"/>
      <c r="B3346"/>
      <c r="C3346"/>
      <c r="E3346"/>
      <c r="F3346"/>
      <c r="G3346"/>
      <c r="H3346"/>
    </row>
    <row r="3347" spans="1:8">
      <c r="A3347"/>
      <c r="B3347"/>
      <c r="C3347"/>
      <c r="E3347"/>
      <c r="F3347"/>
      <c r="G3347"/>
      <c r="H3347"/>
    </row>
    <row r="3348" spans="1:8">
      <c r="A3348"/>
      <c r="B3348"/>
      <c r="C3348"/>
      <c r="E3348"/>
      <c r="F3348"/>
      <c r="G3348"/>
      <c r="H3348"/>
    </row>
    <row r="3349" spans="1:8">
      <c r="A3349"/>
      <c r="B3349"/>
      <c r="C3349"/>
      <c r="E3349"/>
      <c r="F3349"/>
      <c r="G3349"/>
      <c r="H3349"/>
    </row>
    <row r="3350" spans="1:8">
      <c r="A3350"/>
      <c r="B3350"/>
      <c r="C3350"/>
      <c r="E3350"/>
      <c r="F3350"/>
      <c r="G3350"/>
      <c r="H3350"/>
    </row>
    <row r="3351" spans="1:8">
      <c r="A3351"/>
      <c r="B3351"/>
      <c r="C3351"/>
      <c r="E3351"/>
      <c r="F3351"/>
      <c r="G3351"/>
      <c r="H3351"/>
    </row>
    <row r="3352" spans="1:8">
      <c r="A3352"/>
      <c r="B3352"/>
      <c r="C3352"/>
      <c r="E3352"/>
      <c r="F3352"/>
      <c r="G3352"/>
      <c r="H3352"/>
    </row>
    <row r="3353" spans="1:8">
      <c r="A3353"/>
      <c r="B3353"/>
      <c r="C3353"/>
      <c r="E3353"/>
      <c r="F3353"/>
      <c r="G3353"/>
      <c r="H3353"/>
    </row>
    <row r="3354" spans="1:8">
      <c r="A3354"/>
      <c r="B3354"/>
      <c r="C3354"/>
      <c r="E3354"/>
      <c r="F3354"/>
      <c r="G3354"/>
      <c r="H3354"/>
    </row>
    <row r="3355" spans="1:8">
      <c r="A3355"/>
      <c r="B3355"/>
      <c r="C3355"/>
      <c r="E3355"/>
      <c r="F3355"/>
      <c r="G3355"/>
      <c r="H3355"/>
    </row>
    <row r="3356" spans="1:8">
      <c r="A3356"/>
      <c r="B3356"/>
      <c r="C3356"/>
      <c r="E3356"/>
      <c r="F3356"/>
      <c r="G3356"/>
      <c r="H3356"/>
    </row>
    <row r="3357" spans="1:8">
      <c r="A3357"/>
      <c r="B3357"/>
      <c r="C3357"/>
      <c r="E3357"/>
      <c r="F3357"/>
      <c r="G3357"/>
      <c r="H3357"/>
    </row>
    <row r="3358" spans="1:8">
      <c r="A3358"/>
      <c r="B3358"/>
      <c r="C3358"/>
      <c r="E3358"/>
      <c r="F3358"/>
      <c r="G3358"/>
      <c r="H3358"/>
    </row>
    <row r="3359" spans="1:8">
      <c r="A3359"/>
      <c r="B3359"/>
      <c r="C3359"/>
      <c r="E3359"/>
      <c r="F3359"/>
      <c r="G3359"/>
      <c r="H3359"/>
    </row>
    <row r="3360" spans="1:8">
      <c r="A3360"/>
      <c r="B3360"/>
      <c r="C3360"/>
      <c r="E3360"/>
      <c r="F3360"/>
      <c r="G3360"/>
      <c r="H3360"/>
    </row>
    <row r="3361" spans="1:8">
      <c r="A3361"/>
      <c r="B3361"/>
      <c r="C3361"/>
      <c r="E3361"/>
      <c r="F3361"/>
      <c r="G3361"/>
      <c r="H3361"/>
    </row>
    <row r="3362" spans="1:8">
      <c r="A3362"/>
      <c r="B3362"/>
      <c r="C3362"/>
      <c r="E3362"/>
      <c r="F3362"/>
      <c r="G3362"/>
      <c r="H3362"/>
    </row>
    <row r="3363" spans="1:8">
      <c r="A3363"/>
      <c r="B3363"/>
      <c r="C3363"/>
      <c r="E3363"/>
      <c r="F3363"/>
      <c r="G3363"/>
      <c r="H3363"/>
    </row>
    <row r="3364" spans="1:8">
      <c r="A3364"/>
      <c r="B3364"/>
      <c r="C3364"/>
      <c r="E3364"/>
      <c r="F3364"/>
      <c r="G3364"/>
      <c r="H3364"/>
    </row>
    <row r="3365" spans="1:8">
      <c r="A3365"/>
      <c r="B3365"/>
      <c r="C3365"/>
      <c r="E3365"/>
      <c r="F3365"/>
      <c r="G3365"/>
      <c r="H3365"/>
    </row>
    <row r="3366" spans="1:8">
      <c r="A3366"/>
      <c r="B3366"/>
      <c r="C3366"/>
      <c r="E3366"/>
      <c r="F3366"/>
      <c r="G3366"/>
      <c r="H3366"/>
    </row>
    <row r="3367" spans="1:8">
      <c r="A3367"/>
      <c r="B3367"/>
      <c r="C3367"/>
      <c r="E3367"/>
      <c r="F3367"/>
      <c r="G3367"/>
      <c r="H3367"/>
    </row>
    <row r="3368" spans="1:8">
      <c r="A3368"/>
      <c r="B3368"/>
      <c r="C3368"/>
      <c r="E3368"/>
      <c r="F3368"/>
      <c r="G3368"/>
      <c r="H3368"/>
    </row>
    <row r="3369" spans="1:8">
      <c r="A3369"/>
      <c r="B3369"/>
      <c r="C3369"/>
      <c r="E3369"/>
      <c r="F3369"/>
      <c r="G3369"/>
      <c r="H3369"/>
    </row>
    <row r="3370" spans="1:8">
      <c r="A3370"/>
      <c r="B3370"/>
      <c r="C3370"/>
      <c r="E3370"/>
      <c r="F3370"/>
      <c r="G3370"/>
      <c r="H3370"/>
    </row>
    <row r="3371" spans="1:8">
      <c r="A3371"/>
      <c r="B3371"/>
      <c r="C3371"/>
      <c r="E3371"/>
      <c r="F3371"/>
      <c r="G3371"/>
      <c r="H3371"/>
    </row>
    <row r="3372" spans="1:8">
      <c r="A3372"/>
      <c r="B3372"/>
      <c r="C3372"/>
      <c r="E3372"/>
      <c r="F3372"/>
      <c r="G3372"/>
      <c r="H3372"/>
    </row>
    <row r="3373" spans="1:8">
      <c r="A3373"/>
      <c r="B3373"/>
      <c r="C3373"/>
      <c r="E3373"/>
      <c r="F3373"/>
      <c r="G3373"/>
      <c r="H3373"/>
    </row>
    <row r="3374" spans="1:8">
      <c r="A3374"/>
      <c r="B3374"/>
      <c r="C3374"/>
      <c r="E3374"/>
      <c r="F3374"/>
      <c r="G3374"/>
      <c r="H3374"/>
    </row>
    <row r="3375" spans="1:8">
      <c r="A3375"/>
      <c r="B3375"/>
      <c r="C3375"/>
      <c r="E3375"/>
      <c r="F3375"/>
      <c r="G3375"/>
      <c r="H3375"/>
    </row>
    <row r="3376" spans="1:8">
      <c r="A3376"/>
      <c r="B3376"/>
      <c r="C3376"/>
      <c r="E3376"/>
      <c r="F3376"/>
      <c r="G3376"/>
      <c r="H3376"/>
    </row>
    <row r="3377" spans="1:8">
      <c r="A3377"/>
      <c r="B3377"/>
      <c r="C3377"/>
      <c r="E3377"/>
      <c r="F3377"/>
      <c r="G3377"/>
      <c r="H3377"/>
    </row>
    <row r="3378" spans="1:8">
      <c r="A3378"/>
      <c r="B3378"/>
      <c r="C3378"/>
      <c r="E3378"/>
      <c r="F3378"/>
      <c r="G3378"/>
      <c r="H3378"/>
    </row>
    <row r="3379" spans="1:8">
      <c r="A3379"/>
      <c r="B3379"/>
      <c r="C3379"/>
      <c r="E3379"/>
      <c r="F3379"/>
      <c r="G3379"/>
      <c r="H3379"/>
    </row>
    <row r="3380" spans="1:8">
      <c r="A3380"/>
      <c r="B3380"/>
      <c r="C3380"/>
      <c r="E3380"/>
      <c r="F3380"/>
      <c r="G3380"/>
      <c r="H3380"/>
    </row>
    <row r="3381" spans="1:8">
      <c r="A3381"/>
      <c r="B3381"/>
      <c r="C3381"/>
      <c r="E3381"/>
      <c r="F3381"/>
      <c r="G3381"/>
      <c r="H3381"/>
    </row>
    <row r="3382" spans="1:8">
      <c r="A3382"/>
      <c r="B3382"/>
      <c r="C3382"/>
      <c r="E3382"/>
      <c r="F3382"/>
      <c r="G3382"/>
      <c r="H3382"/>
    </row>
    <row r="3383" spans="1:8">
      <c r="A3383"/>
      <c r="B3383"/>
      <c r="C3383"/>
      <c r="E3383"/>
      <c r="F3383"/>
      <c r="G3383"/>
      <c r="H3383"/>
    </row>
    <row r="3384" spans="1:8">
      <c r="A3384"/>
      <c r="B3384"/>
      <c r="C3384"/>
      <c r="E3384"/>
      <c r="F3384"/>
      <c r="G3384"/>
      <c r="H3384"/>
    </row>
    <row r="3385" spans="1:8">
      <c r="A3385"/>
      <c r="B3385"/>
      <c r="C3385"/>
      <c r="E3385"/>
      <c r="F3385"/>
      <c r="G3385"/>
      <c r="H3385"/>
    </row>
    <row r="3386" spans="1:8">
      <c r="A3386"/>
      <c r="B3386"/>
      <c r="C3386"/>
      <c r="E3386"/>
      <c r="F3386"/>
      <c r="G3386"/>
      <c r="H3386"/>
    </row>
    <row r="3387" spans="1:8">
      <c r="A3387"/>
      <c r="B3387"/>
      <c r="C3387"/>
      <c r="E3387"/>
      <c r="F3387"/>
      <c r="G3387"/>
      <c r="H3387"/>
    </row>
    <row r="3388" spans="1:8">
      <c r="A3388"/>
      <c r="B3388"/>
      <c r="C3388"/>
      <c r="E3388"/>
      <c r="F3388"/>
      <c r="G3388"/>
      <c r="H3388"/>
    </row>
    <row r="3389" spans="1:8">
      <c r="A3389"/>
      <c r="B3389"/>
      <c r="C3389"/>
      <c r="E3389"/>
      <c r="F3389"/>
      <c r="G3389"/>
      <c r="H3389"/>
    </row>
    <row r="3390" spans="1:8">
      <c r="A3390"/>
      <c r="B3390"/>
      <c r="C3390"/>
      <c r="E3390"/>
      <c r="F3390"/>
      <c r="G3390"/>
      <c r="H3390"/>
    </row>
    <row r="3391" spans="1:8">
      <c r="A3391"/>
      <c r="B3391"/>
      <c r="C3391"/>
      <c r="E3391"/>
      <c r="F3391"/>
      <c r="G3391"/>
      <c r="H3391"/>
    </row>
    <row r="3392" spans="1:8">
      <c r="A3392"/>
      <c r="B3392"/>
      <c r="C3392"/>
      <c r="E3392"/>
      <c r="F3392"/>
      <c r="G3392"/>
      <c r="H3392"/>
    </row>
    <row r="3393" spans="1:8">
      <c r="A3393"/>
      <c r="B3393"/>
      <c r="C3393"/>
      <c r="E3393"/>
      <c r="F3393"/>
      <c r="G3393"/>
      <c r="H3393"/>
    </row>
    <row r="3394" spans="1:8">
      <c r="A3394"/>
      <c r="B3394"/>
      <c r="C3394"/>
      <c r="E3394"/>
      <c r="F3394"/>
      <c r="G3394"/>
      <c r="H3394"/>
    </row>
    <row r="3395" spans="1:8">
      <c r="A3395"/>
      <c r="B3395"/>
      <c r="C3395"/>
      <c r="E3395"/>
      <c r="F3395"/>
      <c r="G3395"/>
      <c r="H3395"/>
    </row>
    <row r="3396" spans="1:8">
      <c r="A3396"/>
      <c r="B3396"/>
      <c r="C3396"/>
      <c r="E3396"/>
      <c r="F3396"/>
      <c r="G3396"/>
      <c r="H3396"/>
    </row>
    <row r="3397" spans="1:8">
      <c r="A3397"/>
      <c r="B3397"/>
      <c r="C3397"/>
      <c r="E3397"/>
      <c r="F3397"/>
      <c r="G3397"/>
      <c r="H3397"/>
    </row>
    <row r="3398" spans="1:8">
      <c r="A3398"/>
      <c r="B3398"/>
      <c r="C3398"/>
      <c r="E3398"/>
      <c r="F3398"/>
      <c r="G3398"/>
      <c r="H3398"/>
    </row>
    <row r="3399" spans="1:8">
      <c r="A3399"/>
      <c r="B3399"/>
      <c r="C3399"/>
      <c r="E3399"/>
      <c r="F3399"/>
      <c r="G3399"/>
      <c r="H3399"/>
    </row>
    <row r="3400" spans="1:8">
      <c r="A3400"/>
      <c r="B3400"/>
      <c r="C3400"/>
      <c r="E3400"/>
      <c r="F3400"/>
      <c r="G3400"/>
      <c r="H3400"/>
    </row>
    <row r="3401" spans="1:8">
      <c r="A3401"/>
      <c r="B3401"/>
      <c r="C3401"/>
      <c r="E3401"/>
      <c r="F3401"/>
      <c r="G3401"/>
      <c r="H3401"/>
    </row>
    <row r="3402" spans="1:8">
      <c r="A3402"/>
      <c r="B3402"/>
      <c r="C3402"/>
      <c r="E3402"/>
      <c r="F3402"/>
      <c r="G3402"/>
      <c r="H3402"/>
    </row>
    <row r="3403" spans="1:8">
      <c r="A3403"/>
      <c r="B3403"/>
      <c r="C3403"/>
      <c r="E3403"/>
      <c r="F3403"/>
      <c r="G3403"/>
      <c r="H3403"/>
    </row>
    <row r="3404" spans="1:8">
      <c r="A3404"/>
      <c r="B3404"/>
      <c r="C3404"/>
      <c r="E3404"/>
      <c r="F3404"/>
      <c r="G3404"/>
      <c r="H3404"/>
    </row>
    <row r="3405" spans="1:8">
      <c r="A3405"/>
      <c r="B3405"/>
      <c r="C3405"/>
      <c r="E3405"/>
      <c r="F3405"/>
      <c r="G3405"/>
      <c r="H3405"/>
    </row>
    <row r="3406" spans="1:8">
      <c r="A3406"/>
      <c r="B3406"/>
      <c r="C3406"/>
      <c r="E3406"/>
      <c r="F3406"/>
      <c r="G3406"/>
      <c r="H3406"/>
    </row>
    <row r="3407" spans="1:8">
      <c r="A3407"/>
      <c r="B3407"/>
      <c r="C3407"/>
      <c r="E3407"/>
      <c r="F3407"/>
      <c r="G3407"/>
      <c r="H3407"/>
    </row>
    <row r="3408" spans="1:8">
      <c r="A3408"/>
      <c r="B3408"/>
      <c r="C3408"/>
      <c r="E3408"/>
      <c r="F3408"/>
      <c r="G3408"/>
      <c r="H3408"/>
    </row>
    <row r="3409" spans="1:8">
      <c r="A3409"/>
      <c r="B3409"/>
      <c r="C3409"/>
      <c r="E3409"/>
      <c r="F3409"/>
      <c r="G3409"/>
      <c r="H3409"/>
    </row>
    <row r="3410" spans="1:8">
      <c r="A3410"/>
      <c r="B3410"/>
      <c r="C3410"/>
      <c r="E3410"/>
      <c r="F3410"/>
      <c r="G3410"/>
      <c r="H3410"/>
    </row>
    <row r="3411" spans="1:8">
      <c r="A3411"/>
      <c r="B3411"/>
      <c r="C3411"/>
      <c r="E3411"/>
      <c r="F3411"/>
      <c r="G3411"/>
      <c r="H3411"/>
    </row>
    <row r="3412" spans="1:8">
      <c r="A3412"/>
      <c r="B3412"/>
      <c r="C3412"/>
      <c r="E3412"/>
      <c r="F3412"/>
      <c r="G3412"/>
      <c r="H3412"/>
    </row>
    <row r="3413" spans="1:8">
      <c r="A3413"/>
      <c r="B3413"/>
      <c r="C3413"/>
      <c r="E3413"/>
      <c r="F3413"/>
      <c r="G3413"/>
      <c r="H3413"/>
    </row>
    <row r="3414" spans="1:8">
      <c r="A3414"/>
      <c r="B3414"/>
      <c r="C3414"/>
      <c r="E3414"/>
      <c r="F3414"/>
      <c r="G3414"/>
      <c r="H3414"/>
    </row>
    <row r="3415" spans="1:8">
      <c r="A3415"/>
      <c r="B3415"/>
      <c r="C3415"/>
      <c r="E3415"/>
      <c r="F3415"/>
      <c r="G3415"/>
      <c r="H3415"/>
    </row>
    <row r="3416" spans="1:8">
      <c r="A3416"/>
      <c r="B3416"/>
      <c r="C3416"/>
      <c r="E3416"/>
      <c r="F3416"/>
      <c r="G3416"/>
      <c r="H3416"/>
    </row>
    <row r="3417" spans="1:8">
      <c r="A3417"/>
      <c r="B3417"/>
      <c r="C3417"/>
      <c r="E3417"/>
      <c r="F3417"/>
      <c r="G3417"/>
      <c r="H3417"/>
    </row>
    <row r="3418" spans="1:8">
      <c r="A3418"/>
      <c r="B3418"/>
      <c r="C3418"/>
      <c r="E3418"/>
      <c r="F3418"/>
      <c r="G3418"/>
      <c r="H3418"/>
    </row>
    <row r="3419" spans="1:8">
      <c r="A3419"/>
      <c r="B3419"/>
      <c r="C3419"/>
      <c r="E3419"/>
      <c r="F3419"/>
      <c r="G3419"/>
      <c r="H3419"/>
    </row>
    <row r="3420" spans="1:8">
      <c r="A3420"/>
      <c r="B3420"/>
      <c r="C3420"/>
      <c r="E3420"/>
      <c r="F3420"/>
      <c r="G3420"/>
      <c r="H3420"/>
    </row>
    <row r="3421" spans="1:8">
      <c r="A3421"/>
      <c r="B3421"/>
      <c r="C3421"/>
      <c r="E3421"/>
      <c r="F3421"/>
      <c r="G3421"/>
      <c r="H3421"/>
    </row>
    <row r="3422" spans="1:8">
      <c r="A3422"/>
      <c r="B3422"/>
      <c r="C3422"/>
      <c r="E3422"/>
      <c r="F3422"/>
      <c r="G3422"/>
      <c r="H3422"/>
    </row>
    <row r="3423" spans="1:8">
      <c r="A3423"/>
      <c r="B3423"/>
      <c r="C3423"/>
      <c r="E3423"/>
      <c r="F3423"/>
      <c r="G3423"/>
      <c r="H3423"/>
    </row>
    <row r="3424" spans="1:8">
      <c r="A3424"/>
      <c r="B3424"/>
      <c r="C3424"/>
      <c r="E3424"/>
      <c r="F3424"/>
      <c r="G3424"/>
      <c r="H3424"/>
    </row>
    <row r="3425" spans="1:8">
      <c r="A3425"/>
      <c r="B3425"/>
      <c r="C3425"/>
      <c r="E3425"/>
      <c r="F3425"/>
      <c r="G3425"/>
      <c r="H3425"/>
    </row>
    <row r="3426" spans="1:8">
      <c r="A3426"/>
      <c r="B3426"/>
      <c r="C3426"/>
      <c r="E3426"/>
      <c r="F3426"/>
      <c r="G3426"/>
      <c r="H3426"/>
    </row>
    <row r="3427" spans="1:8">
      <c r="A3427"/>
      <c r="B3427"/>
      <c r="C3427"/>
      <c r="E3427"/>
      <c r="F3427"/>
      <c r="G3427"/>
      <c r="H3427"/>
    </row>
    <row r="3428" spans="1:8">
      <c r="A3428"/>
      <c r="B3428"/>
      <c r="C3428"/>
      <c r="E3428"/>
      <c r="F3428"/>
      <c r="G3428"/>
      <c r="H3428"/>
    </row>
    <row r="3429" spans="1:8">
      <c r="A3429"/>
      <c r="B3429"/>
      <c r="C3429"/>
      <c r="E3429"/>
      <c r="F3429"/>
      <c r="G3429"/>
      <c r="H3429"/>
    </row>
    <row r="3430" spans="1:8">
      <c r="A3430"/>
      <c r="B3430"/>
      <c r="C3430"/>
      <c r="E3430"/>
      <c r="F3430"/>
      <c r="G3430"/>
      <c r="H3430"/>
    </row>
    <row r="3431" spans="1:8">
      <c r="A3431"/>
      <c r="B3431"/>
      <c r="C3431"/>
      <c r="E3431"/>
      <c r="F3431"/>
      <c r="G3431"/>
      <c r="H3431"/>
    </row>
    <row r="3432" spans="1:8">
      <c r="A3432"/>
      <c r="B3432"/>
      <c r="C3432"/>
      <c r="E3432"/>
      <c r="F3432"/>
      <c r="G3432"/>
      <c r="H3432"/>
    </row>
    <row r="3433" spans="1:8">
      <c r="A3433"/>
      <c r="B3433"/>
      <c r="C3433"/>
      <c r="E3433"/>
      <c r="F3433"/>
      <c r="G3433"/>
      <c r="H3433"/>
    </row>
    <row r="3434" spans="1:8">
      <c r="A3434"/>
      <c r="B3434"/>
      <c r="C3434"/>
      <c r="E3434"/>
      <c r="F3434"/>
      <c r="G3434"/>
      <c r="H3434"/>
    </row>
    <row r="3435" spans="1:8">
      <c r="A3435"/>
      <c r="B3435"/>
      <c r="C3435"/>
      <c r="E3435"/>
      <c r="F3435"/>
      <c r="G3435"/>
      <c r="H3435"/>
    </row>
    <row r="3436" spans="1:8">
      <c r="A3436"/>
      <c r="B3436"/>
      <c r="C3436"/>
      <c r="E3436"/>
      <c r="F3436"/>
      <c r="G3436"/>
      <c r="H3436"/>
    </row>
    <row r="3437" spans="1:8">
      <c r="A3437"/>
      <c r="B3437"/>
      <c r="C3437"/>
      <c r="E3437"/>
      <c r="F3437"/>
      <c r="G3437"/>
      <c r="H3437"/>
    </row>
    <row r="3438" spans="1:8">
      <c r="A3438"/>
      <c r="B3438"/>
      <c r="C3438"/>
      <c r="E3438"/>
      <c r="F3438"/>
      <c r="G3438"/>
      <c r="H3438"/>
    </row>
    <row r="3439" spans="1:8">
      <c r="A3439"/>
      <c r="B3439"/>
      <c r="C3439"/>
      <c r="E3439"/>
      <c r="F3439"/>
      <c r="G3439"/>
      <c r="H3439"/>
    </row>
    <row r="3440" spans="1:8">
      <c r="A3440"/>
      <c r="B3440"/>
      <c r="C3440"/>
      <c r="E3440"/>
      <c r="F3440"/>
      <c r="G3440"/>
      <c r="H3440"/>
    </row>
    <row r="3441" spans="1:8">
      <c r="A3441"/>
      <c r="B3441"/>
      <c r="C3441"/>
      <c r="E3441"/>
      <c r="F3441"/>
      <c r="G3441"/>
      <c r="H3441"/>
    </row>
    <row r="3442" spans="1:8">
      <c r="A3442"/>
      <c r="B3442"/>
      <c r="C3442"/>
      <c r="E3442"/>
      <c r="F3442"/>
      <c r="G3442"/>
      <c r="H3442"/>
    </row>
    <row r="3443" spans="1:8">
      <c r="A3443"/>
      <c r="B3443"/>
      <c r="C3443"/>
      <c r="E3443"/>
      <c r="F3443"/>
      <c r="G3443"/>
      <c r="H3443"/>
    </row>
    <row r="3444" spans="1:8">
      <c r="A3444"/>
      <c r="B3444"/>
      <c r="C3444"/>
      <c r="E3444"/>
      <c r="F3444"/>
      <c r="G3444"/>
      <c r="H3444"/>
    </row>
    <row r="3445" spans="1:8">
      <c r="A3445"/>
      <c r="B3445"/>
      <c r="C3445"/>
      <c r="E3445"/>
      <c r="F3445"/>
      <c r="G3445"/>
      <c r="H3445"/>
    </row>
    <row r="3446" spans="1:8">
      <c r="A3446"/>
      <c r="B3446"/>
      <c r="C3446"/>
      <c r="E3446"/>
      <c r="F3446"/>
      <c r="G3446"/>
      <c r="H3446"/>
    </row>
    <row r="3447" spans="1:8">
      <c r="A3447"/>
      <c r="B3447"/>
      <c r="C3447"/>
      <c r="E3447"/>
      <c r="F3447"/>
      <c r="G3447"/>
      <c r="H3447"/>
    </row>
    <row r="3448" spans="1:8">
      <c r="A3448"/>
      <c r="B3448"/>
      <c r="C3448"/>
      <c r="E3448"/>
      <c r="F3448"/>
      <c r="G3448"/>
      <c r="H3448"/>
    </row>
    <row r="3449" spans="1:8">
      <c r="A3449"/>
      <c r="B3449"/>
      <c r="C3449"/>
      <c r="E3449"/>
      <c r="F3449"/>
      <c r="G3449"/>
      <c r="H3449"/>
    </row>
    <row r="3450" spans="1:8">
      <c r="A3450"/>
      <c r="B3450"/>
      <c r="C3450"/>
      <c r="E3450"/>
      <c r="F3450"/>
      <c r="G3450"/>
      <c r="H3450"/>
    </row>
    <row r="3451" spans="1:8">
      <c r="A3451"/>
      <c r="B3451"/>
      <c r="C3451"/>
      <c r="E3451"/>
      <c r="F3451"/>
      <c r="G3451"/>
      <c r="H3451"/>
    </row>
    <row r="3452" spans="1:8">
      <c r="A3452"/>
      <c r="B3452"/>
      <c r="C3452"/>
      <c r="E3452"/>
      <c r="F3452"/>
      <c r="G3452"/>
      <c r="H3452"/>
    </row>
    <row r="3453" spans="1:8">
      <c r="A3453"/>
      <c r="B3453"/>
      <c r="C3453"/>
      <c r="E3453"/>
      <c r="F3453"/>
      <c r="G3453"/>
      <c r="H3453"/>
    </row>
    <row r="3454" spans="1:8">
      <c r="A3454"/>
      <c r="B3454"/>
      <c r="C3454"/>
      <c r="E3454"/>
      <c r="F3454"/>
      <c r="G3454"/>
      <c r="H3454"/>
    </row>
    <row r="3455" spans="1:8">
      <c r="A3455"/>
      <c r="B3455"/>
      <c r="C3455"/>
      <c r="E3455"/>
      <c r="F3455"/>
      <c r="G3455"/>
      <c r="H3455"/>
    </row>
    <row r="3456" spans="1:8">
      <c r="A3456"/>
      <c r="B3456"/>
      <c r="C3456"/>
      <c r="E3456"/>
      <c r="F3456"/>
      <c r="G3456"/>
      <c r="H3456"/>
    </row>
    <row r="3457" spans="1:8">
      <c r="A3457"/>
      <c r="B3457"/>
      <c r="C3457"/>
      <c r="E3457"/>
      <c r="F3457"/>
      <c r="G3457"/>
      <c r="H3457"/>
    </row>
    <row r="3458" spans="1:8">
      <c r="A3458"/>
      <c r="B3458"/>
      <c r="C3458"/>
      <c r="E3458"/>
      <c r="F3458"/>
      <c r="G3458"/>
      <c r="H3458"/>
    </row>
    <row r="3459" spans="1:8">
      <c r="A3459"/>
      <c r="B3459"/>
      <c r="C3459"/>
      <c r="E3459"/>
      <c r="F3459"/>
      <c r="G3459"/>
      <c r="H3459"/>
    </row>
    <row r="3460" spans="1:8">
      <c r="A3460"/>
      <c r="B3460"/>
      <c r="C3460"/>
      <c r="E3460"/>
      <c r="F3460"/>
      <c r="G3460"/>
      <c r="H3460"/>
    </row>
    <row r="3461" spans="1:8">
      <c r="A3461"/>
      <c r="B3461"/>
      <c r="C3461"/>
      <c r="E3461"/>
      <c r="F3461"/>
      <c r="G3461"/>
      <c r="H3461"/>
    </row>
    <row r="3462" spans="1:8">
      <c r="A3462"/>
      <c r="B3462"/>
      <c r="C3462"/>
      <c r="E3462"/>
      <c r="F3462"/>
      <c r="G3462"/>
      <c r="H3462"/>
    </row>
    <row r="3463" spans="1:8">
      <c r="A3463"/>
      <c r="B3463"/>
      <c r="C3463"/>
      <c r="E3463"/>
      <c r="F3463"/>
      <c r="G3463"/>
      <c r="H3463"/>
    </row>
    <row r="3464" spans="1:8">
      <c r="A3464"/>
      <c r="B3464"/>
      <c r="C3464"/>
      <c r="E3464"/>
      <c r="F3464"/>
      <c r="G3464"/>
      <c r="H3464"/>
    </row>
    <row r="3465" spans="1:8">
      <c r="A3465"/>
      <c r="B3465"/>
      <c r="C3465"/>
      <c r="E3465"/>
      <c r="F3465"/>
      <c r="G3465"/>
      <c r="H3465"/>
    </row>
    <row r="3466" spans="1:8">
      <c r="A3466"/>
      <c r="B3466"/>
      <c r="C3466"/>
      <c r="E3466"/>
      <c r="F3466"/>
      <c r="G3466"/>
      <c r="H3466"/>
    </row>
    <row r="3467" spans="1:8">
      <c r="A3467"/>
      <c r="B3467"/>
      <c r="C3467"/>
      <c r="E3467"/>
      <c r="F3467"/>
      <c r="G3467"/>
      <c r="H3467"/>
    </row>
    <row r="3468" spans="1:8">
      <c r="A3468"/>
      <c r="B3468"/>
      <c r="C3468"/>
      <c r="E3468"/>
      <c r="F3468"/>
      <c r="G3468"/>
      <c r="H3468"/>
    </row>
    <row r="3469" spans="1:8">
      <c r="A3469"/>
      <c r="B3469"/>
      <c r="C3469"/>
      <c r="E3469"/>
      <c r="F3469"/>
      <c r="G3469"/>
      <c r="H3469"/>
    </row>
    <row r="3470" spans="1:8">
      <c r="A3470"/>
      <c r="B3470"/>
      <c r="C3470"/>
      <c r="E3470"/>
      <c r="F3470"/>
      <c r="G3470"/>
      <c r="H3470"/>
    </row>
    <row r="3471" spans="1:8">
      <c r="A3471"/>
      <c r="B3471"/>
      <c r="C3471"/>
      <c r="E3471"/>
      <c r="F3471"/>
      <c r="G3471"/>
      <c r="H3471"/>
    </row>
    <row r="3472" spans="1:8">
      <c r="A3472"/>
      <c r="B3472"/>
      <c r="C3472"/>
      <c r="E3472"/>
      <c r="F3472"/>
      <c r="G3472"/>
      <c r="H3472"/>
    </row>
    <row r="3473" spans="1:8">
      <c r="A3473"/>
      <c r="B3473"/>
      <c r="C3473"/>
      <c r="E3473"/>
      <c r="F3473"/>
      <c r="G3473"/>
      <c r="H3473"/>
    </row>
    <row r="3474" spans="1:8">
      <c r="A3474"/>
      <c r="B3474"/>
      <c r="C3474"/>
      <c r="E3474"/>
      <c r="F3474"/>
      <c r="G3474"/>
      <c r="H3474"/>
    </row>
    <row r="3475" spans="1:8">
      <c r="A3475"/>
      <c r="B3475"/>
      <c r="C3475"/>
      <c r="E3475"/>
      <c r="F3475"/>
      <c r="G3475"/>
      <c r="H3475"/>
    </row>
    <row r="3476" spans="1:8">
      <c r="A3476"/>
      <c r="B3476"/>
      <c r="C3476"/>
      <c r="E3476"/>
      <c r="F3476"/>
      <c r="G3476"/>
      <c r="H3476"/>
    </row>
    <row r="3477" spans="1:8">
      <c r="A3477"/>
      <c r="B3477"/>
      <c r="C3477"/>
      <c r="E3477"/>
      <c r="F3477"/>
      <c r="G3477"/>
      <c r="H3477"/>
    </row>
    <row r="3478" spans="1:8">
      <c r="A3478"/>
      <c r="B3478"/>
      <c r="C3478"/>
      <c r="E3478"/>
      <c r="F3478"/>
      <c r="G3478"/>
      <c r="H3478"/>
    </row>
    <row r="3479" spans="1:8">
      <c r="A3479"/>
      <c r="B3479"/>
      <c r="C3479"/>
      <c r="E3479"/>
      <c r="F3479"/>
      <c r="G3479"/>
      <c r="H3479"/>
    </row>
    <row r="3480" spans="1:8">
      <c r="A3480"/>
      <c r="B3480"/>
      <c r="C3480"/>
      <c r="E3480"/>
      <c r="F3480"/>
      <c r="G3480"/>
      <c r="H3480"/>
    </row>
    <row r="3481" spans="1:8">
      <c r="A3481"/>
      <c r="B3481"/>
      <c r="C3481"/>
      <c r="E3481"/>
      <c r="F3481"/>
      <c r="G3481"/>
      <c r="H3481"/>
    </row>
    <row r="3482" spans="1:8">
      <c r="A3482"/>
      <c r="B3482"/>
      <c r="C3482"/>
      <c r="E3482"/>
      <c r="F3482"/>
      <c r="G3482"/>
      <c r="H3482"/>
    </row>
    <row r="3483" spans="1:8">
      <c r="A3483"/>
      <c r="B3483"/>
      <c r="C3483"/>
      <c r="E3483"/>
      <c r="F3483"/>
      <c r="G3483"/>
      <c r="H3483"/>
    </row>
    <row r="3484" spans="1:8">
      <c r="A3484"/>
      <c r="B3484"/>
      <c r="C3484"/>
      <c r="E3484"/>
      <c r="F3484"/>
      <c r="G3484"/>
      <c r="H3484"/>
    </row>
    <row r="3485" spans="1:8">
      <c r="A3485"/>
      <c r="B3485"/>
      <c r="C3485"/>
      <c r="E3485"/>
      <c r="F3485"/>
      <c r="G3485"/>
      <c r="H3485"/>
    </row>
    <row r="3486" spans="1:8">
      <c r="A3486"/>
      <c r="B3486"/>
      <c r="C3486"/>
      <c r="E3486"/>
      <c r="F3486"/>
      <c r="G3486"/>
      <c r="H3486"/>
    </row>
    <row r="3487" spans="1:8">
      <c r="A3487"/>
      <c r="B3487"/>
      <c r="C3487"/>
      <c r="E3487"/>
      <c r="F3487"/>
      <c r="G3487"/>
      <c r="H3487"/>
    </row>
    <row r="3488" spans="1:8">
      <c r="A3488"/>
      <c r="B3488"/>
      <c r="C3488"/>
      <c r="E3488"/>
      <c r="F3488"/>
      <c r="G3488"/>
      <c r="H3488"/>
    </row>
    <row r="3489" spans="1:8">
      <c r="A3489"/>
      <c r="B3489"/>
      <c r="C3489"/>
      <c r="E3489"/>
      <c r="F3489"/>
      <c r="G3489"/>
      <c r="H3489"/>
    </row>
    <row r="3490" spans="1:8">
      <c r="A3490"/>
      <c r="B3490"/>
      <c r="C3490"/>
      <c r="E3490"/>
      <c r="F3490"/>
      <c r="G3490"/>
      <c r="H3490"/>
    </row>
    <row r="3491" spans="1:8">
      <c r="A3491"/>
      <c r="B3491"/>
      <c r="C3491"/>
      <c r="E3491"/>
      <c r="F3491"/>
      <c r="G3491"/>
      <c r="H3491"/>
    </row>
    <row r="3492" spans="1:8">
      <c r="A3492"/>
      <c r="B3492"/>
      <c r="C3492"/>
      <c r="E3492"/>
      <c r="F3492"/>
      <c r="G3492"/>
      <c r="H3492"/>
    </row>
    <row r="3493" spans="1:8">
      <c r="A3493"/>
      <c r="B3493"/>
      <c r="C3493"/>
      <c r="E3493"/>
      <c r="F3493"/>
      <c r="G3493"/>
      <c r="H3493"/>
    </row>
    <row r="3494" spans="1:8">
      <c r="A3494"/>
      <c r="B3494"/>
      <c r="C3494"/>
      <c r="E3494"/>
      <c r="F3494"/>
      <c r="G3494"/>
      <c r="H3494"/>
    </row>
    <row r="3495" spans="1:8">
      <c r="A3495"/>
      <c r="B3495"/>
      <c r="C3495"/>
      <c r="E3495"/>
      <c r="F3495"/>
      <c r="G3495"/>
      <c r="H3495"/>
    </row>
    <row r="3496" spans="1:8">
      <c r="A3496"/>
      <c r="B3496"/>
      <c r="C3496"/>
      <c r="E3496"/>
      <c r="F3496"/>
      <c r="G3496"/>
      <c r="H3496"/>
    </row>
    <row r="3497" spans="1:8">
      <c r="A3497"/>
      <c r="B3497"/>
      <c r="C3497"/>
      <c r="E3497"/>
      <c r="F3497"/>
      <c r="G3497"/>
      <c r="H3497"/>
    </row>
    <row r="3498" spans="1:8">
      <c r="A3498"/>
      <c r="B3498"/>
      <c r="C3498"/>
      <c r="E3498"/>
      <c r="F3498"/>
      <c r="G3498"/>
      <c r="H3498"/>
    </row>
    <row r="3499" spans="1:8">
      <c r="A3499"/>
      <c r="B3499"/>
      <c r="C3499"/>
      <c r="E3499"/>
      <c r="F3499"/>
      <c r="G3499"/>
      <c r="H3499"/>
    </row>
    <row r="3500" spans="1:8">
      <c r="A3500"/>
      <c r="B3500"/>
      <c r="C3500"/>
      <c r="E3500"/>
      <c r="F3500"/>
      <c r="G3500"/>
      <c r="H3500"/>
    </row>
    <row r="3501" spans="1:8">
      <c r="A3501"/>
      <c r="B3501"/>
      <c r="C3501"/>
      <c r="E3501"/>
      <c r="F3501"/>
      <c r="G3501"/>
      <c r="H3501"/>
    </row>
    <row r="3502" spans="1:8">
      <c r="A3502"/>
      <c r="B3502"/>
      <c r="C3502"/>
      <c r="E3502"/>
      <c r="F3502"/>
      <c r="G3502"/>
      <c r="H3502"/>
    </row>
    <row r="3503" spans="1:8">
      <c r="A3503"/>
      <c r="B3503"/>
      <c r="C3503"/>
      <c r="E3503"/>
      <c r="F3503"/>
      <c r="G3503"/>
      <c r="H3503"/>
    </row>
    <row r="3504" spans="1:8">
      <c r="A3504"/>
      <c r="B3504"/>
      <c r="C3504"/>
      <c r="E3504"/>
      <c r="F3504"/>
      <c r="G3504"/>
      <c r="H3504"/>
    </row>
    <row r="3505" spans="1:8">
      <c r="A3505"/>
      <c r="B3505"/>
      <c r="C3505"/>
      <c r="E3505"/>
      <c r="F3505"/>
      <c r="G3505"/>
      <c r="H3505"/>
    </row>
    <row r="3506" spans="1:8">
      <c r="A3506"/>
      <c r="B3506"/>
      <c r="C3506"/>
      <c r="E3506"/>
      <c r="F3506"/>
      <c r="G3506"/>
      <c r="H3506"/>
    </row>
    <row r="3507" spans="1:8">
      <c r="A3507"/>
      <c r="B3507"/>
      <c r="C3507"/>
      <c r="E3507"/>
      <c r="F3507"/>
      <c r="G3507"/>
      <c r="H3507"/>
    </row>
    <row r="3508" spans="1:8">
      <c r="A3508"/>
      <c r="B3508"/>
      <c r="C3508"/>
      <c r="E3508"/>
      <c r="F3508"/>
      <c r="G3508"/>
      <c r="H3508"/>
    </row>
    <row r="3509" spans="1:8">
      <c r="A3509"/>
      <c r="B3509"/>
      <c r="C3509"/>
      <c r="E3509"/>
      <c r="F3509"/>
      <c r="G3509"/>
      <c r="H3509"/>
    </row>
    <row r="3510" spans="1:8">
      <c r="A3510"/>
      <c r="B3510"/>
      <c r="C3510"/>
      <c r="E3510"/>
      <c r="F3510"/>
      <c r="G3510"/>
      <c r="H3510"/>
    </row>
    <row r="3511" spans="1:8">
      <c r="A3511"/>
      <c r="B3511"/>
      <c r="C3511"/>
      <c r="E3511"/>
      <c r="F3511"/>
      <c r="G3511"/>
      <c r="H3511"/>
    </row>
    <row r="3512" spans="1:8">
      <c r="A3512"/>
      <c r="B3512"/>
      <c r="C3512"/>
      <c r="E3512"/>
      <c r="F3512"/>
      <c r="G3512"/>
      <c r="H3512"/>
    </row>
    <row r="3513" spans="1:8">
      <c r="A3513"/>
      <c r="B3513"/>
      <c r="C3513"/>
      <c r="E3513"/>
      <c r="F3513"/>
      <c r="G3513"/>
      <c r="H3513"/>
    </row>
    <row r="3514" spans="1:8">
      <c r="A3514"/>
      <c r="B3514"/>
      <c r="C3514"/>
      <c r="E3514"/>
      <c r="F3514"/>
      <c r="G3514"/>
      <c r="H3514"/>
    </row>
    <row r="3515" spans="1:8">
      <c r="A3515"/>
      <c r="B3515"/>
      <c r="C3515"/>
      <c r="E3515"/>
      <c r="F3515"/>
      <c r="G3515"/>
      <c r="H3515"/>
    </row>
    <row r="3516" spans="1:8">
      <c r="A3516"/>
      <c r="B3516"/>
      <c r="C3516"/>
      <c r="E3516"/>
      <c r="F3516"/>
      <c r="G3516"/>
      <c r="H3516"/>
    </row>
    <row r="3517" spans="1:8">
      <c r="A3517"/>
      <c r="B3517"/>
      <c r="C3517"/>
      <c r="E3517"/>
      <c r="F3517"/>
      <c r="G3517"/>
      <c r="H3517"/>
    </row>
    <row r="3518" spans="1:8">
      <c r="A3518"/>
      <c r="B3518"/>
      <c r="C3518"/>
      <c r="E3518"/>
      <c r="F3518"/>
      <c r="G3518"/>
      <c r="H3518"/>
    </row>
    <row r="3519" spans="1:8">
      <c r="A3519"/>
      <c r="B3519"/>
      <c r="C3519"/>
      <c r="E3519"/>
      <c r="F3519"/>
      <c r="G3519"/>
      <c r="H3519"/>
    </row>
    <row r="3520" spans="1:8">
      <c r="A3520"/>
      <c r="B3520"/>
      <c r="C3520"/>
      <c r="E3520"/>
      <c r="F3520"/>
      <c r="G3520"/>
      <c r="H3520"/>
    </row>
    <row r="3521" spans="1:8">
      <c r="A3521"/>
      <c r="B3521"/>
      <c r="C3521"/>
      <c r="E3521"/>
      <c r="F3521"/>
      <c r="G3521"/>
      <c r="H3521"/>
    </row>
    <row r="3522" spans="1:8">
      <c r="A3522"/>
      <c r="B3522"/>
      <c r="C3522"/>
      <c r="E3522"/>
      <c r="F3522"/>
      <c r="G3522"/>
      <c r="H3522"/>
    </row>
    <row r="3523" spans="1:8">
      <c r="A3523"/>
      <c r="B3523"/>
      <c r="C3523"/>
      <c r="E3523"/>
      <c r="F3523"/>
      <c r="G3523"/>
      <c r="H3523"/>
    </row>
    <row r="3524" spans="1:8">
      <c r="A3524"/>
      <c r="B3524"/>
      <c r="C3524"/>
      <c r="E3524"/>
      <c r="F3524"/>
      <c r="G3524"/>
      <c r="H3524"/>
    </row>
    <row r="3525" spans="1:8">
      <c r="A3525"/>
      <c r="B3525"/>
      <c r="C3525"/>
      <c r="E3525"/>
      <c r="F3525"/>
      <c r="G3525"/>
      <c r="H3525"/>
    </row>
    <row r="3526" spans="1:8">
      <c r="A3526"/>
      <c r="B3526"/>
      <c r="C3526"/>
      <c r="E3526"/>
      <c r="F3526"/>
      <c r="G3526"/>
      <c r="H3526"/>
    </row>
    <row r="3527" spans="1:8">
      <c r="A3527"/>
      <c r="B3527"/>
      <c r="C3527"/>
      <c r="E3527"/>
      <c r="F3527"/>
      <c r="G3527"/>
      <c r="H3527"/>
    </row>
    <row r="3528" spans="1:8">
      <c r="A3528"/>
      <c r="B3528"/>
      <c r="C3528"/>
      <c r="E3528"/>
      <c r="F3528"/>
      <c r="G3528"/>
      <c r="H3528"/>
    </row>
    <row r="3529" spans="1:8">
      <c r="A3529"/>
      <c r="B3529"/>
      <c r="C3529"/>
      <c r="E3529"/>
      <c r="F3529"/>
      <c r="G3529"/>
      <c r="H3529"/>
    </row>
    <row r="3530" spans="1:8">
      <c r="A3530"/>
      <c r="B3530"/>
      <c r="C3530"/>
      <c r="E3530"/>
      <c r="F3530"/>
      <c r="G3530"/>
      <c r="H3530"/>
    </row>
    <row r="3531" spans="1:8">
      <c r="A3531"/>
      <c r="B3531"/>
      <c r="C3531"/>
      <c r="E3531"/>
      <c r="F3531"/>
      <c r="G3531"/>
      <c r="H3531"/>
    </row>
    <row r="3532" spans="1:8">
      <c r="A3532"/>
      <c r="B3532"/>
      <c r="C3532"/>
      <c r="E3532"/>
      <c r="F3532"/>
      <c r="G3532"/>
      <c r="H3532"/>
    </row>
    <row r="3533" spans="1:8">
      <c r="A3533"/>
      <c r="B3533"/>
      <c r="C3533"/>
      <c r="E3533"/>
      <c r="F3533"/>
      <c r="G3533"/>
      <c r="H3533"/>
    </row>
    <row r="3534" spans="1:8">
      <c r="A3534"/>
      <c r="B3534"/>
      <c r="C3534"/>
      <c r="E3534"/>
      <c r="F3534"/>
      <c r="G3534"/>
      <c r="H3534"/>
    </row>
    <row r="3535" spans="1:8">
      <c r="A3535"/>
      <c r="B3535"/>
      <c r="C3535"/>
      <c r="E3535"/>
      <c r="F3535"/>
      <c r="G3535"/>
      <c r="H3535"/>
    </row>
    <row r="3536" spans="1:8">
      <c r="A3536"/>
      <c r="B3536"/>
      <c r="C3536"/>
      <c r="E3536"/>
      <c r="F3536"/>
      <c r="G3536"/>
      <c r="H3536"/>
    </row>
    <row r="3537" spans="1:8">
      <c r="A3537"/>
      <c r="B3537"/>
      <c r="C3537"/>
      <c r="E3537"/>
      <c r="F3537"/>
      <c r="G3537"/>
      <c r="H3537"/>
    </row>
    <row r="3538" spans="1:8">
      <c r="A3538"/>
      <c r="B3538"/>
      <c r="C3538"/>
      <c r="E3538"/>
      <c r="F3538"/>
      <c r="G3538"/>
      <c r="H3538"/>
    </row>
    <row r="3539" spans="1:8">
      <c r="A3539"/>
      <c r="B3539"/>
      <c r="C3539"/>
      <c r="E3539"/>
      <c r="F3539"/>
      <c r="G3539"/>
      <c r="H3539"/>
    </row>
    <row r="3540" spans="1:8">
      <c r="A3540"/>
      <c r="B3540"/>
      <c r="C3540"/>
      <c r="E3540"/>
      <c r="F3540"/>
      <c r="G3540"/>
      <c r="H3540"/>
    </row>
    <row r="3541" spans="1:8">
      <c r="A3541"/>
      <c r="B3541"/>
      <c r="C3541"/>
      <c r="E3541"/>
      <c r="F3541"/>
      <c r="G3541"/>
      <c r="H3541"/>
    </row>
    <row r="3542" spans="1:8">
      <c r="A3542"/>
      <c r="B3542"/>
      <c r="C3542"/>
      <c r="E3542"/>
      <c r="F3542"/>
      <c r="G3542"/>
      <c r="H3542"/>
    </row>
    <row r="3543" spans="1:8">
      <c r="A3543"/>
      <c r="B3543"/>
      <c r="C3543"/>
      <c r="E3543"/>
      <c r="F3543"/>
      <c r="G3543"/>
      <c r="H3543"/>
    </row>
    <row r="3544" spans="1:8">
      <c r="A3544"/>
      <c r="B3544"/>
      <c r="C3544"/>
      <c r="E3544"/>
      <c r="F3544"/>
      <c r="G3544"/>
      <c r="H3544"/>
    </row>
    <row r="3545" spans="1:8">
      <c r="A3545"/>
      <c r="B3545"/>
      <c r="C3545"/>
      <c r="E3545"/>
      <c r="F3545"/>
      <c r="G3545"/>
      <c r="H3545"/>
    </row>
    <row r="3546" spans="1:8">
      <c r="A3546"/>
      <c r="B3546"/>
      <c r="C3546"/>
      <c r="E3546"/>
      <c r="F3546"/>
      <c r="G3546"/>
      <c r="H3546"/>
    </row>
    <row r="3547" spans="1:8">
      <c r="A3547"/>
      <c r="B3547"/>
      <c r="C3547"/>
      <c r="E3547"/>
      <c r="F3547"/>
      <c r="G3547"/>
      <c r="H3547"/>
    </row>
    <row r="3548" spans="1:8">
      <c r="A3548"/>
      <c r="B3548"/>
      <c r="C3548"/>
      <c r="E3548"/>
      <c r="F3548"/>
      <c r="G3548"/>
      <c r="H3548"/>
    </row>
    <row r="3549" spans="1:8">
      <c r="A3549"/>
      <c r="B3549"/>
      <c r="C3549"/>
      <c r="E3549"/>
      <c r="F3549"/>
      <c r="G3549"/>
      <c r="H3549"/>
    </row>
    <row r="3550" spans="1:8">
      <c r="A3550"/>
      <c r="B3550"/>
      <c r="C3550"/>
      <c r="E3550"/>
      <c r="F3550"/>
      <c r="G3550"/>
      <c r="H3550"/>
    </row>
    <row r="3551" spans="1:8">
      <c r="A3551"/>
      <c r="B3551"/>
      <c r="C3551"/>
      <c r="E3551"/>
      <c r="F3551"/>
      <c r="G3551"/>
      <c r="H3551"/>
    </row>
    <row r="3552" spans="1:8">
      <c r="A3552"/>
      <c r="B3552"/>
      <c r="C3552"/>
      <c r="E3552"/>
      <c r="F3552"/>
      <c r="G3552"/>
      <c r="H3552"/>
    </row>
    <row r="3553" spans="1:8">
      <c r="A3553"/>
      <c r="B3553"/>
      <c r="C3553"/>
      <c r="E3553"/>
      <c r="F3553"/>
      <c r="G3553"/>
      <c r="H3553"/>
    </row>
    <row r="3554" spans="1:8">
      <c r="A3554"/>
      <c r="B3554"/>
      <c r="C3554"/>
      <c r="E3554"/>
      <c r="F3554"/>
      <c r="G3554"/>
      <c r="H3554"/>
    </row>
    <row r="3555" spans="1:8">
      <c r="A3555"/>
      <c r="B3555"/>
      <c r="C3555"/>
      <c r="E3555"/>
      <c r="F3555"/>
      <c r="G3555"/>
      <c r="H3555"/>
    </row>
    <row r="3556" spans="1:8">
      <c r="A3556"/>
      <c r="B3556"/>
      <c r="C3556"/>
      <c r="E3556"/>
      <c r="F3556"/>
      <c r="G3556"/>
      <c r="H3556"/>
    </row>
    <row r="3557" spans="1:8">
      <c r="A3557"/>
      <c r="B3557"/>
      <c r="C3557"/>
      <c r="E3557"/>
      <c r="F3557"/>
      <c r="G3557"/>
      <c r="H3557"/>
    </row>
    <row r="3558" spans="1:8">
      <c r="A3558"/>
      <c r="B3558"/>
      <c r="C3558"/>
      <c r="E3558"/>
      <c r="F3558"/>
      <c r="G3558"/>
      <c r="H3558"/>
    </row>
    <row r="3559" spans="1:8">
      <c r="A3559"/>
      <c r="B3559"/>
      <c r="C3559"/>
      <c r="E3559"/>
      <c r="F3559"/>
      <c r="G3559"/>
      <c r="H3559"/>
    </row>
    <row r="3560" spans="1:8">
      <c r="A3560"/>
      <c r="B3560"/>
      <c r="C3560"/>
      <c r="E3560"/>
      <c r="F3560"/>
      <c r="G3560"/>
      <c r="H3560"/>
    </row>
    <row r="3561" spans="1:8">
      <c r="A3561"/>
      <c r="B3561"/>
      <c r="C3561"/>
      <c r="E3561"/>
      <c r="F3561"/>
      <c r="G3561"/>
      <c r="H3561"/>
    </row>
    <row r="3562" spans="1:8">
      <c r="A3562"/>
      <c r="B3562"/>
      <c r="C3562"/>
      <c r="E3562"/>
      <c r="F3562"/>
      <c r="G3562"/>
      <c r="H3562"/>
    </row>
    <row r="3563" spans="1:8">
      <c r="A3563"/>
      <c r="B3563"/>
      <c r="C3563"/>
      <c r="E3563"/>
      <c r="F3563"/>
      <c r="G3563"/>
      <c r="H3563"/>
    </row>
    <row r="3564" spans="1:8">
      <c r="A3564"/>
      <c r="B3564"/>
      <c r="C3564"/>
      <c r="E3564"/>
      <c r="F3564"/>
      <c r="G3564"/>
      <c r="H3564"/>
    </row>
    <row r="3565" spans="1:8">
      <c r="A3565"/>
      <c r="B3565"/>
      <c r="C3565"/>
      <c r="E3565"/>
      <c r="F3565"/>
      <c r="G3565"/>
      <c r="H3565"/>
    </row>
    <row r="3566" spans="1:8">
      <c r="A3566"/>
      <c r="B3566"/>
      <c r="C3566"/>
      <c r="E3566"/>
      <c r="F3566"/>
      <c r="G3566"/>
      <c r="H3566"/>
    </row>
    <row r="3567" spans="1:8">
      <c r="A3567"/>
      <c r="B3567"/>
      <c r="C3567"/>
      <c r="E3567"/>
      <c r="F3567"/>
      <c r="G3567"/>
      <c r="H3567"/>
    </row>
    <row r="3568" spans="1:8">
      <c r="A3568"/>
      <c r="B3568"/>
      <c r="C3568"/>
      <c r="E3568"/>
      <c r="F3568"/>
      <c r="G3568"/>
      <c r="H3568"/>
    </row>
    <row r="3569" spans="1:8">
      <c r="A3569"/>
      <c r="B3569"/>
      <c r="C3569"/>
      <c r="E3569"/>
      <c r="F3569"/>
      <c r="G3569"/>
      <c r="H3569"/>
    </row>
    <row r="3570" spans="1:8">
      <c r="A3570"/>
      <c r="B3570"/>
      <c r="C3570"/>
      <c r="E3570"/>
      <c r="F3570"/>
      <c r="G3570"/>
      <c r="H3570"/>
    </row>
    <row r="3571" spans="1:8">
      <c r="A3571"/>
      <c r="B3571"/>
      <c r="C3571"/>
      <c r="E3571"/>
      <c r="F3571"/>
      <c r="G3571"/>
      <c r="H3571"/>
    </row>
    <row r="3572" spans="1:8">
      <c r="A3572"/>
      <c r="B3572"/>
      <c r="C3572"/>
      <c r="E3572"/>
      <c r="F3572"/>
      <c r="G3572"/>
      <c r="H3572"/>
    </row>
    <row r="3573" spans="1:8">
      <c r="A3573"/>
      <c r="B3573"/>
      <c r="C3573"/>
      <c r="E3573"/>
      <c r="F3573"/>
      <c r="G3573"/>
      <c r="H3573"/>
    </row>
    <row r="3574" spans="1:8">
      <c r="A3574"/>
      <c r="B3574"/>
      <c r="C3574"/>
      <c r="E3574"/>
      <c r="F3574"/>
      <c r="G3574"/>
      <c r="H3574"/>
    </row>
    <row r="3575" spans="1:8">
      <c r="A3575"/>
      <c r="B3575"/>
      <c r="C3575"/>
      <c r="E3575"/>
      <c r="F3575"/>
      <c r="G3575"/>
      <c r="H3575"/>
    </row>
    <row r="3576" spans="1:8">
      <c r="A3576"/>
      <c r="B3576"/>
      <c r="C3576"/>
      <c r="E3576"/>
      <c r="F3576"/>
      <c r="G3576"/>
      <c r="H3576"/>
    </row>
    <row r="3577" spans="1:8">
      <c r="A3577"/>
      <c r="B3577"/>
      <c r="C3577"/>
      <c r="E3577"/>
      <c r="F3577"/>
      <c r="G3577"/>
      <c r="H3577"/>
    </row>
    <row r="3578" spans="1:8">
      <c r="A3578"/>
      <c r="B3578"/>
      <c r="C3578"/>
      <c r="E3578"/>
      <c r="F3578"/>
      <c r="G3578"/>
      <c r="H3578"/>
    </row>
    <row r="3579" spans="1:8">
      <c r="A3579"/>
      <c r="B3579"/>
      <c r="C3579"/>
      <c r="E3579"/>
      <c r="F3579"/>
      <c r="G3579"/>
      <c r="H3579"/>
    </row>
    <row r="3580" spans="1:8">
      <c r="A3580"/>
      <c r="B3580"/>
      <c r="C3580"/>
      <c r="E3580"/>
      <c r="F3580"/>
      <c r="G3580"/>
      <c r="H3580"/>
    </row>
    <row r="3581" spans="1:8">
      <c r="A3581"/>
      <c r="B3581"/>
      <c r="C3581"/>
      <c r="E3581"/>
      <c r="F3581"/>
      <c r="G3581"/>
      <c r="H3581"/>
    </row>
    <row r="3582" spans="1:8">
      <c r="A3582"/>
      <c r="B3582"/>
      <c r="C3582"/>
      <c r="E3582"/>
      <c r="F3582"/>
      <c r="G3582"/>
      <c r="H3582"/>
    </row>
    <row r="3583" spans="1:8">
      <c r="A3583"/>
      <c r="B3583"/>
      <c r="C3583"/>
      <c r="E3583"/>
      <c r="F3583"/>
      <c r="G3583"/>
      <c r="H3583"/>
    </row>
    <row r="3584" spans="1:8">
      <c r="A3584"/>
      <c r="B3584"/>
      <c r="C3584"/>
      <c r="E3584"/>
      <c r="F3584"/>
      <c r="G3584"/>
      <c r="H3584"/>
    </row>
    <row r="3585" spans="1:8">
      <c r="A3585"/>
      <c r="B3585"/>
      <c r="C3585"/>
      <c r="E3585"/>
      <c r="F3585"/>
      <c r="G3585"/>
      <c r="H3585"/>
    </row>
    <row r="3586" spans="1:8">
      <c r="A3586"/>
      <c r="B3586"/>
      <c r="C3586"/>
      <c r="E3586"/>
      <c r="F3586"/>
      <c r="G3586"/>
      <c r="H3586"/>
    </row>
    <row r="3587" spans="1:8">
      <c r="A3587"/>
      <c r="B3587"/>
      <c r="C3587"/>
      <c r="E3587"/>
      <c r="F3587"/>
      <c r="G3587"/>
      <c r="H3587"/>
    </row>
    <row r="3588" spans="1:8">
      <c r="A3588"/>
      <c r="B3588"/>
      <c r="C3588"/>
      <c r="E3588"/>
      <c r="F3588"/>
      <c r="G3588"/>
      <c r="H3588"/>
    </row>
    <row r="3589" spans="1:8">
      <c r="A3589"/>
      <c r="B3589"/>
      <c r="C3589"/>
      <c r="E3589"/>
      <c r="F3589"/>
      <c r="G3589"/>
      <c r="H3589"/>
    </row>
    <row r="3590" spans="1:8">
      <c r="A3590"/>
      <c r="B3590"/>
      <c r="C3590"/>
      <c r="E3590"/>
      <c r="F3590"/>
      <c r="G3590"/>
      <c r="H3590"/>
    </row>
    <row r="3591" spans="1:8">
      <c r="A3591"/>
      <c r="B3591"/>
      <c r="C3591"/>
      <c r="E3591"/>
      <c r="F3591"/>
      <c r="G3591"/>
      <c r="H3591"/>
    </row>
    <row r="3592" spans="1:8">
      <c r="A3592"/>
      <c r="B3592"/>
      <c r="C3592"/>
      <c r="E3592"/>
      <c r="F3592"/>
      <c r="G3592"/>
      <c r="H3592"/>
    </row>
    <row r="3593" spans="1:8">
      <c r="A3593"/>
      <c r="B3593"/>
      <c r="C3593"/>
      <c r="E3593"/>
      <c r="F3593"/>
      <c r="G3593"/>
      <c r="H3593"/>
    </row>
    <row r="3594" spans="1:8">
      <c r="A3594"/>
      <c r="B3594"/>
      <c r="C3594"/>
      <c r="E3594"/>
      <c r="F3594"/>
      <c r="G3594"/>
      <c r="H3594"/>
    </row>
    <row r="3595" spans="1:8">
      <c r="A3595"/>
      <c r="B3595"/>
      <c r="C3595"/>
      <c r="E3595"/>
      <c r="F3595"/>
      <c r="G3595"/>
      <c r="H3595"/>
    </row>
    <row r="3596" spans="1:8">
      <c r="A3596"/>
      <c r="B3596"/>
      <c r="C3596"/>
      <c r="E3596"/>
      <c r="F3596"/>
      <c r="G3596"/>
      <c r="H3596"/>
    </row>
    <row r="3597" spans="1:8">
      <c r="A3597"/>
      <c r="B3597"/>
      <c r="C3597"/>
      <c r="E3597"/>
      <c r="F3597"/>
      <c r="G3597"/>
      <c r="H3597"/>
    </row>
    <row r="3598" spans="1:8">
      <c r="A3598"/>
      <c r="B3598"/>
      <c r="C3598"/>
      <c r="E3598"/>
      <c r="F3598"/>
      <c r="G3598"/>
      <c r="H3598"/>
    </row>
    <row r="3599" spans="1:8">
      <c r="A3599"/>
      <c r="B3599"/>
      <c r="C3599"/>
      <c r="E3599"/>
      <c r="F3599"/>
      <c r="G3599"/>
      <c r="H3599"/>
    </row>
    <row r="3600" spans="1:8">
      <c r="A3600"/>
      <c r="B3600"/>
      <c r="C3600"/>
      <c r="E3600"/>
      <c r="F3600"/>
      <c r="G3600"/>
      <c r="H3600"/>
    </row>
    <row r="3601" spans="1:8">
      <c r="A3601"/>
      <c r="B3601"/>
      <c r="C3601"/>
      <c r="E3601"/>
      <c r="F3601"/>
      <c r="G3601"/>
      <c r="H3601"/>
    </row>
    <row r="3602" spans="1:8">
      <c r="A3602"/>
      <c r="B3602"/>
      <c r="C3602"/>
      <c r="E3602"/>
      <c r="F3602"/>
      <c r="G3602"/>
      <c r="H3602"/>
    </row>
    <row r="3603" spans="1:8">
      <c r="A3603"/>
      <c r="B3603"/>
      <c r="C3603"/>
      <c r="E3603"/>
      <c r="F3603"/>
      <c r="G3603"/>
      <c r="H3603"/>
    </row>
    <row r="3604" spans="1:8">
      <c r="A3604"/>
      <c r="B3604"/>
      <c r="C3604"/>
      <c r="E3604"/>
      <c r="F3604"/>
      <c r="G3604"/>
      <c r="H3604"/>
    </row>
    <row r="3605" spans="1:8">
      <c r="A3605"/>
      <c r="B3605"/>
      <c r="C3605"/>
      <c r="E3605"/>
      <c r="F3605"/>
      <c r="G3605"/>
      <c r="H3605"/>
    </row>
    <row r="3606" spans="1:8">
      <c r="A3606"/>
      <c r="B3606"/>
      <c r="C3606"/>
      <c r="E3606"/>
      <c r="F3606"/>
      <c r="G3606"/>
      <c r="H3606"/>
    </row>
    <row r="3607" spans="1:8">
      <c r="A3607"/>
      <c r="B3607"/>
      <c r="C3607"/>
      <c r="E3607"/>
      <c r="F3607"/>
      <c r="G3607"/>
      <c r="H3607"/>
    </row>
    <row r="3608" spans="1:8">
      <c r="A3608"/>
      <c r="B3608"/>
      <c r="C3608"/>
      <c r="E3608"/>
      <c r="F3608"/>
      <c r="G3608"/>
      <c r="H3608"/>
    </row>
    <row r="3609" spans="1:8">
      <c r="A3609"/>
      <c r="B3609"/>
      <c r="C3609"/>
      <c r="E3609"/>
      <c r="F3609"/>
      <c r="G3609"/>
      <c r="H3609"/>
    </row>
    <row r="3610" spans="1:8">
      <c r="A3610"/>
      <c r="B3610"/>
      <c r="C3610"/>
      <c r="E3610"/>
      <c r="F3610"/>
      <c r="G3610"/>
      <c r="H3610"/>
    </row>
    <row r="3611" spans="1:8">
      <c r="A3611"/>
      <c r="B3611"/>
      <c r="C3611"/>
      <c r="E3611"/>
      <c r="F3611"/>
      <c r="G3611"/>
      <c r="H3611"/>
    </row>
    <row r="3612" spans="1:8">
      <c r="A3612"/>
      <c r="B3612"/>
      <c r="C3612"/>
      <c r="E3612"/>
      <c r="F3612"/>
      <c r="G3612"/>
      <c r="H3612"/>
    </row>
    <row r="3613" spans="1:8">
      <c r="A3613"/>
      <c r="B3613"/>
      <c r="C3613"/>
      <c r="E3613"/>
      <c r="F3613"/>
      <c r="G3613"/>
      <c r="H3613"/>
    </row>
    <row r="3614" spans="1:8">
      <c r="A3614"/>
      <c r="B3614"/>
      <c r="C3614"/>
      <c r="E3614"/>
      <c r="F3614"/>
      <c r="G3614"/>
      <c r="H3614"/>
    </row>
    <row r="3615" spans="1:8">
      <c r="A3615"/>
      <c r="B3615"/>
      <c r="C3615"/>
      <c r="E3615"/>
      <c r="F3615"/>
      <c r="G3615"/>
      <c r="H3615"/>
    </row>
    <row r="3616" spans="1:8">
      <c r="A3616"/>
      <c r="B3616"/>
      <c r="C3616"/>
      <c r="E3616"/>
      <c r="F3616"/>
      <c r="G3616"/>
      <c r="H3616"/>
    </row>
    <row r="3617" spans="1:8">
      <c r="A3617"/>
      <c r="B3617"/>
      <c r="C3617"/>
      <c r="E3617"/>
      <c r="F3617"/>
      <c r="G3617"/>
      <c r="H3617"/>
    </row>
    <row r="3618" spans="1:8">
      <c r="A3618"/>
      <c r="B3618"/>
      <c r="C3618"/>
      <c r="E3618"/>
      <c r="F3618"/>
      <c r="G3618"/>
      <c r="H3618"/>
    </row>
    <row r="3619" spans="1:8">
      <c r="A3619"/>
      <c r="B3619"/>
      <c r="C3619"/>
      <c r="E3619"/>
      <c r="F3619"/>
      <c r="G3619"/>
      <c r="H3619"/>
    </row>
    <row r="3620" spans="1:8">
      <c r="A3620"/>
      <c r="B3620"/>
      <c r="C3620"/>
      <c r="E3620"/>
      <c r="F3620"/>
      <c r="G3620"/>
      <c r="H3620"/>
    </row>
    <row r="3621" spans="1:8">
      <c r="A3621"/>
      <c r="B3621"/>
      <c r="C3621"/>
      <c r="E3621"/>
      <c r="F3621"/>
      <c r="G3621"/>
      <c r="H3621"/>
    </row>
    <row r="3622" spans="1:8">
      <c r="A3622"/>
      <c r="B3622"/>
      <c r="C3622"/>
      <c r="E3622"/>
      <c r="F3622"/>
      <c r="G3622"/>
      <c r="H3622"/>
    </row>
    <row r="3623" spans="1:8">
      <c r="A3623"/>
      <c r="B3623"/>
      <c r="C3623"/>
      <c r="E3623"/>
      <c r="F3623"/>
      <c r="G3623"/>
      <c r="H3623"/>
    </row>
    <row r="3624" spans="1:8">
      <c r="A3624"/>
      <c r="B3624"/>
      <c r="C3624"/>
      <c r="E3624"/>
      <c r="F3624"/>
      <c r="G3624"/>
      <c r="H3624"/>
    </row>
    <row r="3625" spans="1:8">
      <c r="A3625"/>
      <c r="B3625"/>
      <c r="C3625"/>
      <c r="E3625"/>
      <c r="F3625"/>
      <c r="G3625"/>
      <c r="H3625"/>
    </row>
    <row r="3626" spans="1:8">
      <c r="A3626"/>
      <c r="B3626"/>
      <c r="C3626"/>
      <c r="E3626"/>
      <c r="F3626"/>
      <c r="G3626"/>
      <c r="H3626"/>
    </row>
    <row r="3627" spans="1:8">
      <c r="A3627"/>
      <c r="B3627"/>
      <c r="C3627"/>
      <c r="E3627"/>
      <c r="F3627"/>
      <c r="G3627"/>
      <c r="H3627"/>
    </row>
    <row r="3628" spans="1:8">
      <c r="A3628"/>
      <c r="B3628"/>
      <c r="C3628"/>
      <c r="E3628"/>
      <c r="F3628"/>
      <c r="G3628"/>
      <c r="H3628"/>
    </row>
    <row r="3629" spans="1:8">
      <c r="A3629"/>
      <c r="B3629"/>
      <c r="C3629"/>
      <c r="E3629"/>
      <c r="F3629"/>
      <c r="G3629"/>
      <c r="H3629"/>
    </row>
    <row r="3630" spans="1:8">
      <c r="A3630"/>
      <c r="B3630"/>
      <c r="C3630"/>
      <c r="E3630"/>
      <c r="F3630"/>
      <c r="G3630"/>
      <c r="H3630"/>
    </row>
    <row r="3631" spans="1:8">
      <c r="A3631"/>
      <c r="B3631"/>
      <c r="C3631"/>
      <c r="E3631"/>
      <c r="F3631"/>
      <c r="G3631"/>
      <c r="H3631"/>
    </row>
    <row r="3632" spans="1:8">
      <c r="A3632"/>
      <c r="B3632"/>
      <c r="C3632"/>
      <c r="E3632"/>
      <c r="F3632"/>
      <c r="G3632"/>
      <c r="H3632"/>
    </row>
    <row r="3633" spans="1:8">
      <c r="A3633"/>
      <c r="B3633"/>
      <c r="C3633"/>
      <c r="E3633"/>
      <c r="F3633"/>
      <c r="G3633"/>
      <c r="H3633"/>
    </row>
    <row r="3634" spans="1:8">
      <c r="A3634"/>
      <c r="B3634"/>
      <c r="C3634"/>
      <c r="E3634"/>
      <c r="F3634"/>
      <c r="G3634"/>
      <c r="H3634"/>
    </row>
    <row r="3635" spans="1:8">
      <c r="A3635"/>
      <c r="B3635"/>
      <c r="C3635"/>
      <c r="E3635"/>
      <c r="F3635"/>
      <c r="G3635"/>
      <c r="H3635"/>
    </row>
    <row r="3636" spans="1:8">
      <c r="A3636"/>
      <c r="B3636"/>
      <c r="C3636"/>
      <c r="E3636"/>
      <c r="F3636"/>
      <c r="G3636"/>
      <c r="H3636"/>
    </row>
    <row r="3637" spans="1:8">
      <c r="A3637"/>
      <c r="B3637"/>
      <c r="C3637"/>
      <c r="E3637"/>
      <c r="F3637"/>
      <c r="G3637"/>
      <c r="H3637"/>
    </row>
    <row r="3638" spans="1:8">
      <c r="A3638"/>
      <c r="B3638"/>
      <c r="C3638"/>
      <c r="E3638"/>
      <c r="F3638"/>
      <c r="G3638"/>
      <c r="H3638"/>
    </row>
    <row r="3639" spans="1:8">
      <c r="A3639"/>
      <c r="B3639"/>
      <c r="C3639"/>
      <c r="E3639"/>
      <c r="F3639"/>
      <c r="G3639"/>
      <c r="H3639"/>
    </row>
    <row r="3640" spans="1:8">
      <c r="A3640"/>
      <c r="B3640"/>
      <c r="C3640"/>
      <c r="E3640"/>
      <c r="F3640"/>
      <c r="G3640"/>
      <c r="H3640"/>
    </row>
    <row r="3641" spans="1:8">
      <c r="A3641"/>
      <c r="B3641"/>
      <c r="C3641"/>
      <c r="E3641"/>
      <c r="F3641"/>
      <c r="G3641"/>
      <c r="H3641"/>
    </row>
    <row r="3642" spans="1:8">
      <c r="A3642"/>
      <c r="B3642"/>
      <c r="C3642"/>
      <c r="E3642"/>
      <c r="F3642"/>
      <c r="G3642"/>
      <c r="H3642"/>
    </row>
    <row r="3643" spans="1:8">
      <c r="A3643"/>
      <c r="B3643"/>
      <c r="C3643"/>
      <c r="E3643"/>
      <c r="F3643"/>
      <c r="G3643"/>
      <c r="H3643"/>
    </row>
    <row r="3644" spans="1:8">
      <c r="A3644"/>
      <c r="B3644"/>
      <c r="C3644"/>
      <c r="E3644"/>
      <c r="F3644"/>
      <c r="G3644"/>
      <c r="H3644"/>
    </row>
    <row r="3645" spans="1:8">
      <c r="A3645"/>
      <c r="B3645"/>
      <c r="C3645"/>
      <c r="E3645"/>
      <c r="F3645"/>
      <c r="G3645"/>
      <c r="H3645"/>
    </row>
    <row r="3646" spans="1:8">
      <c r="A3646"/>
      <c r="B3646"/>
      <c r="C3646"/>
      <c r="E3646"/>
      <c r="F3646"/>
      <c r="G3646"/>
      <c r="H3646"/>
    </row>
    <row r="3647" spans="1:8">
      <c r="A3647"/>
      <c r="B3647"/>
      <c r="C3647"/>
      <c r="E3647"/>
      <c r="F3647"/>
      <c r="G3647"/>
      <c r="H3647"/>
    </row>
    <row r="3648" spans="1:8">
      <c r="A3648"/>
      <c r="B3648"/>
      <c r="C3648"/>
      <c r="E3648"/>
      <c r="F3648"/>
      <c r="G3648"/>
      <c r="H3648"/>
    </row>
    <row r="3649" spans="1:8">
      <c r="A3649"/>
      <c r="B3649"/>
      <c r="C3649"/>
      <c r="E3649"/>
      <c r="F3649"/>
      <c r="G3649"/>
      <c r="H3649"/>
    </row>
    <row r="3650" spans="1:8">
      <c r="A3650"/>
      <c r="B3650"/>
      <c r="C3650"/>
      <c r="E3650"/>
      <c r="F3650"/>
      <c r="G3650"/>
      <c r="H3650"/>
    </row>
    <row r="3651" spans="1:8">
      <c r="A3651"/>
      <c r="B3651"/>
      <c r="C3651"/>
      <c r="E3651"/>
      <c r="F3651"/>
      <c r="G3651"/>
      <c r="H3651"/>
    </row>
    <row r="3652" spans="1:8">
      <c r="A3652"/>
      <c r="B3652"/>
      <c r="C3652"/>
      <c r="E3652"/>
      <c r="F3652"/>
      <c r="G3652"/>
      <c r="H3652"/>
    </row>
    <row r="3653" spans="1:8">
      <c r="A3653"/>
      <c r="B3653"/>
      <c r="C3653"/>
      <c r="E3653"/>
      <c r="F3653"/>
      <c r="G3653"/>
      <c r="H3653"/>
    </row>
    <row r="3654" spans="1:8">
      <c r="A3654"/>
      <c r="B3654"/>
      <c r="C3654"/>
      <c r="E3654"/>
      <c r="F3654"/>
      <c r="G3654"/>
      <c r="H3654"/>
    </row>
    <row r="3655" spans="1:8">
      <c r="A3655"/>
      <c r="B3655"/>
      <c r="C3655"/>
      <c r="E3655"/>
      <c r="F3655"/>
      <c r="G3655"/>
      <c r="H3655"/>
    </row>
    <row r="3656" spans="1:8">
      <c r="A3656"/>
      <c r="B3656"/>
      <c r="C3656"/>
      <c r="E3656"/>
      <c r="F3656"/>
      <c r="G3656"/>
      <c r="H3656"/>
    </row>
    <row r="3657" spans="1:8">
      <c r="A3657"/>
      <c r="B3657"/>
      <c r="C3657"/>
      <c r="E3657"/>
      <c r="F3657"/>
      <c r="G3657"/>
      <c r="H3657"/>
    </row>
    <row r="3658" spans="1:8">
      <c r="A3658"/>
      <c r="B3658"/>
      <c r="C3658"/>
      <c r="E3658"/>
      <c r="F3658"/>
      <c r="G3658"/>
      <c r="H3658"/>
    </row>
    <row r="3659" spans="1:8">
      <c r="A3659"/>
      <c r="B3659"/>
      <c r="C3659"/>
      <c r="E3659"/>
      <c r="F3659"/>
      <c r="G3659"/>
      <c r="H3659"/>
    </row>
    <row r="3660" spans="1:8">
      <c r="A3660"/>
      <c r="B3660"/>
      <c r="C3660"/>
      <c r="E3660"/>
      <c r="F3660"/>
      <c r="G3660"/>
      <c r="H3660"/>
    </row>
    <row r="3661" spans="1:8">
      <c r="A3661"/>
      <c r="B3661"/>
      <c r="C3661"/>
      <c r="E3661"/>
      <c r="F3661"/>
      <c r="G3661"/>
      <c r="H3661"/>
    </row>
    <row r="3662" spans="1:8">
      <c r="A3662"/>
      <c r="B3662"/>
      <c r="C3662"/>
      <c r="E3662"/>
      <c r="F3662"/>
      <c r="G3662"/>
      <c r="H3662"/>
    </row>
    <row r="3663" spans="1:8">
      <c r="A3663"/>
      <c r="B3663"/>
      <c r="C3663"/>
      <c r="E3663"/>
      <c r="F3663"/>
      <c r="G3663"/>
      <c r="H3663"/>
    </row>
    <row r="3664" spans="1:8">
      <c r="A3664"/>
      <c r="B3664"/>
      <c r="C3664"/>
      <c r="E3664"/>
      <c r="F3664"/>
      <c r="G3664"/>
      <c r="H3664"/>
    </row>
    <row r="3665" spans="1:8">
      <c r="A3665"/>
      <c r="B3665"/>
      <c r="C3665"/>
      <c r="E3665"/>
      <c r="F3665"/>
      <c r="G3665"/>
      <c r="H3665"/>
    </row>
    <row r="3666" spans="1:8">
      <c r="A3666"/>
      <c r="B3666"/>
      <c r="C3666"/>
      <c r="E3666"/>
      <c r="F3666"/>
      <c r="G3666"/>
      <c r="H3666"/>
    </row>
    <row r="3667" spans="1:8">
      <c r="A3667"/>
      <c r="B3667"/>
      <c r="C3667"/>
      <c r="E3667"/>
      <c r="F3667"/>
      <c r="G3667"/>
      <c r="H3667"/>
    </row>
    <row r="3668" spans="1:8">
      <c r="A3668"/>
      <c r="B3668"/>
      <c r="C3668"/>
      <c r="E3668"/>
      <c r="F3668"/>
      <c r="G3668"/>
      <c r="H3668"/>
    </row>
    <row r="3669" spans="1:8">
      <c r="A3669"/>
      <c r="B3669"/>
      <c r="C3669"/>
      <c r="E3669"/>
      <c r="F3669"/>
      <c r="G3669"/>
      <c r="H3669"/>
    </row>
    <row r="3670" spans="1:8">
      <c r="A3670"/>
      <c r="B3670"/>
      <c r="C3670"/>
      <c r="E3670"/>
      <c r="F3670"/>
      <c r="G3670"/>
      <c r="H3670"/>
    </row>
    <row r="3671" spans="1:8">
      <c r="A3671"/>
      <c r="B3671"/>
      <c r="C3671"/>
      <c r="E3671"/>
      <c r="F3671"/>
      <c r="G3671"/>
      <c r="H3671"/>
    </row>
    <row r="3672" spans="1:8">
      <c r="A3672"/>
      <c r="B3672"/>
      <c r="C3672"/>
      <c r="E3672"/>
      <c r="F3672"/>
      <c r="G3672"/>
      <c r="H3672"/>
    </row>
    <row r="3673" spans="1:8">
      <c r="A3673"/>
      <c r="B3673"/>
      <c r="C3673"/>
      <c r="E3673"/>
      <c r="F3673"/>
      <c r="G3673"/>
      <c r="H3673"/>
    </row>
    <row r="3674" spans="1:8">
      <c r="A3674"/>
      <c r="B3674"/>
      <c r="C3674"/>
      <c r="E3674"/>
      <c r="F3674"/>
      <c r="G3674"/>
      <c r="H3674"/>
    </row>
    <row r="3675" spans="1:8">
      <c r="A3675"/>
      <c r="B3675"/>
      <c r="C3675"/>
      <c r="E3675"/>
      <c r="F3675"/>
      <c r="G3675"/>
      <c r="H3675"/>
    </row>
    <row r="3676" spans="1:8">
      <c r="A3676"/>
      <c r="B3676"/>
      <c r="C3676"/>
      <c r="E3676"/>
      <c r="F3676"/>
      <c r="G3676"/>
      <c r="H3676"/>
    </row>
    <row r="3677" spans="1:8">
      <c r="A3677"/>
      <c r="B3677"/>
      <c r="C3677"/>
      <c r="E3677"/>
      <c r="F3677"/>
      <c r="G3677"/>
      <c r="H3677"/>
    </row>
    <row r="3678" spans="1:8">
      <c r="A3678"/>
      <c r="B3678"/>
      <c r="C3678"/>
      <c r="E3678"/>
      <c r="F3678"/>
      <c r="G3678"/>
      <c r="H3678"/>
    </row>
    <row r="3679" spans="1:8">
      <c r="A3679"/>
      <c r="B3679"/>
      <c r="C3679"/>
      <c r="E3679"/>
      <c r="F3679"/>
      <c r="G3679"/>
      <c r="H3679"/>
    </row>
    <row r="3680" spans="1:8">
      <c r="A3680"/>
      <c r="B3680"/>
      <c r="C3680"/>
      <c r="E3680"/>
      <c r="F3680"/>
      <c r="G3680"/>
      <c r="H3680"/>
    </row>
    <row r="3681" spans="1:8">
      <c r="A3681"/>
      <c r="B3681"/>
      <c r="C3681"/>
      <c r="E3681"/>
      <c r="F3681"/>
      <c r="G3681"/>
      <c r="H3681"/>
    </row>
    <row r="3682" spans="1:8">
      <c r="A3682"/>
      <c r="B3682"/>
      <c r="C3682"/>
      <c r="E3682"/>
      <c r="F3682"/>
      <c r="G3682"/>
      <c r="H3682"/>
    </row>
    <row r="3683" spans="1:8">
      <c r="A3683"/>
      <c r="B3683"/>
      <c r="C3683"/>
      <c r="E3683"/>
      <c r="F3683"/>
      <c r="G3683"/>
      <c r="H3683"/>
    </row>
    <row r="3684" spans="1:8">
      <c r="A3684"/>
      <c r="B3684"/>
      <c r="C3684"/>
      <c r="E3684"/>
      <c r="F3684"/>
      <c r="G3684"/>
      <c r="H3684"/>
    </row>
    <row r="3685" spans="1:8">
      <c r="A3685"/>
      <c r="B3685"/>
      <c r="C3685"/>
      <c r="E3685"/>
      <c r="F3685"/>
      <c r="G3685"/>
      <c r="H3685"/>
    </row>
    <row r="3686" spans="1:8">
      <c r="A3686"/>
      <c r="B3686"/>
      <c r="C3686"/>
      <c r="E3686"/>
      <c r="F3686"/>
      <c r="G3686"/>
      <c r="H3686"/>
    </row>
    <row r="3687" spans="1:8">
      <c r="A3687"/>
      <c r="B3687"/>
      <c r="C3687"/>
      <c r="E3687"/>
      <c r="F3687"/>
      <c r="G3687"/>
      <c r="H3687"/>
    </row>
    <row r="3688" spans="1:8">
      <c r="A3688"/>
      <c r="B3688"/>
      <c r="C3688"/>
      <c r="E3688"/>
      <c r="F3688"/>
      <c r="G3688"/>
      <c r="H3688"/>
    </row>
    <row r="3689" spans="1:8">
      <c r="A3689"/>
      <c r="B3689"/>
      <c r="C3689"/>
      <c r="E3689"/>
      <c r="F3689"/>
      <c r="G3689"/>
      <c r="H3689"/>
    </row>
    <row r="3690" spans="1:8">
      <c r="A3690"/>
      <c r="B3690"/>
      <c r="C3690"/>
      <c r="E3690"/>
      <c r="F3690"/>
      <c r="G3690"/>
      <c r="H3690"/>
    </row>
    <row r="3691" spans="1:8">
      <c r="A3691"/>
      <c r="B3691"/>
      <c r="C3691"/>
      <c r="E3691"/>
      <c r="F3691"/>
      <c r="G3691"/>
      <c r="H3691"/>
    </row>
    <row r="3692" spans="1:8">
      <c r="A3692"/>
      <c r="B3692"/>
      <c r="C3692"/>
      <c r="E3692"/>
      <c r="F3692"/>
      <c r="G3692"/>
      <c r="H3692"/>
    </row>
    <row r="3693" spans="1:8">
      <c r="A3693"/>
      <c r="B3693"/>
      <c r="C3693"/>
      <c r="E3693"/>
      <c r="F3693"/>
      <c r="G3693"/>
      <c r="H3693"/>
    </row>
    <row r="3694" spans="1:8">
      <c r="A3694"/>
      <c r="B3694"/>
      <c r="C3694"/>
      <c r="E3694"/>
      <c r="F3694"/>
      <c r="G3694"/>
      <c r="H3694"/>
    </row>
    <row r="3695" spans="1:8">
      <c r="A3695"/>
      <c r="B3695"/>
      <c r="C3695"/>
      <c r="E3695"/>
      <c r="F3695"/>
      <c r="G3695"/>
      <c r="H3695"/>
    </row>
    <row r="3696" spans="1:8">
      <c r="A3696"/>
      <c r="B3696"/>
      <c r="C3696"/>
      <c r="E3696"/>
      <c r="F3696"/>
      <c r="G3696"/>
      <c r="H3696"/>
    </row>
    <row r="3697" spans="1:8">
      <c r="A3697"/>
      <c r="B3697"/>
      <c r="C3697"/>
      <c r="E3697"/>
      <c r="F3697"/>
      <c r="G3697"/>
      <c r="H3697"/>
    </row>
    <row r="3698" spans="1:8">
      <c r="A3698"/>
      <c r="B3698"/>
      <c r="C3698"/>
      <c r="E3698"/>
      <c r="F3698"/>
      <c r="G3698"/>
      <c r="H3698"/>
    </row>
    <row r="3699" spans="1:8">
      <c r="A3699"/>
      <c r="B3699"/>
      <c r="C3699"/>
      <c r="E3699"/>
      <c r="F3699"/>
      <c r="G3699"/>
      <c r="H3699"/>
    </row>
    <row r="3700" spans="1:8">
      <c r="A3700"/>
      <c r="B3700"/>
      <c r="C3700"/>
      <c r="E3700"/>
      <c r="F3700"/>
      <c r="G3700"/>
      <c r="H3700"/>
    </row>
    <row r="3701" spans="1:8">
      <c r="A3701"/>
      <c r="B3701"/>
      <c r="C3701"/>
      <c r="E3701"/>
      <c r="F3701"/>
      <c r="G3701"/>
      <c r="H3701"/>
    </row>
    <row r="3702" spans="1:8">
      <c r="A3702"/>
      <c r="B3702"/>
      <c r="C3702"/>
      <c r="E3702"/>
      <c r="F3702"/>
      <c r="G3702"/>
      <c r="H3702"/>
    </row>
    <row r="3703" spans="1:8">
      <c r="A3703"/>
      <c r="B3703"/>
      <c r="C3703"/>
      <c r="E3703"/>
      <c r="F3703"/>
      <c r="G3703"/>
      <c r="H3703"/>
    </row>
    <row r="3704" spans="1:8">
      <c r="A3704"/>
      <c r="B3704"/>
      <c r="C3704"/>
      <c r="E3704"/>
      <c r="F3704"/>
      <c r="G3704"/>
      <c r="H3704"/>
    </row>
    <row r="3705" spans="1:8">
      <c r="A3705"/>
      <c r="B3705"/>
      <c r="C3705"/>
      <c r="E3705"/>
      <c r="F3705"/>
      <c r="G3705"/>
      <c r="H3705"/>
    </row>
    <row r="3706" spans="1:8">
      <c r="A3706"/>
      <c r="B3706"/>
      <c r="C3706"/>
      <c r="E3706"/>
      <c r="F3706"/>
      <c r="G3706"/>
      <c r="H3706"/>
    </row>
    <row r="3707" spans="1:8">
      <c r="A3707"/>
      <c r="B3707"/>
      <c r="C3707"/>
      <c r="E3707"/>
      <c r="F3707"/>
      <c r="G3707"/>
      <c r="H3707"/>
    </row>
    <row r="3708" spans="1:8">
      <c r="A3708"/>
      <c r="B3708"/>
      <c r="C3708"/>
      <c r="E3708"/>
      <c r="F3708"/>
      <c r="G3708"/>
      <c r="H3708"/>
    </row>
    <row r="3709" spans="1:8">
      <c r="A3709"/>
      <c r="B3709"/>
      <c r="C3709"/>
      <c r="E3709"/>
      <c r="F3709"/>
      <c r="G3709"/>
      <c r="H3709"/>
    </row>
    <row r="3710" spans="1:8">
      <c r="A3710"/>
      <c r="B3710"/>
      <c r="C3710"/>
      <c r="E3710"/>
      <c r="F3710"/>
      <c r="G3710"/>
      <c r="H3710"/>
    </row>
    <row r="3711" spans="1:8">
      <c r="A3711"/>
      <c r="B3711"/>
      <c r="C3711"/>
      <c r="E3711"/>
      <c r="F3711"/>
      <c r="G3711"/>
      <c r="H3711"/>
    </row>
    <row r="3712" spans="1:8">
      <c r="A3712"/>
      <c r="B3712"/>
      <c r="C3712"/>
      <c r="E3712"/>
      <c r="F3712"/>
      <c r="G3712"/>
      <c r="H3712"/>
    </row>
    <row r="3713" spans="1:8">
      <c r="A3713"/>
      <c r="B3713"/>
      <c r="C3713"/>
      <c r="E3713"/>
      <c r="F3713"/>
      <c r="G3713"/>
      <c r="H3713"/>
    </row>
    <row r="3714" spans="1:8">
      <c r="A3714"/>
      <c r="B3714"/>
      <c r="C3714"/>
      <c r="E3714"/>
      <c r="F3714"/>
      <c r="G3714"/>
      <c r="H3714"/>
    </row>
    <row r="3715" spans="1:8">
      <c r="A3715"/>
      <c r="B3715"/>
      <c r="C3715"/>
      <c r="E3715"/>
      <c r="F3715"/>
      <c r="G3715"/>
      <c r="H3715"/>
    </row>
    <row r="3716" spans="1:8">
      <c r="A3716"/>
      <c r="B3716"/>
      <c r="C3716"/>
      <c r="E3716"/>
      <c r="F3716"/>
      <c r="G3716"/>
      <c r="H3716"/>
    </row>
    <row r="3717" spans="1:8">
      <c r="A3717"/>
      <c r="B3717"/>
      <c r="C3717"/>
      <c r="E3717"/>
      <c r="F3717"/>
      <c r="G3717"/>
      <c r="H3717"/>
    </row>
    <row r="3718" spans="1:8">
      <c r="A3718"/>
      <c r="B3718"/>
      <c r="C3718"/>
      <c r="E3718"/>
      <c r="F3718"/>
      <c r="G3718"/>
      <c r="H3718"/>
    </row>
    <row r="3719" spans="1:8">
      <c r="A3719"/>
      <c r="B3719"/>
      <c r="C3719"/>
      <c r="E3719"/>
      <c r="F3719"/>
      <c r="G3719"/>
      <c r="H3719"/>
    </row>
    <row r="3720" spans="1:8">
      <c r="A3720"/>
      <c r="B3720"/>
      <c r="C3720"/>
      <c r="E3720"/>
      <c r="F3720"/>
      <c r="G3720"/>
      <c r="H3720"/>
    </row>
    <row r="3721" spans="1:8">
      <c r="A3721"/>
      <c r="B3721"/>
      <c r="C3721"/>
      <c r="E3721"/>
      <c r="F3721"/>
      <c r="G3721"/>
      <c r="H3721"/>
    </row>
    <row r="3722" spans="1:8">
      <c r="A3722"/>
      <c r="B3722"/>
      <c r="C3722"/>
      <c r="E3722"/>
      <c r="F3722"/>
      <c r="G3722"/>
      <c r="H3722"/>
    </row>
    <row r="3723" spans="1:8">
      <c r="A3723"/>
      <c r="B3723"/>
      <c r="C3723"/>
      <c r="E3723"/>
      <c r="F3723"/>
      <c r="G3723"/>
      <c r="H3723"/>
    </row>
    <row r="3724" spans="1:8">
      <c r="A3724"/>
      <c r="B3724"/>
      <c r="C3724"/>
      <c r="E3724"/>
      <c r="F3724"/>
      <c r="G3724"/>
      <c r="H3724"/>
    </row>
    <row r="3725" spans="1:8">
      <c r="A3725"/>
      <c r="B3725"/>
      <c r="C3725"/>
      <c r="E3725"/>
      <c r="F3725"/>
      <c r="G3725"/>
      <c r="H3725"/>
    </row>
    <row r="3726" spans="1:8">
      <c r="A3726"/>
      <c r="B3726"/>
      <c r="C3726"/>
      <c r="E3726"/>
      <c r="F3726"/>
      <c r="G3726"/>
      <c r="H3726"/>
    </row>
    <row r="3727" spans="1:8">
      <c r="A3727"/>
      <c r="B3727"/>
      <c r="C3727"/>
      <c r="E3727"/>
      <c r="F3727"/>
      <c r="G3727"/>
      <c r="H3727"/>
    </row>
    <row r="3728" spans="1:8">
      <c r="A3728"/>
      <c r="B3728"/>
      <c r="C3728"/>
      <c r="E3728"/>
      <c r="F3728"/>
      <c r="G3728"/>
      <c r="H3728"/>
    </row>
    <row r="3729" spans="1:8">
      <c r="A3729"/>
      <c r="B3729"/>
      <c r="C3729"/>
      <c r="E3729"/>
      <c r="F3729"/>
      <c r="G3729"/>
      <c r="H3729"/>
    </row>
    <row r="3730" spans="1:8">
      <c r="A3730"/>
      <c r="B3730"/>
      <c r="C3730"/>
      <c r="E3730"/>
      <c r="F3730"/>
      <c r="G3730"/>
      <c r="H3730"/>
    </row>
    <row r="3731" spans="1:8">
      <c r="A3731"/>
      <c r="B3731"/>
      <c r="C3731"/>
      <c r="E3731"/>
      <c r="F3731"/>
      <c r="G3731"/>
      <c r="H3731"/>
    </row>
    <row r="3732" spans="1:8">
      <c r="A3732"/>
      <c r="B3732"/>
      <c r="C3732"/>
      <c r="E3732"/>
      <c r="F3732"/>
      <c r="G3732"/>
      <c r="H3732"/>
    </row>
    <row r="3733" spans="1:8">
      <c r="A3733"/>
      <c r="B3733"/>
      <c r="C3733"/>
      <c r="E3733"/>
      <c r="F3733"/>
      <c r="G3733"/>
      <c r="H3733"/>
    </row>
    <row r="3734" spans="1:8">
      <c r="A3734"/>
      <c r="B3734"/>
      <c r="C3734"/>
      <c r="E3734"/>
      <c r="F3734"/>
      <c r="G3734"/>
      <c r="H3734"/>
    </row>
    <row r="3735" spans="1:8">
      <c r="A3735"/>
      <c r="B3735"/>
      <c r="C3735"/>
      <c r="E3735"/>
      <c r="F3735"/>
      <c r="G3735"/>
      <c r="H3735"/>
    </row>
    <row r="3736" spans="1:8">
      <c r="A3736"/>
      <c r="B3736"/>
      <c r="C3736"/>
      <c r="E3736"/>
      <c r="F3736"/>
      <c r="G3736"/>
      <c r="H3736"/>
    </row>
    <row r="3737" spans="1:8">
      <c r="A3737"/>
      <c r="B3737"/>
      <c r="C3737"/>
      <c r="E3737"/>
      <c r="F3737"/>
      <c r="G3737"/>
      <c r="H3737"/>
    </row>
    <row r="3738" spans="1:8">
      <c r="A3738"/>
      <c r="B3738"/>
      <c r="C3738"/>
      <c r="E3738"/>
      <c r="F3738"/>
      <c r="G3738"/>
      <c r="H3738"/>
    </row>
    <row r="3739" spans="1:8">
      <c r="A3739"/>
      <c r="B3739"/>
      <c r="C3739"/>
      <c r="E3739"/>
      <c r="F3739"/>
      <c r="G3739"/>
      <c r="H3739"/>
    </row>
    <row r="3740" spans="1:8">
      <c r="A3740"/>
      <c r="B3740"/>
      <c r="C3740"/>
      <c r="E3740"/>
      <c r="F3740"/>
      <c r="G3740"/>
      <c r="H3740"/>
    </row>
    <row r="3741" spans="1:8">
      <c r="A3741"/>
      <c r="B3741"/>
      <c r="C3741"/>
      <c r="E3741"/>
      <c r="F3741"/>
      <c r="G3741"/>
      <c r="H3741"/>
    </row>
    <row r="3742" spans="1:8">
      <c r="A3742"/>
      <c r="B3742"/>
      <c r="C3742"/>
      <c r="E3742"/>
      <c r="F3742"/>
      <c r="G3742"/>
      <c r="H3742"/>
    </row>
    <row r="3743" spans="1:8">
      <c r="A3743"/>
      <c r="B3743"/>
      <c r="C3743"/>
      <c r="E3743"/>
      <c r="F3743"/>
      <c r="G3743"/>
      <c r="H3743"/>
    </row>
    <row r="3744" spans="1:8">
      <c r="A3744"/>
      <c r="B3744"/>
      <c r="C3744"/>
      <c r="E3744"/>
      <c r="F3744"/>
      <c r="G3744"/>
      <c r="H3744"/>
    </row>
    <row r="3745" spans="1:8">
      <c r="A3745"/>
      <c r="B3745"/>
      <c r="C3745"/>
      <c r="E3745"/>
      <c r="F3745"/>
      <c r="G3745"/>
      <c r="H3745"/>
    </row>
    <row r="3746" spans="1:8">
      <c r="A3746"/>
      <c r="B3746"/>
      <c r="C3746"/>
      <c r="E3746"/>
      <c r="F3746"/>
      <c r="G3746"/>
      <c r="H3746"/>
    </row>
    <row r="3747" spans="1:8">
      <c r="A3747"/>
      <c r="B3747"/>
      <c r="C3747"/>
      <c r="E3747"/>
      <c r="F3747"/>
      <c r="G3747"/>
      <c r="H3747"/>
    </row>
    <row r="3748" spans="1:8">
      <c r="A3748"/>
      <c r="B3748"/>
      <c r="C3748"/>
      <c r="E3748"/>
      <c r="F3748"/>
      <c r="G3748"/>
      <c r="H3748"/>
    </row>
    <row r="3749" spans="1:8">
      <c r="A3749"/>
      <c r="B3749"/>
      <c r="C3749"/>
      <c r="E3749"/>
      <c r="F3749"/>
      <c r="G3749"/>
      <c r="H3749"/>
    </row>
    <row r="3750" spans="1:8">
      <c r="A3750"/>
      <c r="B3750"/>
      <c r="C3750"/>
      <c r="E3750"/>
      <c r="F3750"/>
      <c r="G3750"/>
      <c r="H3750"/>
    </row>
    <row r="3751" spans="1:8">
      <c r="A3751"/>
      <c r="B3751"/>
      <c r="C3751"/>
      <c r="E3751"/>
      <c r="F3751"/>
      <c r="G3751"/>
      <c r="H3751"/>
    </row>
    <row r="3752" spans="1:8">
      <c r="A3752"/>
      <c r="B3752"/>
      <c r="C3752"/>
      <c r="E3752"/>
      <c r="F3752"/>
      <c r="G3752"/>
      <c r="H3752"/>
    </row>
    <row r="3753" spans="1:8">
      <c r="A3753"/>
      <c r="B3753"/>
      <c r="C3753"/>
      <c r="E3753"/>
      <c r="F3753"/>
      <c r="G3753"/>
      <c r="H3753"/>
    </row>
    <row r="3754" spans="1:8">
      <c r="A3754"/>
      <c r="B3754"/>
      <c r="C3754"/>
      <c r="E3754"/>
      <c r="F3754"/>
      <c r="G3754"/>
      <c r="H3754"/>
    </row>
    <row r="3755" spans="1:8">
      <c r="A3755"/>
      <c r="B3755"/>
      <c r="C3755"/>
      <c r="E3755"/>
      <c r="F3755"/>
      <c r="G3755"/>
      <c r="H3755"/>
    </row>
    <row r="3756" spans="1:8">
      <c r="A3756"/>
      <c r="B3756"/>
      <c r="C3756"/>
      <c r="E3756"/>
      <c r="F3756"/>
      <c r="G3756"/>
      <c r="H3756"/>
    </row>
    <row r="3757" spans="1:8">
      <c r="A3757"/>
      <c r="B3757"/>
      <c r="C3757"/>
      <c r="E3757"/>
      <c r="F3757"/>
      <c r="G3757"/>
      <c r="H3757"/>
    </row>
    <row r="3758" spans="1:8">
      <c r="A3758"/>
      <c r="B3758"/>
      <c r="C3758"/>
      <c r="E3758"/>
      <c r="F3758"/>
      <c r="G3758"/>
      <c r="H3758"/>
    </row>
    <row r="3759" spans="1:8">
      <c r="A3759"/>
      <c r="B3759"/>
      <c r="C3759"/>
      <c r="E3759"/>
      <c r="F3759"/>
      <c r="G3759"/>
      <c r="H3759"/>
    </row>
    <row r="3760" spans="1:8">
      <c r="A3760"/>
      <c r="B3760"/>
      <c r="C3760"/>
      <c r="E3760"/>
      <c r="F3760"/>
      <c r="G3760"/>
      <c r="H3760"/>
    </row>
    <row r="3761" spans="1:8">
      <c r="A3761"/>
      <c r="B3761"/>
      <c r="C3761"/>
      <c r="E3761"/>
      <c r="F3761"/>
      <c r="G3761"/>
      <c r="H3761"/>
    </row>
    <row r="3762" spans="1:8">
      <c r="A3762"/>
      <c r="B3762"/>
      <c r="C3762"/>
      <c r="E3762"/>
      <c r="F3762"/>
      <c r="G3762"/>
      <c r="H3762"/>
    </row>
    <row r="3763" spans="1:8">
      <c r="A3763"/>
      <c r="B3763"/>
      <c r="C3763"/>
      <c r="E3763"/>
      <c r="F3763"/>
      <c r="G3763"/>
      <c r="H3763"/>
    </row>
    <row r="3764" spans="1:8">
      <c r="A3764"/>
      <c r="B3764"/>
      <c r="C3764"/>
      <c r="E3764"/>
      <c r="F3764"/>
      <c r="G3764"/>
      <c r="H3764"/>
    </row>
    <row r="3765" spans="1:8">
      <c r="A3765"/>
      <c r="B3765"/>
      <c r="C3765"/>
      <c r="E3765"/>
      <c r="F3765"/>
      <c r="G3765"/>
      <c r="H3765"/>
    </row>
    <row r="3766" spans="1:8">
      <c r="A3766"/>
      <c r="B3766"/>
      <c r="C3766"/>
      <c r="E3766"/>
      <c r="F3766"/>
      <c r="G3766"/>
      <c r="H3766"/>
    </row>
    <row r="3767" spans="1:8">
      <c r="A3767"/>
      <c r="B3767"/>
      <c r="C3767"/>
      <c r="E3767"/>
      <c r="F3767"/>
      <c r="G3767"/>
      <c r="H3767"/>
    </row>
    <row r="3768" spans="1:8">
      <c r="A3768"/>
      <c r="B3768"/>
      <c r="C3768"/>
      <c r="E3768"/>
      <c r="F3768"/>
      <c r="G3768"/>
      <c r="H3768"/>
    </row>
    <row r="3769" spans="1:8">
      <c r="A3769"/>
      <c r="B3769"/>
      <c r="C3769"/>
      <c r="E3769"/>
      <c r="F3769"/>
      <c r="G3769"/>
      <c r="H3769"/>
    </row>
    <row r="3770" spans="1:8">
      <c r="A3770"/>
      <c r="B3770"/>
      <c r="C3770"/>
      <c r="E3770"/>
      <c r="F3770"/>
      <c r="G3770"/>
      <c r="H3770"/>
    </row>
    <row r="3771" spans="1:8">
      <c r="A3771"/>
      <c r="B3771"/>
      <c r="C3771"/>
      <c r="E3771"/>
      <c r="F3771"/>
      <c r="G3771"/>
      <c r="H3771"/>
    </row>
    <row r="3772" spans="1:8">
      <c r="A3772"/>
      <c r="B3772"/>
      <c r="C3772"/>
      <c r="E3772"/>
      <c r="F3772"/>
      <c r="G3772"/>
      <c r="H3772"/>
    </row>
    <row r="3773" spans="1:8">
      <c r="A3773"/>
      <c r="B3773"/>
      <c r="C3773"/>
      <c r="E3773"/>
      <c r="F3773"/>
      <c r="G3773"/>
      <c r="H3773"/>
    </row>
    <row r="3774" spans="1:8">
      <c r="A3774"/>
      <c r="B3774"/>
      <c r="C3774"/>
      <c r="E3774"/>
      <c r="F3774"/>
      <c r="G3774"/>
      <c r="H3774"/>
    </row>
    <row r="3775" spans="1:8">
      <c r="A3775"/>
      <c r="B3775"/>
      <c r="C3775"/>
      <c r="E3775"/>
      <c r="F3775"/>
      <c r="G3775"/>
      <c r="H3775"/>
    </row>
    <row r="3776" spans="1:8">
      <c r="A3776"/>
      <c r="B3776"/>
      <c r="C3776"/>
      <c r="E3776"/>
      <c r="F3776"/>
      <c r="G3776"/>
      <c r="H3776"/>
    </row>
    <row r="3777" spans="1:8">
      <c r="A3777"/>
      <c r="B3777"/>
      <c r="C3777"/>
      <c r="E3777"/>
      <c r="F3777"/>
      <c r="G3777"/>
      <c r="H3777"/>
    </row>
    <row r="3778" spans="1:8">
      <c r="A3778"/>
      <c r="B3778"/>
      <c r="C3778"/>
      <c r="E3778"/>
      <c r="F3778"/>
      <c r="G3778"/>
      <c r="H3778"/>
    </row>
    <row r="3779" spans="1:8">
      <c r="A3779"/>
      <c r="B3779"/>
      <c r="C3779"/>
      <c r="E3779"/>
      <c r="F3779"/>
      <c r="G3779"/>
      <c r="H3779"/>
    </row>
    <row r="3780" spans="1:8">
      <c r="A3780"/>
      <c r="B3780"/>
      <c r="C3780"/>
      <c r="E3780"/>
      <c r="F3780"/>
      <c r="G3780"/>
      <c r="H3780"/>
    </row>
    <row r="3781" spans="1:8">
      <c r="A3781"/>
      <c r="B3781"/>
      <c r="C3781"/>
      <c r="E3781"/>
      <c r="F3781"/>
      <c r="G3781"/>
      <c r="H3781"/>
    </row>
    <row r="3782" spans="1:8">
      <c r="A3782"/>
      <c r="B3782"/>
      <c r="C3782"/>
      <c r="E3782"/>
      <c r="F3782"/>
      <c r="G3782"/>
      <c r="H3782"/>
    </row>
    <row r="3783" spans="1:8">
      <c r="A3783"/>
      <c r="B3783"/>
      <c r="C3783"/>
      <c r="E3783"/>
      <c r="F3783"/>
      <c r="G3783"/>
      <c r="H3783"/>
    </row>
    <row r="3784" spans="1:8">
      <c r="A3784"/>
      <c r="B3784"/>
      <c r="C3784"/>
      <c r="E3784"/>
      <c r="F3784"/>
      <c r="G3784"/>
      <c r="H3784"/>
    </row>
    <row r="3785" spans="1:8">
      <c r="A3785"/>
      <c r="B3785"/>
      <c r="C3785"/>
      <c r="E3785"/>
      <c r="F3785"/>
      <c r="G3785"/>
      <c r="H3785"/>
    </row>
    <row r="3786" spans="1:8">
      <c r="A3786"/>
      <c r="B3786"/>
      <c r="C3786"/>
      <c r="E3786"/>
      <c r="F3786"/>
      <c r="G3786"/>
      <c r="H3786"/>
    </row>
    <row r="3787" spans="1:8">
      <c r="A3787"/>
      <c r="B3787"/>
      <c r="C3787"/>
      <c r="E3787"/>
      <c r="F3787"/>
      <c r="G3787"/>
      <c r="H3787"/>
    </row>
    <row r="3788" spans="1:8">
      <c r="A3788"/>
      <c r="B3788"/>
      <c r="C3788"/>
      <c r="E3788"/>
      <c r="F3788"/>
      <c r="G3788"/>
      <c r="H3788"/>
    </row>
    <row r="3789" spans="1:8">
      <c r="A3789"/>
      <c r="B3789"/>
      <c r="C3789"/>
      <c r="E3789"/>
      <c r="F3789"/>
      <c r="G3789"/>
      <c r="H3789"/>
    </row>
    <row r="3790" spans="1:8">
      <c r="A3790"/>
      <c r="B3790"/>
      <c r="C3790"/>
      <c r="E3790"/>
      <c r="F3790"/>
      <c r="G3790"/>
      <c r="H3790"/>
    </row>
    <row r="3791" spans="1:8">
      <c r="A3791"/>
      <c r="B3791"/>
      <c r="C3791"/>
      <c r="E3791"/>
      <c r="F3791"/>
      <c r="G3791"/>
      <c r="H3791"/>
    </row>
    <row r="3792" spans="1:8">
      <c r="A3792"/>
      <c r="B3792"/>
      <c r="C3792"/>
      <c r="E3792"/>
      <c r="F3792"/>
      <c r="G3792"/>
      <c r="H3792"/>
    </row>
    <row r="3793" spans="1:8">
      <c r="A3793"/>
      <c r="B3793"/>
      <c r="C3793"/>
      <c r="E3793"/>
      <c r="F3793"/>
      <c r="G3793"/>
      <c r="H3793"/>
    </row>
    <row r="3794" spans="1:8">
      <c r="A3794"/>
      <c r="B3794"/>
      <c r="C3794"/>
      <c r="E3794"/>
      <c r="F3794"/>
      <c r="G3794"/>
      <c r="H3794"/>
    </row>
    <row r="3795" spans="1:8">
      <c r="A3795"/>
      <c r="B3795"/>
      <c r="C3795"/>
      <c r="E3795"/>
      <c r="F3795"/>
      <c r="G3795"/>
      <c r="H3795"/>
    </row>
    <row r="3796" spans="1:8">
      <c r="A3796"/>
      <c r="B3796"/>
      <c r="C3796"/>
      <c r="E3796"/>
      <c r="F3796"/>
      <c r="G3796"/>
      <c r="H3796"/>
    </row>
    <row r="3797" spans="1:8">
      <c r="A3797"/>
      <c r="B3797"/>
      <c r="C3797"/>
      <c r="E3797"/>
      <c r="F3797"/>
      <c r="G3797"/>
      <c r="H3797"/>
    </row>
    <row r="3798" spans="1:8">
      <c r="A3798"/>
      <c r="B3798"/>
      <c r="C3798"/>
      <c r="E3798"/>
      <c r="F3798"/>
      <c r="G3798"/>
      <c r="H3798"/>
    </row>
    <row r="3799" spans="1:8">
      <c r="A3799"/>
      <c r="B3799"/>
      <c r="C3799"/>
      <c r="E3799"/>
      <c r="F3799"/>
      <c r="G3799"/>
      <c r="H3799"/>
    </row>
    <row r="3800" spans="1:8">
      <c r="A3800"/>
      <c r="B3800"/>
      <c r="C3800"/>
      <c r="E3800"/>
      <c r="F3800"/>
      <c r="G3800"/>
      <c r="H3800"/>
    </row>
    <row r="3801" spans="1:8">
      <c r="A3801"/>
      <c r="B3801"/>
      <c r="C3801"/>
      <c r="E3801"/>
      <c r="F3801"/>
      <c r="G3801"/>
      <c r="H3801"/>
    </row>
    <row r="3802" spans="1:8">
      <c r="A3802"/>
      <c r="B3802"/>
      <c r="C3802"/>
      <c r="E3802"/>
      <c r="F3802"/>
      <c r="G3802"/>
      <c r="H3802"/>
    </row>
    <row r="3803" spans="1:8">
      <c r="A3803"/>
      <c r="B3803"/>
      <c r="C3803"/>
      <c r="E3803"/>
      <c r="F3803"/>
      <c r="G3803"/>
      <c r="H3803"/>
    </row>
    <row r="3804" spans="1:8">
      <c r="A3804"/>
      <c r="B3804"/>
      <c r="C3804"/>
      <c r="E3804"/>
      <c r="F3804"/>
      <c r="G3804"/>
      <c r="H3804"/>
    </row>
    <row r="3805" spans="1:8">
      <c r="A3805"/>
      <c r="B3805"/>
      <c r="C3805"/>
      <c r="E3805"/>
      <c r="F3805"/>
      <c r="G3805"/>
      <c r="H3805"/>
    </row>
    <row r="3806" spans="1:8">
      <c r="A3806"/>
      <c r="B3806"/>
      <c r="C3806"/>
      <c r="E3806"/>
      <c r="F3806"/>
      <c r="G3806"/>
      <c r="H3806"/>
    </row>
    <row r="3807" spans="1:8">
      <c r="A3807"/>
      <c r="B3807"/>
      <c r="C3807"/>
      <c r="E3807"/>
      <c r="F3807"/>
      <c r="G3807"/>
      <c r="H3807"/>
    </row>
    <row r="3808" spans="1:8">
      <c r="A3808"/>
      <c r="B3808"/>
      <c r="C3808"/>
      <c r="E3808"/>
      <c r="F3808"/>
      <c r="G3808"/>
      <c r="H3808"/>
    </row>
    <row r="3809" spans="1:8">
      <c r="A3809"/>
      <c r="B3809"/>
      <c r="C3809"/>
      <c r="E3809"/>
      <c r="F3809"/>
      <c r="G3809"/>
      <c r="H3809"/>
    </row>
    <row r="3810" spans="1:8">
      <c r="A3810"/>
      <c r="B3810"/>
      <c r="C3810"/>
      <c r="E3810"/>
      <c r="F3810"/>
      <c r="G3810"/>
      <c r="H3810"/>
    </row>
    <row r="3811" spans="1:8">
      <c r="A3811"/>
      <c r="B3811"/>
      <c r="C3811"/>
      <c r="E3811"/>
      <c r="F3811"/>
      <c r="G3811"/>
      <c r="H3811"/>
    </row>
    <row r="3812" spans="1:8">
      <c r="A3812"/>
      <c r="B3812"/>
      <c r="C3812"/>
      <c r="E3812"/>
      <c r="F3812"/>
      <c r="G3812"/>
      <c r="H3812"/>
    </row>
    <row r="3813" spans="1:8">
      <c r="A3813"/>
      <c r="B3813"/>
      <c r="C3813"/>
      <c r="E3813"/>
      <c r="F3813"/>
      <c r="G3813"/>
      <c r="H3813"/>
    </row>
    <row r="3814" spans="1:8">
      <c r="A3814"/>
      <c r="B3814"/>
      <c r="C3814"/>
      <c r="E3814"/>
      <c r="F3814"/>
      <c r="G3814"/>
      <c r="H3814"/>
    </row>
    <row r="3815" spans="1:8">
      <c r="A3815"/>
      <c r="B3815"/>
      <c r="C3815"/>
      <c r="E3815"/>
      <c r="F3815"/>
      <c r="G3815"/>
      <c r="H3815"/>
    </row>
    <row r="3816" spans="1:8">
      <c r="A3816"/>
      <c r="B3816"/>
      <c r="C3816"/>
      <c r="E3816"/>
      <c r="F3816"/>
      <c r="G3816"/>
      <c r="H3816"/>
    </row>
    <row r="3817" spans="1:8">
      <c r="A3817"/>
      <c r="B3817"/>
      <c r="C3817"/>
      <c r="E3817"/>
      <c r="F3817"/>
      <c r="G3817"/>
      <c r="H3817"/>
    </row>
    <row r="3818" spans="1:8">
      <c r="A3818"/>
      <c r="B3818"/>
      <c r="C3818"/>
      <c r="E3818"/>
      <c r="F3818"/>
      <c r="G3818"/>
      <c r="H3818"/>
    </row>
    <row r="3819" spans="1:8">
      <c r="A3819"/>
      <c r="B3819"/>
      <c r="C3819"/>
      <c r="E3819"/>
      <c r="F3819"/>
      <c r="G3819"/>
      <c r="H3819"/>
    </row>
    <row r="3820" spans="1:8">
      <c r="A3820"/>
      <c r="B3820"/>
      <c r="C3820"/>
      <c r="E3820"/>
      <c r="F3820"/>
      <c r="G3820"/>
      <c r="H3820"/>
    </row>
    <row r="3821" spans="1:8">
      <c r="A3821"/>
      <c r="B3821"/>
      <c r="C3821"/>
      <c r="E3821"/>
      <c r="F3821"/>
      <c r="G3821"/>
      <c r="H3821"/>
    </row>
    <row r="3822" spans="1:8">
      <c r="A3822"/>
      <c r="B3822"/>
      <c r="C3822"/>
      <c r="E3822"/>
      <c r="F3822"/>
      <c r="G3822"/>
      <c r="H3822"/>
    </row>
    <row r="3823" spans="1:8">
      <c r="A3823"/>
      <c r="B3823"/>
      <c r="C3823"/>
      <c r="E3823"/>
      <c r="F3823"/>
      <c r="G3823"/>
      <c r="H3823"/>
    </row>
    <row r="3824" spans="1:8">
      <c r="A3824"/>
      <c r="B3824"/>
      <c r="C3824"/>
      <c r="E3824"/>
      <c r="F3824"/>
      <c r="G3824"/>
      <c r="H3824"/>
    </row>
    <row r="3825" spans="1:8">
      <c r="A3825"/>
      <c r="B3825"/>
      <c r="C3825"/>
      <c r="E3825"/>
      <c r="F3825"/>
      <c r="G3825"/>
      <c r="H3825"/>
    </row>
    <row r="3826" spans="1:8">
      <c r="A3826"/>
      <c r="B3826"/>
      <c r="C3826"/>
      <c r="E3826"/>
      <c r="F3826"/>
      <c r="G3826"/>
      <c r="H3826"/>
    </row>
    <row r="3827" spans="1:8">
      <c r="A3827"/>
      <c r="B3827"/>
      <c r="C3827"/>
      <c r="E3827"/>
      <c r="F3827"/>
      <c r="G3827"/>
      <c r="H3827"/>
    </row>
    <row r="3828" spans="1:8">
      <c r="A3828"/>
      <c r="B3828"/>
      <c r="C3828"/>
      <c r="E3828"/>
      <c r="F3828"/>
      <c r="G3828"/>
      <c r="H3828"/>
    </row>
    <row r="3829" spans="1:8">
      <c r="A3829"/>
      <c r="B3829"/>
      <c r="C3829"/>
      <c r="E3829"/>
      <c r="F3829"/>
      <c r="G3829"/>
      <c r="H3829"/>
    </row>
    <row r="3830" spans="1:8">
      <c r="A3830"/>
      <c r="B3830"/>
      <c r="C3830"/>
      <c r="E3830"/>
      <c r="F3830"/>
      <c r="G3830"/>
      <c r="H3830"/>
    </row>
    <row r="3831" spans="1:8">
      <c r="A3831"/>
      <c r="B3831"/>
      <c r="C3831"/>
      <c r="E3831"/>
      <c r="F3831"/>
      <c r="G3831"/>
      <c r="H3831"/>
    </row>
    <row r="3832" spans="1:8">
      <c r="A3832"/>
      <c r="B3832"/>
      <c r="C3832"/>
      <c r="E3832"/>
      <c r="F3832"/>
      <c r="G3832"/>
      <c r="H3832"/>
    </row>
    <row r="3833" spans="1:8">
      <c r="A3833"/>
      <c r="B3833"/>
      <c r="C3833"/>
      <c r="E3833"/>
      <c r="F3833"/>
      <c r="G3833"/>
      <c r="H3833"/>
    </row>
    <row r="3834" spans="1:8">
      <c r="A3834"/>
      <c r="B3834"/>
      <c r="C3834"/>
      <c r="E3834"/>
      <c r="F3834"/>
      <c r="G3834"/>
      <c r="H3834"/>
    </row>
    <row r="3835" spans="1:8">
      <c r="A3835"/>
      <c r="B3835"/>
      <c r="C3835"/>
      <c r="E3835"/>
      <c r="F3835"/>
      <c r="G3835"/>
      <c r="H3835"/>
    </row>
    <row r="3836" spans="1:8">
      <c r="A3836"/>
      <c r="B3836"/>
      <c r="C3836"/>
      <c r="E3836"/>
      <c r="F3836"/>
      <c r="G3836"/>
      <c r="H3836"/>
    </row>
    <row r="3837" spans="1:8">
      <c r="A3837"/>
      <c r="B3837"/>
      <c r="C3837"/>
      <c r="E3837"/>
      <c r="F3837"/>
      <c r="G3837"/>
      <c r="H3837"/>
    </row>
    <row r="3838" spans="1:8">
      <c r="A3838"/>
      <c r="B3838"/>
      <c r="C3838"/>
      <c r="E3838"/>
      <c r="F3838"/>
      <c r="G3838"/>
      <c r="H3838"/>
    </row>
    <row r="3839" spans="1:8">
      <c r="A3839"/>
      <c r="B3839"/>
      <c r="C3839"/>
      <c r="E3839"/>
      <c r="F3839"/>
      <c r="G3839"/>
      <c r="H3839"/>
    </row>
    <row r="3840" spans="1:8">
      <c r="A3840"/>
      <c r="B3840"/>
      <c r="C3840"/>
      <c r="E3840"/>
      <c r="F3840"/>
      <c r="G3840"/>
      <c r="H3840"/>
    </row>
    <row r="3841" spans="1:8">
      <c r="A3841"/>
      <c r="B3841"/>
      <c r="C3841"/>
      <c r="E3841"/>
      <c r="F3841"/>
      <c r="G3841"/>
      <c r="H3841"/>
    </row>
    <row r="3842" spans="1:8">
      <c r="A3842"/>
      <c r="B3842"/>
      <c r="C3842"/>
      <c r="E3842"/>
      <c r="F3842"/>
      <c r="G3842"/>
      <c r="H3842"/>
    </row>
    <row r="3843" spans="1:8">
      <c r="A3843"/>
      <c r="B3843"/>
      <c r="C3843"/>
      <c r="E3843"/>
      <c r="F3843"/>
      <c r="G3843"/>
      <c r="H3843"/>
    </row>
    <row r="3844" spans="1:8">
      <c r="A3844"/>
      <c r="B3844"/>
      <c r="C3844"/>
      <c r="E3844"/>
      <c r="F3844"/>
      <c r="G3844"/>
      <c r="H3844"/>
    </row>
    <row r="3845" spans="1:8">
      <c r="A3845"/>
      <c r="B3845"/>
      <c r="C3845"/>
      <c r="E3845"/>
      <c r="F3845"/>
      <c r="G3845"/>
      <c r="H3845"/>
    </row>
    <row r="3846" spans="1:8">
      <c r="A3846"/>
      <c r="B3846"/>
      <c r="C3846"/>
      <c r="E3846"/>
      <c r="F3846"/>
      <c r="G3846"/>
      <c r="H3846"/>
    </row>
    <row r="3847" spans="1:8">
      <c r="A3847"/>
      <c r="B3847"/>
      <c r="C3847"/>
      <c r="E3847"/>
      <c r="F3847"/>
      <c r="G3847"/>
      <c r="H3847"/>
    </row>
    <row r="3848" spans="1:8">
      <c r="A3848"/>
      <c r="B3848"/>
      <c r="C3848"/>
      <c r="E3848"/>
      <c r="F3848"/>
      <c r="G3848"/>
      <c r="H3848"/>
    </row>
    <row r="3849" spans="1:8">
      <c r="A3849"/>
      <c r="B3849"/>
      <c r="C3849"/>
      <c r="E3849"/>
      <c r="F3849"/>
      <c r="G3849"/>
      <c r="H3849"/>
    </row>
    <row r="3850" spans="1:8">
      <c r="A3850"/>
      <c r="B3850"/>
      <c r="C3850"/>
      <c r="E3850"/>
      <c r="F3850"/>
      <c r="G3850"/>
      <c r="H3850"/>
    </row>
    <row r="3851" spans="1:8">
      <c r="A3851"/>
      <c r="B3851"/>
      <c r="C3851"/>
      <c r="E3851"/>
      <c r="F3851"/>
      <c r="G3851"/>
      <c r="H3851"/>
    </row>
    <row r="3852" spans="1:8">
      <c r="A3852"/>
      <c r="B3852"/>
      <c r="C3852"/>
      <c r="E3852"/>
      <c r="F3852"/>
      <c r="G3852"/>
      <c r="H3852"/>
    </row>
    <row r="3853" spans="1:8">
      <c r="A3853"/>
      <c r="B3853"/>
      <c r="C3853"/>
      <c r="E3853"/>
      <c r="F3853"/>
      <c r="G3853"/>
      <c r="H3853"/>
    </row>
    <row r="3854" spans="1:8">
      <c r="A3854"/>
      <c r="B3854"/>
      <c r="C3854"/>
      <c r="E3854"/>
      <c r="F3854"/>
      <c r="G3854"/>
      <c r="H3854"/>
    </row>
    <row r="3855" spans="1:8">
      <c r="A3855"/>
      <c r="B3855"/>
      <c r="C3855"/>
      <c r="E3855"/>
      <c r="F3855"/>
      <c r="G3855"/>
      <c r="H3855"/>
    </row>
    <row r="3856" spans="1:8">
      <c r="A3856"/>
      <c r="B3856"/>
      <c r="C3856"/>
      <c r="E3856"/>
      <c r="F3856"/>
      <c r="G3856"/>
      <c r="H3856"/>
    </row>
    <row r="3857" spans="1:8">
      <c r="A3857"/>
      <c r="B3857"/>
      <c r="C3857"/>
      <c r="E3857"/>
      <c r="F3857"/>
      <c r="G3857"/>
      <c r="H3857"/>
    </row>
    <row r="3858" spans="1:8">
      <c r="A3858"/>
      <c r="B3858"/>
      <c r="C3858"/>
      <c r="E3858"/>
      <c r="F3858"/>
      <c r="G3858"/>
      <c r="H3858"/>
    </row>
    <row r="3859" spans="1:8">
      <c r="A3859"/>
      <c r="B3859"/>
      <c r="C3859"/>
      <c r="E3859"/>
      <c r="F3859"/>
      <c r="G3859"/>
      <c r="H3859"/>
    </row>
    <row r="3860" spans="1:8">
      <c r="A3860"/>
      <c r="B3860"/>
      <c r="C3860"/>
      <c r="E3860"/>
      <c r="F3860"/>
      <c r="G3860"/>
      <c r="H3860"/>
    </row>
    <row r="3861" spans="1:8">
      <c r="A3861"/>
      <c r="B3861"/>
      <c r="C3861"/>
      <c r="E3861"/>
      <c r="F3861"/>
      <c r="G3861"/>
      <c r="H3861"/>
    </row>
    <row r="3862" spans="1:8">
      <c r="A3862"/>
      <c r="B3862"/>
      <c r="C3862"/>
      <c r="E3862"/>
      <c r="F3862"/>
      <c r="G3862"/>
      <c r="H3862"/>
    </row>
    <row r="3863" spans="1:8">
      <c r="A3863"/>
      <c r="B3863"/>
      <c r="C3863"/>
      <c r="E3863"/>
      <c r="F3863"/>
      <c r="G3863"/>
      <c r="H3863"/>
    </row>
    <row r="3864" spans="1:8">
      <c r="A3864"/>
      <c r="B3864"/>
      <c r="C3864"/>
      <c r="E3864"/>
      <c r="F3864"/>
      <c r="G3864"/>
      <c r="H3864"/>
    </row>
    <row r="3865" spans="1:8">
      <c r="A3865"/>
      <c r="B3865"/>
      <c r="C3865"/>
      <c r="E3865"/>
      <c r="F3865"/>
      <c r="G3865"/>
      <c r="H3865"/>
    </row>
    <row r="3866" spans="1:8">
      <c r="A3866"/>
      <c r="B3866"/>
      <c r="C3866"/>
      <c r="E3866"/>
      <c r="F3866"/>
      <c r="G3866"/>
      <c r="H3866"/>
    </row>
    <row r="3867" spans="1:8">
      <c r="A3867"/>
      <c r="B3867"/>
      <c r="C3867"/>
      <c r="E3867"/>
      <c r="F3867"/>
      <c r="G3867"/>
      <c r="H3867"/>
    </row>
    <row r="3868" spans="1:8">
      <c r="A3868"/>
      <c r="B3868"/>
      <c r="C3868"/>
      <c r="E3868"/>
      <c r="F3868"/>
      <c r="G3868"/>
      <c r="H3868"/>
    </row>
    <row r="3869" spans="1:8">
      <c r="A3869"/>
      <c r="B3869"/>
      <c r="C3869"/>
      <c r="E3869"/>
      <c r="F3869"/>
      <c r="G3869"/>
      <c r="H3869"/>
    </row>
    <row r="3870" spans="1:8">
      <c r="A3870"/>
      <c r="B3870"/>
      <c r="C3870"/>
      <c r="E3870"/>
      <c r="F3870"/>
      <c r="G3870"/>
      <c r="H3870"/>
    </row>
    <row r="3871" spans="1:8">
      <c r="A3871"/>
      <c r="B3871"/>
      <c r="C3871"/>
      <c r="E3871"/>
      <c r="F3871"/>
      <c r="G3871"/>
      <c r="H3871"/>
    </row>
    <row r="3872" spans="1:8">
      <c r="A3872"/>
      <c r="B3872"/>
      <c r="C3872"/>
      <c r="E3872"/>
      <c r="F3872"/>
      <c r="G3872"/>
      <c r="H3872"/>
    </row>
    <row r="3873" spans="1:8">
      <c r="A3873"/>
      <c r="B3873"/>
      <c r="C3873"/>
      <c r="E3873"/>
      <c r="F3873"/>
      <c r="G3873"/>
      <c r="H3873"/>
    </row>
    <row r="3874" spans="1:8">
      <c r="A3874"/>
      <c r="B3874"/>
      <c r="C3874"/>
      <c r="E3874"/>
      <c r="F3874"/>
      <c r="G3874"/>
      <c r="H3874"/>
    </row>
    <row r="3875" spans="1:8">
      <c r="A3875"/>
      <c r="B3875"/>
      <c r="C3875"/>
      <c r="E3875"/>
      <c r="F3875"/>
      <c r="G3875"/>
      <c r="H3875"/>
    </row>
    <row r="3876" spans="1:8">
      <c r="A3876"/>
      <c r="B3876"/>
      <c r="C3876"/>
      <c r="E3876"/>
      <c r="F3876"/>
      <c r="G3876"/>
      <c r="H3876"/>
    </row>
    <row r="3877" spans="1:8">
      <c r="A3877"/>
      <c r="B3877"/>
      <c r="C3877"/>
      <c r="E3877"/>
      <c r="F3877"/>
      <c r="G3877"/>
      <c r="H3877"/>
    </row>
    <row r="3878" spans="1:8">
      <c r="A3878"/>
      <c r="B3878"/>
      <c r="C3878"/>
      <c r="E3878"/>
      <c r="F3878"/>
      <c r="G3878"/>
      <c r="H3878"/>
    </row>
    <row r="3879" spans="1:8">
      <c r="A3879"/>
      <c r="B3879"/>
      <c r="C3879"/>
      <c r="E3879"/>
      <c r="F3879"/>
      <c r="G3879"/>
      <c r="H3879"/>
    </row>
    <row r="3880" spans="1:8">
      <c r="A3880"/>
      <c r="B3880"/>
      <c r="C3880"/>
      <c r="E3880"/>
      <c r="F3880"/>
      <c r="G3880"/>
      <c r="H3880"/>
    </row>
    <row r="3881" spans="1:8">
      <c r="A3881"/>
      <c r="B3881"/>
      <c r="C3881"/>
      <c r="E3881"/>
      <c r="F3881"/>
      <c r="G3881"/>
      <c r="H3881"/>
    </row>
    <row r="3882" spans="1:8">
      <c r="A3882"/>
      <c r="B3882"/>
      <c r="C3882"/>
      <c r="E3882"/>
      <c r="F3882"/>
      <c r="G3882"/>
      <c r="H3882"/>
    </row>
    <row r="3883" spans="1:8">
      <c r="A3883"/>
      <c r="B3883"/>
      <c r="C3883"/>
      <c r="E3883"/>
      <c r="F3883"/>
      <c r="G3883"/>
      <c r="H3883"/>
    </row>
    <row r="3884" spans="1:8">
      <c r="A3884"/>
      <c r="B3884"/>
      <c r="C3884"/>
      <c r="E3884"/>
      <c r="F3884"/>
      <c r="G3884"/>
      <c r="H3884"/>
    </row>
    <row r="3885" spans="1:8">
      <c r="A3885"/>
      <c r="B3885"/>
      <c r="C3885"/>
      <c r="E3885"/>
      <c r="F3885"/>
      <c r="G3885"/>
      <c r="H3885"/>
    </row>
    <row r="3886" spans="1:8">
      <c r="A3886"/>
      <c r="B3886"/>
      <c r="C3886"/>
      <c r="E3886"/>
      <c r="F3886"/>
      <c r="G3886"/>
      <c r="H3886"/>
    </row>
    <row r="3887" spans="1:8">
      <c r="A3887"/>
      <c r="B3887"/>
      <c r="C3887"/>
      <c r="E3887"/>
      <c r="F3887"/>
      <c r="G3887"/>
      <c r="H3887"/>
    </row>
    <row r="3888" spans="1:8">
      <c r="A3888"/>
      <c r="B3888"/>
      <c r="C3888"/>
      <c r="E3888"/>
      <c r="F3888"/>
      <c r="G3888"/>
      <c r="H3888"/>
    </row>
    <row r="3889" spans="1:8">
      <c r="A3889"/>
      <c r="B3889"/>
      <c r="C3889"/>
      <c r="E3889"/>
      <c r="F3889"/>
      <c r="G3889"/>
      <c r="H3889"/>
    </row>
    <row r="3890" spans="1:8">
      <c r="A3890"/>
      <c r="B3890"/>
      <c r="C3890"/>
      <c r="E3890"/>
      <c r="F3890"/>
      <c r="G3890"/>
      <c r="H3890"/>
    </row>
    <row r="3891" spans="1:8">
      <c r="A3891"/>
      <c r="B3891"/>
      <c r="C3891"/>
      <c r="E3891"/>
      <c r="F3891"/>
      <c r="G3891"/>
      <c r="H3891"/>
    </row>
    <row r="3892" spans="1:8">
      <c r="A3892"/>
      <c r="B3892"/>
      <c r="C3892"/>
      <c r="E3892"/>
      <c r="F3892"/>
      <c r="G3892"/>
      <c r="H3892"/>
    </row>
    <row r="3893" spans="1:8">
      <c r="A3893"/>
      <c r="B3893"/>
      <c r="C3893"/>
      <c r="E3893"/>
      <c r="F3893"/>
      <c r="G3893"/>
      <c r="H3893"/>
    </row>
    <row r="3894" spans="1:8">
      <c r="A3894"/>
      <c r="B3894"/>
      <c r="C3894"/>
      <c r="E3894"/>
      <c r="F3894"/>
      <c r="G3894"/>
      <c r="H3894"/>
    </row>
    <row r="3895" spans="1:8">
      <c r="A3895"/>
      <c r="B3895"/>
      <c r="C3895"/>
      <c r="E3895"/>
      <c r="F3895"/>
      <c r="G3895"/>
      <c r="H3895"/>
    </row>
    <row r="3896" spans="1:8">
      <c r="A3896"/>
      <c r="B3896"/>
      <c r="C3896"/>
      <c r="E3896"/>
      <c r="F3896"/>
      <c r="G3896"/>
      <c r="H3896"/>
    </row>
    <row r="3897" spans="1:8">
      <c r="A3897"/>
      <c r="B3897"/>
      <c r="C3897"/>
      <c r="E3897"/>
      <c r="F3897"/>
      <c r="G3897"/>
      <c r="H3897"/>
    </row>
    <row r="3898" spans="1:8">
      <c r="A3898"/>
      <c r="B3898"/>
      <c r="C3898"/>
      <c r="E3898"/>
      <c r="F3898"/>
      <c r="G3898"/>
      <c r="H3898"/>
    </row>
    <row r="3899" spans="1:8">
      <c r="A3899"/>
      <c r="B3899"/>
      <c r="C3899"/>
      <c r="E3899"/>
      <c r="F3899"/>
      <c r="G3899"/>
      <c r="H3899"/>
    </row>
    <row r="3900" spans="1:8">
      <c r="A3900"/>
      <c r="B3900"/>
      <c r="C3900"/>
      <c r="E3900"/>
      <c r="F3900"/>
      <c r="G3900"/>
      <c r="H3900"/>
    </row>
    <row r="3901" spans="1:8">
      <c r="A3901"/>
      <c r="B3901"/>
      <c r="C3901"/>
      <c r="E3901"/>
      <c r="F3901"/>
      <c r="G3901"/>
      <c r="H3901"/>
    </row>
    <row r="3902" spans="1:8">
      <c r="A3902"/>
      <c r="B3902"/>
      <c r="C3902"/>
      <c r="E3902"/>
      <c r="F3902"/>
      <c r="G3902"/>
      <c r="H3902"/>
    </row>
    <row r="3903" spans="1:8">
      <c r="A3903"/>
      <c r="B3903"/>
      <c r="C3903"/>
      <c r="E3903"/>
      <c r="F3903"/>
      <c r="G3903"/>
      <c r="H3903"/>
    </row>
    <row r="3904" spans="1:8">
      <c r="A3904"/>
      <c r="B3904"/>
      <c r="C3904"/>
      <c r="E3904"/>
      <c r="F3904"/>
      <c r="G3904"/>
      <c r="H3904"/>
    </row>
    <row r="3905" spans="1:8">
      <c r="A3905"/>
      <c r="B3905"/>
      <c r="C3905"/>
      <c r="E3905"/>
      <c r="F3905"/>
      <c r="G3905"/>
      <c r="H3905"/>
    </row>
    <row r="3906" spans="1:8">
      <c r="A3906"/>
      <c r="B3906"/>
      <c r="C3906"/>
      <c r="E3906"/>
      <c r="F3906"/>
      <c r="G3906"/>
      <c r="H3906"/>
    </row>
    <row r="3907" spans="1:8">
      <c r="A3907"/>
      <c r="B3907"/>
      <c r="C3907"/>
      <c r="E3907"/>
      <c r="F3907"/>
      <c r="G3907"/>
      <c r="H3907"/>
    </row>
    <row r="3908" spans="1:8">
      <c r="A3908"/>
      <c r="B3908"/>
      <c r="C3908"/>
      <c r="E3908"/>
      <c r="F3908"/>
      <c r="G3908"/>
      <c r="H3908"/>
    </row>
    <row r="3909" spans="1:8">
      <c r="A3909"/>
      <c r="B3909"/>
      <c r="C3909"/>
      <c r="E3909"/>
      <c r="F3909"/>
      <c r="G3909"/>
      <c r="H3909"/>
    </row>
    <row r="3910" spans="1:8">
      <c r="A3910"/>
      <c r="B3910"/>
      <c r="C3910"/>
      <c r="E3910"/>
      <c r="F3910"/>
      <c r="G3910"/>
      <c r="H3910"/>
    </row>
    <row r="3911" spans="1:8">
      <c r="A3911"/>
      <c r="B3911"/>
      <c r="C3911"/>
      <c r="E3911"/>
      <c r="F3911"/>
      <c r="G3911"/>
      <c r="H3911"/>
    </row>
    <row r="3912" spans="1:8">
      <c r="A3912"/>
      <c r="B3912"/>
      <c r="C3912"/>
      <c r="E3912"/>
      <c r="F3912"/>
      <c r="G3912"/>
      <c r="H3912"/>
    </row>
    <row r="3913" spans="1:8">
      <c r="A3913"/>
      <c r="B3913"/>
      <c r="C3913"/>
      <c r="E3913"/>
      <c r="F3913"/>
      <c r="G3913"/>
      <c r="H3913"/>
    </row>
    <row r="3914" spans="1:8">
      <c r="A3914"/>
      <c r="B3914"/>
      <c r="C3914"/>
      <c r="E3914"/>
      <c r="F3914"/>
      <c r="G3914"/>
      <c r="H3914"/>
    </row>
    <row r="3915" spans="1:8">
      <c r="A3915"/>
      <c r="B3915"/>
      <c r="C3915"/>
      <c r="E3915"/>
      <c r="F3915"/>
      <c r="G3915"/>
      <c r="H3915"/>
    </row>
    <row r="3916" spans="1:8">
      <c r="A3916"/>
      <c r="B3916"/>
      <c r="C3916"/>
      <c r="E3916"/>
      <c r="F3916"/>
      <c r="G3916"/>
      <c r="H3916"/>
    </row>
    <row r="3917" spans="1:8">
      <c r="A3917"/>
      <c r="B3917"/>
      <c r="C3917"/>
      <c r="E3917"/>
      <c r="F3917"/>
      <c r="G3917"/>
      <c r="H3917"/>
    </row>
    <row r="3918" spans="1:8">
      <c r="A3918"/>
      <c r="B3918"/>
      <c r="C3918"/>
      <c r="E3918"/>
      <c r="F3918"/>
      <c r="G3918"/>
      <c r="H3918"/>
    </row>
    <row r="3919" spans="1:8">
      <c r="A3919"/>
      <c r="B3919"/>
      <c r="C3919"/>
      <c r="E3919"/>
      <c r="F3919"/>
      <c r="G3919"/>
      <c r="H3919"/>
    </row>
    <row r="3920" spans="1:8">
      <c r="A3920"/>
      <c r="B3920"/>
      <c r="C3920"/>
      <c r="E3920"/>
      <c r="F3920"/>
      <c r="G3920"/>
      <c r="H3920"/>
    </row>
    <row r="3921" spans="1:8">
      <c r="A3921"/>
      <c r="B3921"/>
      <c r="C3921"/>
      <c r="E3921"/>
      <c r="F3921"/>
      <c r="G3921"/>
      <c r="H3921"/>
    </row>
    <row r="3922" spans="1:8">
      <c r="A3922"/>
      <c r="B3922"/>
      <c r="C3922"/>
      <c r="E3922"/>
      <c r="F3922"/>
      <c r="G3922"/>
      <c r="H3922"/>
    </row>
    <row r="3923" spans="1:8">
      <c r="A3923"/>
      <c r="B3923"/>
      <c r="C3923"/>
      <c r="E3923"/>
      <c r="F3923"/>
      <c r="G3923"/>
      <c r="H3923"/>
    </row>
    <row r="3924" spans="1:8">
      <c r="A3924"/>
      <c r="B3924"/>
      <c r="C3924"/>
      <c r="E3924"/>
      <c r="F3924"/>
      <c r="G3924"/>
      <c r="H3924"/>
    </row>
    <row r="3925" spans="1:8">
      <c r="A3925"/>
      <c r="B3925"/>
      <c r="C3925"/>
      <c r="E3925"/>
      <c r="F3925"/>
      <c r="G3925"/>
      <c r="H3925"/>
    </row>
    <row r="3926" spans="1:8">
      <c r="A3926"/>
      <c r="B3926"/>
      <c r="C3926"/>
      <c r="E3926"/>
      <c r="F3926"/>
      <c r="G3926"/>
      <c r="H3926"/>
    </row>
    <row r="3927" spans="1:8">
      <c r="A3927"/>
      <c r="B3927"/>
      <c r="C3927"/>
      <c r="E3927"/>
      <c r="F3927"/>
      <c r="G3927"/>
      <c r="H3927"/>
    </row>
    <row r="3928" spans="1:8">
      <c r="A3928"/>
      <c r="B3928"/>
      <c r="C3928"/>
      <c r="E3928"/>
      <c r="F3928"/>
      <c r="G3928"/>
      <c r="H3928"/>
    </row>
    <row r="3929" spans="1:8">
      <c r="A3929"/>
      <c r="B3929"/>
      <c r="C3929"/>
      <c r="E3929"/>
      <c r="F3929"/>
      <c r="G3929"/>
      <c r="H3929"/>
    </row>
    <row r="3930" spans="1:8">
      <c r="A3930"/>
      <c r="B3930"/>
      <c r="C3930"/>
      <c r="E3930"/>
      <c r="F3930"/>
      <c r="G3930"/>
      <c r="H3930"/>
    </row>
    <row r="3931" spans="1:8">
      <c r="A3931"/>
      <c r="B3931"/>
      <c r="C3931"/>
      <c r="E3931"/>
      <c r="F3931"/>
      <c r="G3931"/>
      <c r="H3931"/>
    </row>
    <row r="3932" spans="1:8">
      <c r="A3932"/>
      <c r="B3932"/>
      <c r="C3932"/>
      <c r="E3932"/>
      <c r="F3932"/>
      <c r="G3932"/>
      <c r="H3932"/>
    </row>
    <row r="3933" spans="1:8">
      <c r="A3933"/>
      <c r="B3933"/>
      <c r="C3933"/>
      <c r="E3933"/>
      <c r="F3933"/>
      <c r="G3933"/>
      <c r="H3933"/>
    </row>
    <row r="3934" spans="1:8">
      <c r="A3934"/>
      <c r="B3934"/>
      <c r="C3934"/>
      <c r="E3934"/>
      <c r="F3934"/>
      <c r="G3934"/>
      <c r="H3934"/>
    </row>
    <row r="3935" spans="1:8">
      <c r="A3935"/>
      <c r="B3935"/>
      <c r="C3935"/>
      <c r="E3935"/>
      <c r="F3935"/>
      <c r="G3935"/>
      <c r="H3935"/>
    </row>
    <row r="3936" spans="1:8">
      <c r="A3936"/>
      <c r="B3936"/>
      <c r="C3936"/>
      <c r="E3936"/>
      <c r="F3936"/>
      <c r="G3936"/>
      <c r="H3936"/>
    </row>
    <row r="3937" spans="1:8">
      <c r="A3937"/>
      <c r="B3937"/>
      <c r="C3937"/>
      <c r="E3937"/>
      <c r="F3937"/>
      <c r="G3937"/>
      <c r="H3937"/>
    </row>
    <row r="3938" spans="1:8">
      <c r="A3938"/>
      <c r="B3938"/>
      <c r="C3938"/>
      <c r="E3938"/>
      <c r="F3938"/>
      <c r="G3938"/>
      <c r="H3938"/>
    </row>
    <row r="3939" spans="1:8">
      <c r="A3939"/>
      <c r="B3939"/>
      <c r="C3939"/>
      <c r="E3939"/>
      <c r="F3939"/>
      <c r="G3939"/>
      <c r="H3939"/>
    </row>
    <row r="3940" spans="1:8">
      <c r="A3940"/>
      <c r="B3940"/>
      <c r="C3940"/>
      <c r="E3940"/>
      <c r="F3940"/>
      <c r="G3940"/>
      <c r="H3940"/>
    </row>
    <row r="3941" spans="1:8">
      <c r="A3941"/>
      <c r="B3941"/>
      <c r="C3941"/>
      <c r="E3941"/>
      <c r="F3941"/>
      <c r="G3941"/>
      <c r="H3941"/>
    </row>
    <row r="3942" spans="1:8">
      <c r="A3942"/>
      <c r="B3942"/>
      <c r="C3942"/>
      <c r="E3942"/>
      <c r="F3942"/>
      <c r="G3942"/>
      <c r="H3942"/>
    </row>
    <row r="3943" spans="1:8">
      <c r="A3943"/>
      <c r="B3943"/>
      <c r="C3943"/>
      <c r="E3943"/>
      <c r="F3943"/>
      <c r="G3943"/>
      <c r="H3943"/>
    </row>
    <row r="3944" spans="1:8">
      <c r="A3944"/>
      <c r="B3944"/>
      <c r="C3944"/>
      <c r="E3944"/>
      <c r="F3944"/>
      <c r="G3944"/>
      <c r="H3944"/>
    </row>
    <row r="3945" spans="1:8">
      <c r="A3945"/>
      <c r="B3945"/>
      <c r="C3945"/>
      <c r="E3945"/>
      <c r="F3945"/>
      <c r="G3945"/>
      <c r="H3945"/>
    </row>
    <row r="3946" spans="1:8">
      <c r="A3946"/>
      <c r="B3946"/>
      <c r="C3946"/>
      <c r="E3946"/>
      <c r="F3946"/>
      <c r="G3946"/>
      <c r="H3946"/>
    </row>
    <row r="3947" spans="1:8">
      <c r="A3947"/>
      <c r="B3947"/>
      <c r="C3947"/>
      <c r="E3947"/>
      <c r="F3947"/>
      <c r="G3947"/>
      <c r="H3947"/>
    </row>
    <row r="3948" spans="1:8">
      <c r="A3948"/>
      <c r="B3948"/>
      <c r="C3948"/>
      <c r="E3948"/>
      <c r="F3948"/>
      <c r="G3948"/>
      <c r="H3948"/>
    </row>
    <row r="3949" spans="1:8">
      <c r="A3949"/>
      <c r="B3949"/>
      <c r="C3949"/>
      <c r="E3949"/>
      <c r="F3949"/>
      <c r="G3949"/>
      <c r="H3949"/>
    </row>
    <row r="3950" spans="1:8">
      <c r="A3950"/>
      <c r="B3950"/>
      <c r="C3950"/>
      <c r="E3950"/>
      <c r="F3950"/>
      <c r="G3950"/>
      <c r="H3950"/>
    </row>
    <row r="3951" spans="1:8">
      <c r="A3951"/>
      <c r="B3951"/>
      <c r="C3951"/>
      <c r="E3951"/>
      <c r="F3951"/>
      <c r="G3951"/>
      <c r="H3951"/>
    </row>
    <row r="3952" spans="1:8">
      <c r="A3952"/>
      <c r="B3952"/>
      <c r="C3952"/>
      <c r="E3952"/>
      <c r="F3952"/>
      <c r="G3952"/>
      <c r="H3952"/>
    </row>
    <row r="3953" spans="1:8">
      <c r="A3953"/>
      <c r="B3953"/>
      <c r="C3953"/>
      <c r="E3953"/>
      <c r="F3953"/>
      <c r="G3953"/>
      <c r="H3953"/>
    </row>
    <row r="3954" spans="1:8">
      <c r="A3954"/>
      <c r="B3954"/>
      <c r="C3954"/>
      <c r="E3954"/>
      <c r="F3954"/>
      <c r="G3954"/>
      <c r="H3954"/>
    </row>
    <row r="3955" spans="1:8">
      <c r="A3955"/>
      <c r="B3955"/>
      <c r="C3955"/>
      <c r="E3955"/>
      <c r="F3955"/>
      <c r="G3955"/>
      <c r="H3955"/>
    </row>
    <row r="3956" spans="1:8">
      <c r="A3956"/>
      <c r="B3956"/>
      <c r="C3956"/>
      <c r="E3956"/>
      <c r="F3956"/>
      <c r="G3956"/>
      <c r="H3956"/>
    </row>
    <row r="3957" spans="1:8">
      <c r="A3957"/>
      <c r="B3957"/>
      <c r="C3957"/>
      <c r="E3957"/>
      <c r="F3957"/>
      <c r="G3957"/>
      <c r="H3957"/>
    </row>
    <row r="3958" spans="1:8">
      <c r="A3958"/>
      <c r="B3958"/>
      <c r="C3958"/>
      <c r="E3958"/>
      <c r="F3958"/>
      <c r="G3958"/>
      <c r="H3958"/>
    </row>
    <row r="3959" spans="1:8">
      <c r="A3959"/>
      <c r="B3959"/>
      <c r="C3959"/>
      <c r="E3959"/>
      <c r="F3959"/>
      <c r="G3959"/>
      <c r="H3959"/>
    </row>
    <row r="3960" spans="1:8">
      <c r="A3960"/>
      <c r="B3960"/>
      <c r="C3960"/>
      <c r="E3960"/>
      <c r="F3960"/>
      <c r="G3960"/>
      <c r="H3960"/>
    </row>
    <row r="3961" spans="1:8">
      <c r="A3961"/>
      <c r="B3961"/>
      <c r="C3961"/>
      <c r="E3961"/>
      <c r="F3961"/>
      <c r="G3961"/>
      <c r="H3961"/>
    </row>
    <row r="3962" spans="1:8">
      <c r="A3962"/>
      <c r="B3962"/>
      <c r="C3962"/>
      <c r="E3962"/>
      <c r="F3962"/>
      <c r="G3962"/>
      <c r="H3962"/>
    </row>
    <row r="3963" spans="1:8">
      <c r="A3963"/>
      <c r="B3963"/>
      <c r="C3963"/>
      <c r="E3963"/>
      <c r="F3963"/>
      <c r="G3963"/>
      <c r="H3963"/>
    </row>
    <row r="3964" spans="1:8">
      <c r="A3964"/>
      <c r="B3964"/>
      <c r="C3964"/>
      <c r="E3964"/>
      <c r="F3964"/>
      <c r="G3964"/>
      <c r="H3964"/>
    </row>
    <row r="3965" spans="1:8">
      <c r="A3965"/>
      <c r="B3965"/>
      <c r="C3965"/>
      <c r="E3965"/>
      <c r="F3965"/>
      <c r="G3965"/>
      <c r="H3965"/>
    </row>
    <row r="3966" spans="1:8">
      <c r="A3966"/>
      <c r="B3966"/>
      <c r="C3966"/>
      <c r="E3966"/>
      <c r="F3966"/>
      <c r="G3966"/>
      <c r="H3966"/>
    </row>
    <row r="3967" spans="1:8">
      <c r="A3967"/>
      <c r="B3967"/>
      <c r="C3967"/>
      <c r="E3967"/>
      <c r="F3967"/>
      <c r="G3967"/>
      <c r="H3967"/>
    </row>
    <row r="3968" spans="1:8">
      <c r="A3968"/>
      <c r="B3968"/>
      <c r="C3968"/>
      <c r="E3968"/>
      <c r="F3968"/>
      <c r="G3968"/>
      <c r="H3968"/>
    </row>
    <row r="3969" spans="1:8">
      <c r="A3969"/>
      <c r="B3969"/>
      <c r="C3969"/>
      <c r="E3969"/>
      <c r="F3969"/>
      <c r="G3969"/>
      <c r="H3969"/>
    </row>
    <row r="3970" spans="1:8">
      <c r="A3970"/>
      <c r="B3970"/>
      <c r="C3970"/>
      <c r="E3970"/>
      <c r="F3970"/>
      <c r="G3970"/>
      <c r="H3970"/>
    </row>
    <row r="3971" spans="1:8">
      <c r="A3971"/>
      <c r="B3971"/>
      <c r="C3971"/>
      <c r="E3971"/>
      <c r="F3971"/>
      <c r="G3971"/>
      <c r="H3971"/>
    </row>
    <row r="3972" spans="1:8">
      <c r="A3972"/>
      <c r="B3972"/>
      <c r="C3972"/>
      <c r="E3972"/>
      <c r="F3972"/>
      <c r="G3972"/>
      <c r="H3972"/>
    </row>
    <row r="3973" spans="1:8">
      <c r="A3973"/>
      <c r="B3973"/>
      <c r="C3973"/>
      <c r="E3973"/>
      <c r="F3973"/>
      <c r="G3973"/>
      <c r="H3973"/>
    </row>
    <row r="3974" spans="1:8">
      <c r="A3974"/>
      <c r="B3974"/>
      <c r="C3974"/>
      <c r="E3974"/>
      <c r="F3974"/>
      <c r="G3974"/>
      <c r="H3974"/>
    </row>
    <row r="3975" spans="1:8">
      <c r="A3975"/>
      <c r="B3975"/>
      <c r="C3975"/>
      <c r="E3975"/>
      <c r="F3975"/>
      <c r="G3975"/>
      <c r="H3975"/>
    </row>
    <row r="3976" spans="1:8">
      <c r="A3976"/>
      <c r="B3976"/>
      <c r="C3976"/>
      <c r="E3976"/>
      <c r="F3976"/>
      <c r="G3976"/>
      <c r="H3976"/>
    </row>
    <row r="3977" spans="1:8">
      <c r="A3977"/>
      <c r="B3977"/>
      <c r="C3977"/>
      <c r="E3977"/>
      <c r="F3977"/>
      <c r="G3977"/>
      <c r="H3977"/>
    </row>
    <row r="3978" spans="1:8">
      <c r="A3978"/>
      <c r="B3978"/>
      <c r="C3978"/>
      <c r="E3978"/>
      <c r="F3978"/>
      <c r="G3978"/>
      <c r="H3978"/>
    </row>
    <row r="3979" spans="1:8">
      <c r="A3979"/>
      <c r="B3979"/>
      <c r="C3979"/>
      <c r="E3979"/>
      <c r="F3979"/>
      <c r="G3979"/>
      <c r="H3979"/>
    </row>
    <row r="3980" spans="1:8">
      <c r="A3980"/>
      <c r="B3980"/>
      <c r="C3980"/>
      <c r="E3980"/>
      <c r="F3980"/>
      <c r="G3980"/>
      <c r="H3980"/>
    </row>
    <row r="3981" spans="1:8">
      <c r="A3981"/>
      <c r="B3981"/>
      <c r="C3981"/>
      <c r="E3981"/>
      <c r="F3981"/>
      <c r="G3981"/>
      <c r="H3981"/>
    </row>
    <row r="3982" spans="1:8">
      <c r="A3982"/>
      <c r="B3982"/>
      <c r="C3982"/>
      <c r="E3982"/>
      <c r="F3982"/>
      <c r="G3982"/>
      <c r="H3982"/>
    </row>
    <row r="3983" spans="1:8">
      <c r="A3983"/>
      <c r="B3983"/>
      <c r="C3983"/>
      <c r="E3983"/>
      <c r="F3983"/>
      <c r="G3983"/>
      <c r="H3983"/>
    </row>
    <row r="3984" spans="1:8">
      <c r="A3984"/>
      <c r="B3984"/>
      <c r="C3984"/>
      <c r="E3984"/>
      <c r="F3984"/>
      <c r="G3984"/>
      <c r="H3984"/>
    </row>
    <row r="3985" spans="1:8">
      <c r="A3985"/>
      <c r="B3985"/>
      <c r="C3985"/>
      <c r="E3985"/>
      <c r="F3985"/>
      <c r="G3985"/>
      <c r="H3985"/>
    </row>
    <row r="3986" spans="1:8">
      <c r="A3986"/>
      <c r="B3986"/>
      <c r="C3986"/>
      <c r="E3986"/>
      <c r="F3986"/>
      <c r="G3986"/>
      <c r="H3986"/>
    </row>
    <row r="3987" spans="1:8">
      <c r="A3987"/>
      <c r="B3987"/>
      <c r="C3987"/>
      <c r="E3987"/>
      <c r="F3987"/>
      <c r="G3987"/>
      <c r="H3987"/>
    </row>
    <row r="3988" spans="1:8">
      <c r="A3988"/>
      <c r="B3988"/>
      <c r="C3988"/>
      <c r="E3988"/>
      <c r="F3988"/>
      <c r="G3988"/>
      <c r="H3988"/>
    </row>
    <row r="3989" spans="1:8">
      <c r="A3989"/>
      <c r="B3989"/>
      <c r="C3989"/>
      <c r="E3989"/>
      <c r="F3989"/>
      <c r="G3989"/>
      <c r="H3989"/>
    </row>
    <row r="3990" spans="1:8">
      <c r="A3990"/>
      <c r="B3990"/>
      <c r="C3990"/>
      <c r="E3990"/>
      <c r="F3990"/>
      <c r="G3990"/>
      <c r="H3990"/>
    </row>
    <row r="3991" spans="1:8">
      <c r="A3991"/>
      <c r="B3991"/>
      <c r="C3991"/>
      <c r="E3991"/>
      <c r="F3991"/>
      <c r="G3991"/>
      <c r="H3991"/>
    </row>
    <row r="3992" spans="1:8">
      <c r="A3992"/>
      <c r="B3992"/>
      <c r="C3992"/>
      <c r="E3992"/>
      <c r="F3992"/>
      <c r="G3992"/>
      <c r="H3992"/>
    </row>
    <row r="3993" spans="1:8">
      <c r="A3993"/>
      <c r="B3993"/>
      <c r="C3993"/>
      <c r="E3993"/>
      <c r="F3993"/>
      <c r="G3993"/>
      <c r="H3993"/>
    </row>
    <row r="3994" spans="1:8">
      <c r="A3994"/>
      <c r="B3994"/>
      <c r="C3994"/>
      <c r="E3994"/>
      <c r="F3994"/>
      <c r="G3994"/>
      <c r="H3994"/>
    </row>
    <row r="3995" spans="1:8">
      <c r="A3995"/>
      <c r="B3995"/>
      <c r="C3995"/>
      <c r="E3995"/>
      <c r="F3995"/>
      <c r="G3995"/>
      <c r="H3995"/>
    </row>
    <row r="3996" spans="1:8">
      <c r="A3996"/>
      <c r="B3996"/>
      <c r="C3996"/>
      <c r="E3996"/>
      <c r="F3996"/>
      <c r="G3996"/>
      <c r="H3996"/>
    </row>
    <row r="3997" spans="1:8">
      <c r="A3997"/>
      <c r="B3997"/>
      <c r="C3997"/>
      <c r="E3997"/>
      <c r="F3997"/>
      <c r="G3997"/>
      <c r="H3997"/>
    </row>
    <row r="3998" spans="1:8">
      <c r="A3998"/>
      <c r="B3998"/>
      <c r="C3998"/>
      <c r="E3998"/>
      <c r="F3998"/>
      <c r="G3998"/>
      <c r="H3998"/>
    </row>
    <row r="3999" spans="1:8">
      <c r="A3999"/>
      <c r="B3999"/>
      <c r="C3999"/>
      <c r="E3999"/>
      <c r="F3999"/>
      <c r="G3999"/>
      <c r="H3999"/>
    </row>
    <row r="4000" spans="1:8">
      <c r="A4000"/>
      <c r="B4000"/>
      <c r="C4000"/>
      <c r="E4000"/>
      <c r="F4000"/>
      <c r="G4000"/>
      <c r="H4000"/>
    </row>
    <row r="4001" spans="1:8">
      <c r="A4001"/>
      <c r="B4001"/>
      <c r="C4001"/>
      <c r="E4001"/>
      <c r="F4001"/>
      <c r="G4001"/>
      <c r="H4001"/>
    </row>
    <row r="4002" spans="1:8">
      <c r="A4002"/>
      <c r="B4002"/>
      <c r="C4002"/>
      <c r="E4002"/>
      <c r="F4002"/>
      <c r="G4002"/>
      <c r="H4002"/>
    </row>
    <row r="4003" spans="1:8">
      <c r="A4003"/>
      <c r="B4003"/>
      <c r="C4003"/>
      <c r="E4003"/>
      <c r="F4003"/>
      <c r="G4003"/>
      <c r="H4003"/>
    </row>
    <row r="4004" spans="1:8">
      <c r="A4004"/>
      <c r="B4004"/>
      <c r="C4004"/>
      <c r="E4004"/>
      <c r="F4004"/>
      <c r="G4004"/>
      <c r="H4004"/>
    </row>
    <row r="4005" spans="1:8">
      <c r="A4005"/>
      <c r="B4005"/>
      <c r="C4005"/>
      <c r="E4005"/>
      <c r="F4005"/>
      <c r="G4005"/>
      <c r="H4005"/>
    </row>
    <row r="4006" spans="1:8">
      <c r="A4006"/>
      <c r="B4006"/>
      <c r="C4006"/>
      <c r="E4006"/>
      <c r="F4006"/>
      <c r="G4006"/>
      <c r="H4006"/>
    </row>
    <row r="4007" spans="1:8">
      <c r="A4007"/>
      <c r="B4007"/>
      <c r="C4007"/>
      <c r="E4007"/>
      <c r="F4007"/>
      <c r="G4007"/>
      <c r="H4007"/>
    </row>
    <row r="4008" spans="1:8">
      <c r="A4008"/>
      <c r="B4008"/>
      <c r="C4008"/>
      <c r="E4008"/>
      <c r="F4008"/>
      <c r="G4008"/>
      <c r="H4008"/>
    </row>
    <row r="4009" spans="1:8">
      <c r="A4009"/>
      <c r="B4009"/>
      <c r="C4009"/>
      <c r="E4009"/>
      <c r="F4009"/>
      <c r="G4009"/>
      <c r="H4009"/>
    </row>
    <row r="4010" spans="1:8">
      <c r="A4010"/>
      <c r="B4010"/>
      <c r="C4010"/>
      <c r="E4010"/>
      <c r="F4010"/>
      <c r="G4010"/>
      <c r="H4010"/>
    </row>
    <row r="4011" spans="1:8">
      <c r="A4011"/>
      <c r="B4011"/>
      <c r="C4011"/>
      <c r="E4011"/>
      <c r="F4011"/>
      <c r="G4011"/>
      <c r="H4011"/>
    </row>
    <row r="4012" spans="1:8">
      <c r="A4012"/>
      <c r="B4012"/>
      <c r="C4012"/>
      <c r="E4012"/>
      <c r="F4012"/>
      <c r="G4012"/>
      <c r="H4012"/>
    </row>
    <row r="4013" spans="1:8">
      <c r="A4013"/>
      <c r="B4013"/>
      <c r="C4013"/>
      <c r="E4013"/>
      <c r="F4013"/>
      <c r="G4013"/>
      <c r="H4013"/>
    </row>
    <row r="4014" spans="1:8">
      <c r="A4014"/>
      <c r="B4014"/>
      <c r="C4014"/>
      <c r="E4014"/>
      <c r="F4014"/>
      <c r="G4014"/>
      <c r="H4014"/>
    </row>
    <row r="4015" spans="1:8">
      <c r="A4015"/>
      <c r="B4015"/>
      <c r="C4015"/>
      <c r="E4015"/>
      <c r="F4015"/>
      <c r="G4015"/>
      <c r="H4015"/>
    </row>
    <row r="4016" spans="1:8">
      <c r="A4016"/>
      <c r="B4016"/>
      <c r="C4016"/>
      <c r="E4016"/>
      <c r="F4016"/>
      <c r="G4016"/>
      <c r="H4016"/>
    </row>
    <row r="4017" spans="1:8">
      <c r="A4017"/>
      <c r="B4017"/>
      <c r="C4017"/>
      <c r="E4017"/>
      <c r="F4017"/>
      <c r="G4017"/>
      <c r="H4017"/>
    </row>
    <row r="4018" spans="1:8">
      <c r="A4018"/>
      <c r="B4018"/>
      <c r="C4018"/>
      <c r="E4018"/>
      <c r="F4018"/>
      <c r="G4018"/>
      <c r="H4018"/>
    </row>
    <row r="4019" spans="1:8">
      <c r="A4019"/>
      <c r="B4019"/>
      <c r="C4019"/>
      <c r="E4019"/>
      <c r="F4019"/>
      <c r="G4019"/>
      <c r="H4019"/>
    </row>
    <row r="4020" spans="1:8">
      <c r="A4020"/>
      <c r="B4020"/>
      <c r="C4020"/>
      <c r="E4020"/>
      <c r="F4020"/>
      <c r="G4020"/>
      <c r="H4020"/>
    </row>
    <row r="4021" spans="1:8">
      <c r="A4021"/>
      <c r="B4021"/>
      <c r="C4021"/>
      <c r="E4021"/>
      <c r="F4021"/>
      <c r="G4021"/>
      <c r="H4021"/>
    </row>
    <row r="4022" spans="1:8">
      <c r="A4022"/>
      <c r="B4022"/>
      <c r="C4022"/>
      <c r="E4022"/>
      <c r="F4022"/>
      <c r="G4022"/>
      <c r="H4022"/>
    </row>
    <row r="4023" spans="1:8">
      <c r="A4023"/>
      <c r="B4023"/>
      <c r="C4023"/>
      <c r="E4023"/>
      <c r="F4023"/>
      <c r="G4023"/>
      <c r="H4023"/>
    </row>
    <row r="4024" spans="1:8">
      <c r="A4024"/>
      <c r="B4024"/>
      <c r="C4024"/>
      <c r="E4024"/>
      <c r="F4024"/>
      <c r="G4024"/>
      <c r="H4024"/>
    </row>
    <row r="4025" spans="1:8">
      <c r="A4025"/>
      <c r="B4025"/>
      <c r="C4025"/>
      <c r="E4025"/>
      <c r="F4025"/>
      <c r="G4025"/>
      <c r="H4025"/>
    </row>
    <row r="4026" spans="1:8">
      <c r="A4026"/>
      <c r="B4026"/>
      <c r="C4026"/>
      <c r="E4026"/>
      <c r="F4026"/>
      <c r="G4026"/>
      <c r="H4026"/>
    </row>
    <row r="4027" spans="1:8">
      <c r="A4027"/>
      <c r="B4027"/>
      <c r="C4027"/>
      <c r="E4027"/>
      <c r="F4027"/>
      <c r="G4027"/>
      <c r="H4027"/>
    </row>
    <row r="4028" spans="1:8">
      <c r="A4028"/>
      <c r="B4028"/>
      <c r="C4028"/>
      <c r="E4028"/>
      <c r="F4028"/>
      <c r="G4028"/>
      <c r="H4028"/>
    </row>
    <row r="4029" spans="1:8">
      <c r="A4029"/>
      <c r="B4029"/>
      <c r="C4029"/>
      <c r="E4029"/>
      <c r="F4029"/>
      <c r="G4029"/>
      <c r="H4029"/>
    </row>
    <row r="4030" spans="1:8">
      <c r="A4030"/>
      <c r="B4030"/>
      <c r="C4030"/>
      <c r="E4030"/>
      <c r="F4030"/>
      <c r="G4030"/>
      <c r="H4030"/>
    </row>
    <row r="4031" spans="1:8">
      <c r="A4031"/>
      <c r="B4031"/>
      <c r="C4031"/>
      <c r="E4031"/>
      <c r="F4031"/>
      <c r="G4031"/>
      <c r="H4031"/>
    </row>
    <row r="4032" spans="1:8">
      <c r="A4032"/>
      <c r="B4032"/>
      <c r="C4032"/>
      <c r="E4032"/>
      <c r="F4032"/>
      <c r="G4032"/>
      <c r="H4032"/>
    </row>
    <row r="4033" spans="1:8">
      <c r="A4033"/>
      <c r="B4033"/>
      <c r="C4033"/>
      <c r="E4033"/>
      <c r="F4033"/>
      <c r="G4033"/>
      <c r="H4033"/>
    </row>
    <row r="4034" spans="1:8">
      <c r="A4034"/>
      <c r="B4034"/>
      <c r="C4034"/>
      <c r="E4034"/>
      <c r="F4034"/>
      <c r="G4034"/>
      <c r="H4034"/>
    </row>
    <row r="4035" spans="1:8">
      <c r="A4035"/>
      <c r="B4035"/>
      <c r="C4035"/>
      <c r="E4035"/>
      <c r="F4035"/>
      <c r="G4035"/>
      <c r="H4035"/>
    </row>
    <row r="4036" spans="1:8">
      <c r="A4036"/>
      <c r="B4036"/>
      <c r="C4036"/>
      <c r="E4036"/>
      <c r="F4036"/>
      <c r="G4036"/>
      <c r="H4036"/>
    </row>
    <row r="4037" spans="1:8">
      <c r="A4037"/>
      <c r="B4037"/>
      <c r="C4037"/>
      <c r="E4037"/>
      <c r="F4037"/>
      <c r="G4037"/>
      <c r="H4037"/>
    </row>
    <row r="4038" spans="1:8">
      <c r="A4038"/>
      <c r="B4038"/>
      <c r="C4038"/>
      <c r="E4038"/>
      <c r="F4038"/>
      <c r="G4038"/>
      <c r="H4038"/>
    </row>
    <row r="4039" spans="1:8">
      <c r="A4039"/>
      <c r="B4039"/>
      <c r="C4039"/>
      <c r="E4039"/>
      <c r="F4039"/>
      <c r="G4039"/>
      <c r="H4039"/>
    </row>
    <row r="4040" spans="1:8">
      <c r="A4040"/>
      <c r="B4040"/>
      <c r="C4040"/>
      <c r="E4040"/>
      <c r="F4040"/>
      <c r="G4040"/>
      <c r="H4040"/>
    </row>
    <row r="4041" spans="1:8">
      <c r="A4041"/>
      <c r="B4041"/>
      <c r="C4041"/>
      <c r="E4041"/>
      <c r="F4041"/>
      <c r="G4041"/>
      <c r="H4041"/>
    </row>
    <row r="4042" spans="1:8">
      <c r="A4042"/>
      <c r="B4042"/>
      <c r="C4042"/>
      <c r="E4042"/>
      <c r="F4042"/>
      <c r="G4042"/>
      <c r="H4042"/>
    </row>
    <row r="4043" spans="1:8">
      <c r="A4043"/>
      <c r="B4043"/>
      <c r="C4043"/>
      <c r="E4043"/>
      <c r="F4043"/>
      <c r="G4043"/>
      <c r="H4043"/>
    </row>
    <row r="4044" spans="1:8">
      <c r="A4044"/>
      <c r="B4044"/>
      <c r="C4044"/>
      <c r="E4044"/>
      <c r="F4044"/>
      <c r="G4044"/>
      <c r="H4044"/>
    </row>
    <row r="4045" spans="1:8">
      <c r="A4045"/>
      <c r="B4045"/>
      <c r="C4045"/>
      <c r="E4045"/>
      <c r="F4045"/>
      <c r="G4045"/>
      <c r="H4045"/>
    </row>
    <row r="4046" spans="1:8">
      <c r="A4046"/>
      <c r="B4046"/>
      <c r="C4046"/>
      <c r="E4046"/>
      <c r="F4046"/>
      <c r="G4046"/>
      <c r="H4046"/>
    </row>
    <row r="4047" spans="1:8">
      <c r="A4047"/>
      <c r="B4047"/>
      <c r="C4047"/>
      <c r="E4047"/>
      <c r="F4047"/>
      <c r="G4047"/>
      <c r="H4047"/>
    </row>
    <row r="4048" spans="1:8">
      <c r="A4048"/>
      <c r="B4048"/>
      <c r="C4048"/>
      <c r="E4048"/>
      <c r="F4048"/>
      <c r="G4048"/>
      <c r="H4048"/>
    </row>
    <row r="4049" spans="1:8">
      <c r="A4049"/>
      <c r="B4049"/>
      <c r="C4049"/>
      <c r="E4049"/>
      <c r="F4049"/>
      <c r="G4049"/>
      <c r="H4049"/>
    </row>
    <row r="4050" spans="1:8">
      <c r="A4050"/>
      <c r="B4050"/>
      <c r="C4050"/>
      <c r="E4050"/>
      <c r="F4050"/>
      <c r="G4050"/>
      <c r="H4050"/>
    </row>
    <row r="4051" spans="1:8">
      <c r="A4051"/>
      <c r="B4051"/>
      <c r="C4051"/>
      <c r="E4051"/>
      <c r="F4051"/>
      <c r="G4051"/>
      <c r="H4051"/>
    </row>
    <row r="4052" spans="1:8">
      <c r="A4052"/>
      <c r="B4052"/>
      <c r="C4052"/>
      <c r="E4052"/>
      <c r="F4052"/>
      <c r="G4052"/>
      <c r="H4052"/>
    </row>
    <row r="4053" spans="1:8">
      <c r="A4053"/>
      <c r="B4053"/>
      <c r="C4053"/>
      <c r="E4053"/>
      <c r="F4053"/>
      <c r="G4053"/>
      <c r="H4053"/>
    </row>
    <row r="4054" spans="1:8">
      <c r="A4054"/>
      <c r="B4054"/>
      <c r="C4054"/>
      <c r="E4054"/>
      <c r="F4054"/>
      <c r="G4054"/>
      <c r="H4054"/>
    </row>
    <row r="4055" spans="1:8">
      <c r="A4055"/>
      <c r="B4055"/>
      <c r="C4055"/>
      <c r="E4055"/>
      <c r="F4055"/>
      <c r="G4055"/>
      <c r="H4055"/>
    </row>
    <row r="4056" spans="1:8">
      <c r="A4056"/>
      <c r="B4056"/>
      <c r="C4056"/>
      <c r="E4056"/>
      <c r="F4056"/>
      <c r="G4056"/>
      <c r="H4056"/>
    </row>
    <row r="4057" spans="1:8">
      <c r="A4057"/>
      <c r="B4057"/>
      <c r="C4057"/>
      <c r="E4057"/>
      <c r="F4057"/>
      <c r="G4057"/>
      <c r="H4057"/>
    </row>
    <row r="4058" spans="1:8">
      <c r="A4058"/>
      <c r="B4058"/>
      <c r="C4058"/>
      <c r="E4058"/>
      <c r="F4058"/>
      <c r="G4058"/>
      <c r="H4058"/>
    </row>
    <row r="4059" spans="1:8">
      <c r="A4059"/>
      <c r="B4059"/>
      <c r="C4059"/>
      <c r="E4059"/>
      <c r="F4059"/>
      <c r="G4059"/>
      <c r="H4059"/>
    </row>
    <row r="4060" spans="1:8">
      <c r="A4060"/>
      <c r="B4060"/>
      <c r="C4060"/>
      <c r="E4060"/>
      <c r="F4060"/>
      <c r="G4060"/>
      <c r="H4060"/>
    </row>
    <row r="4061" spans="1:8">
      <c r="A4061"/>
      <c r="B4061"/>
      <c r="C4061"/>
      <c r="E4061"/>
      <c r="F4061"/>
      <c r="G4061"/>
      <c r="H4061"/>
    </row>
    <row r="4062" spans="1:8">
      <c r="A4062"/>
      <c r="B4062"/>
      <c r="C4062"/>
      <c r="E4062"/>
      <c r="F4062"/>
      <c r="G4062"/>
      <c r="H4062"/>
    </row>
    <row r="4063" spans="1:8">
      <c r="A4063"/>
      <c r="B4063"/>
      <c r="C4063"/>
      <c r="E4063"/>
      <c r="F4063"/>
      <c r="G4063"/>
      <c r="H4063"/>
    </row>
    <row r="4064" spans="1:8">
      <c r="A4064"/>
      <c r="B4064"/>
      <c r="C4064"/>
      <c r="E4064"/>
      <c r="F4064"/>
      <c r="G4064"/>
      <c r="H4064"/>
    </row>
    <row r="4065" spans="1:8">
      <c r="A4065"/>
      <c r="B4065"/>
      <c r="C4065"/>
      <c r="E4065"/>
      <c r="F4065"/>
      <c r="G4065"/>
      <c r="H4065"/>
    </row>
    <row r="4066" spans="1:8">
      <c r="A4066"/>
      <c r="B4066"/>
      <c r="C4066"/>
      <c r="E4066"/>
      <c r="F4066"/>
      <c r="G4066"/>
      <c r="H4066"/>
    </row>
    <row r="4067" spans="1:8">
      <c r="A4067"/>
      <c r="B4067"/>
      <c r="C4067"/>
      <c r="E4067"/>
      <c r="F4067"/>
      <c r="G4067"/>
      <c r="H4067"/>
    </row>
    <row r="4068" spans="1:8">
      <c r="A4068"/>
      <c r="B4068"/>
      <c r="C4068"/>
      <c r="E4068"/>
      <c r="F4068"/>
      <c r="G4068"/>
      <c r="H4068"/>
    </row>
    <row r="4069" spans="1:8">
      <c r="A4069"/>
      <c r="B4069"/>
      <c r="C4069"/>
      <c r="E4069"/>
      <c r="F4069"/>
      <c r="G4069"/>
      <c r="H4069"/>
    </row>
    <row r="4070" spans="1:8">
      <c r="A4070"/>
      <c r="B4070"/>
      <c r="C4070"/>
      <c r="E4070"/>
      <c r="F4070"/>
      <c r="G4070"/>
      <c r="H4070"/>
    </row>
    <row r="4071" spans="1:8">
      <c r="A4071"/>
      <c r="B4071"/>
      <c r="C4071"/>
      <c r="E4071"/>
      <c r="F4071"/>
      <c r="G4071"/>
      <c r="H4071"/>
    </row>
    <row r="4072" spans="1:8">
      <c r="A4072"/>
      <c r="B4072"/>
      <c r="C4072"/>
      <c r="E4072"/>
      <c r="F4072"/>
      <c r="G4072"/>
      <c r="H4072"/>
    </row>
    <row r="4073" spans="1:8">
      <c r="A4073"/>
      <c r="B4073"/>
      <c r="C4073"/>
      <c r="E4073"/>
      <c r="F4073"/>
      <c r="G4073"/>
      <c r="H4073"/>
    </row>
    <row r="4074" spans="1:8">
      <c r="A4074"/>
      <c r="B4074"/>
      <c r="C4074"/>
      <c r="E4074"/>
      <c r="F4074"/>
      <c r="G4074"/>
      <c r="H4074"/>
    </row>
    <row r="4075" spans="1:8">
      <c r="A4075"/>
      <c r="B4075"/>
      <c r="C4075"/>
      <c r="E4075"/>
      <c r="F4075"/>
      <c r="G4075"/>
      <c r="H4075"/>
    </row>
    <row r="4076" spans="1:8">
      <c r="A4076"/>
      <c r="B4076"/>
      <c r="C4076"/>
      <c r="E4076"/>
      <c r="F4076"/>
      <c r="G4076"/>
      <c r="H4076"/>
    </row>
    <row r="4077" spans="1:8">
      <c r="A4077"/>
      <c r="B4077"/>
      <c r="C4077"/>
      <c r="E4077"/>
      <c r="F4077"/>
      <c r="G4077"/>
      <c r="H4077"/>
    </row>
    <row r="4078" spans="1:8">
      <c r="A4078"/>
      <c r="B4078"/>
      <c r="C4078"/>
      <c r="E4078"/>
      <c r="F4078"/>
      <c r="G4078"/>
      <c r="H4078"/>
    </row>
    <row r="4079" spans="1:8">
      <c r="A4079"/>
      <c r="B4079"/>
      <c r="C4079"/>
      <c r="E4079"/>
      <c r="F4079"/>
      <c r="G4079"/>
      <c r="H4079"/>
    </row>
    <row r="4080" spans="1:8">
      <c r="A4080"/>
      <c r="B4080"/>
      <c r="C4080"/>
      <c r="E4080"/>
      <c r="F4080"/>
      <c r="G4080"/>
      <c r="H4080"/>
    </row>
    <row r="4081" spans="1:8">
      <c r="A4081"/>
      <c r="B4081"/>
      <c r="C4081"/>
      <c r="E4081"/>
      <c r="F4081"/>
      <c r="G4081"/>
      <c r="H4081"/>
    </row>
    <row r="4082" spans="1:8">
      <c r="A4082"/>
      <c r="B4082"/>
      <c r="C4082"/>
      <c r="E4082"/>
      <c r="F4082"/>
      <c r="G4082"/>
      <c r="H4082"/>
    </row>
    <row r="4083" spans="1:8">
      <c r="A4083"/>
      <c r="B4083"/>
      <c r="C4083"/>
      <c r="E4083"/>
      <c r="F4083"/>
      <c r="G4083"/>
      <c r="H4083"/>
    </row>
    <row r="4084" spans="1:8">
      <c r="A4084"/>
      <c r="B4084"/>
      <c r="C4084"/>
      <c r="E4084"/>
      <c r="F4084"/>
      <c r="G4084"/>
      <c r="H4084"/>
    </row>
    <row r="4085" spans="1:8">
      <c r="A4085"/>
      <c r="B4085"/>
      <c r="C4085"/>
      <c r="E4085"/>
      <c r="F4085"/>
      <c r="G4085"/>
      <c r="H4085"/>
    </row>
    <row r="4086" spans="1:8">
      <c r="A4086"/>
      <c r="B4086"/>
      <c r="C4086"/>
      <c r="E4086"/>
      <c r="F4086"/>
      <c r="G4086"/>
      <c r="H4086"/>
    </row>
    <row r="4087" spans="1:8">
      <c r="A4087"/>
      <c r="B4087"/>
      <c r="C4087"/>
      <c r="E4087"/>
      <c r="F4087"/>
      <c r="G4087"/>
      <c r="H4087"/>
    </row>
    <row r="4088" spans="1:8">
      <c r="A4088"/>
      <c r="B4088"/>
      <c r="C4088"/>
      <c r="E4088"/>
      <c r="F4088"/>
      <c r="G4088"/>
      <c r="H4088"/>
    </row>
    <row r="4089" spans="1:8">
      <c r="A4089"/>
      <c r="B4089"/>
      <c r="C4089"/>
      <c r="E4089"/>
      <c r="F4089"/>
      <c r="G4089"/>
      <c r="H4089"/>
    </row>
    <row r="4090" spans="1:8">
      <c r="A4090"/>
      <c r="B4090"/>
      <c r="C4090"/>
      <c r="E4090"/>
      <c r="F4090"/>
      <c r="G4090"/>
      <c r="H4090"/>
    </row>
    <row r="4091" spans="1:8">
      <c r="A4091"/>
      <c r="B4091"/>
      <c r="C4091"/>
      <c r="E4091"/>
      <c r="F4091"/>
      <c r="G4091"/>
      <c r="H4091"/>
    </row>
    <row r="4092" spans="1:8">
      <c r="A4092"/>
      <c r="B4092"/>
      <c r="C4092"/>
      <c r="E4092"/>
      <c r="F4092"/>
      <c r="G4092"/>
      <c r="H4092"/>
    </row>
    <row r="4093" spans="1:8">
      <c r="A4093"/>
      <c r="B4093"/>
      <c r="C4093"/>
      <c r="E4093"/>
      <c r="F4093"/>
      <c r="G4093"/>
      <c r="H4093"/>
    </row>
    <row r="4094" spans="1:8">
      <c r="A4094"/>
      <c r="B4094"/>
      <c r="C4094"/>
      <c r="E4094"/>
      <c r="F4094"/>
      <c r="G4094"/>
      <c r="H4094"/>
    </row>
    <row r="4095" spans="1:8">
      <c r="A4095"/>
      <c r="B4095"/>
      <c r="C4095"/>
      <c r="E4095"/>
      <c r="F4095"/>
      <c r="G4095"/>
      <c r="H4095"/>
    </row>
    <row r="4096" spans="1:8">
      <c r="A4096"/>
      <c r="B4096"/>
      <c r="C4096"/>
      <c r="E4096"/>
      <c r="F4096"/>
      <c r="G4096"/>
      <c r="H4096"/>
    </row>
    <row r="4097" spans="1:8">
      <c r="A4097"/>
      <c r="B4097"/>
      <c r="C4097"/>
      <c r="E4097"/>
      <c r="F4097"/>
      <c r="G4097"/>
      <c r="H4097"/>
    </row>
    <row r="4098" spans="1:8">
      <c r="A4098"/>
      <c r="B4098"/>
      <c r="C4098"/>
      <c r="E4098"/>
      <c r="F4098"/>
      <c r="G4098"/>
      <c r="H4098"/>
    </row>
    <row r="4099" spans="1:8">
      <c r="A4099"/>
      <c r="B4099"/>
      <c r="C4099"/>
      <c r="E4099"/>
      <c r="F4099"/>
      <c r="G4099"/>
      <c r="H4099"/>
    </row>
    <row r="4100" spans="1:8">
      <c r="A4100"/>
      <c r="B4100"/>
      <c r="C4100"/>
      <c r="E4100"/>
      <c r="F4100"/>
      <c r="G4100"/>
      <c r="H4100"/>
    </row>
    <row r="4101" spans="1:8">
      <c r="A4101"/>
      <c r="B4101"/>
      <c r="C4101"/>
      <c r="E4101"/>
      <c r="F4101"/>
      <c r="G4101"/>
      <c r="H4101"/>
    </row>
    <row r="4102" spans="1:8">
      <c r="A4102"/>
      <c r="B4102"/>
      <c r="C4102"/>
      <c r="E4102"/>
      <c r="F4102"/>
      <c r="G4102"/>
      <c r="H4102"/>
    </row>
    <row r="4103" spans="1:8">
      <c r="A4103"/>
      <c r="B4103"/>
      <c r="C4103"/>
      <c r="E4103"/>
      <c r="F4103"/>
      <c r="G4103"/>
      <c r="H4103"/>
    </row>
    <row r="4104" spans="1:8">
      <c r="A4104"/>
      <c r="B4104"/>
      <c r="C4104"/>
      <c r="E4104"/>
      <c r="F4104"/>
      <c r="G4104"/>
      <c r="H4104"/>
    </row>
    <row r="4105" spans="1:8">
      <c r="A4105"/>
      <c r="B4105"/>
      <c r="C4105"/>
      <c r="E4105"/>
      <c r="F4105"/>
      <c r="G4105"/>
      <c r="H4105"/>
    </row>
    <row r="4106" spans="1:8">
      <c r="A4106"/>
      <c r="B4106"/>
      <c r="C4106"/>
      <c r="E4106"/>
      <c r="F4106"/>
      <c r="G4106"/>
      <c r="H4106"/>
    </row>
    <row r="4107" spans="1:8">
      <c r="A4107"/>
      <c r="B4107"/>
      <c r="C4107"/>
      <c r="E4107"/>
      <c r="F4107"/>
      <c r="G4107"/>
      <c r="H4107"/>
    </row>
    <row r="4108" spans="1:8">
      <c r="A4108"/>
      <c r="B4108"/>
      <c r="C4108"/>
      <c r="E4108"/>
      <c r="F4108"/>
      <c r="G4108"/>
      <c r="H4108"/>
    </row>
    <row r="4109" spans="1:8">
      <c r="A4109"/>
      <c r="B4109"/>
      <c r="C4109"/>
      <c r="E4109"/>
      <c r="F4109"/>
      <c r="G4109"/>
      <c r="H4109"/>
    </row>
    <row r="4110" spans="1:8">
      <c r="A4110"/>
      <c r="B4110"/>
      <c r="C4110"/>
      <c r="E4110"/>
      <c r="F4110"/>
      <c r="G4110"/>
      <c r="H4110"/>
    </row>
    <row r="4111" spans="1:8">
      <c r="A4111"/>
      <c r="B4111"/>
      <c r="C4111"/>
      <c r="E4111"/>
      <c r="F4111"/>
      <c r="G4111"/>
      <c r="H4111"/>
    </row>
    <row r="4112" spans="1:8">
      <c r="A4112"/>
      <c r="B4112"/>
      <c r="C4112"/>
      <c r="E4112"/>
      <c r="F4112"/>
      <c r="G4112"/>
      <c r="H4112"/>
    </row>
    <row r="4113" spans="1:8">
      <c r="A4113"/>
      <c r="B4113"/>
      <c r="C4113"/>
      <c r="E4113"/>
      <c r="F4113"/>
      <c r="G4113"/>
      <c r="H4113"/>
    </row>
    <row r="4114" spans="1:8">
      <c r="A4114"/>
      <c r="B4114"/>
      <c r="C4114"/>
      <c r="E4114"/>
      <c r="F4114"/>
      <c r="G4114"/>
      <c r="H4114"/>
    </row>
    <row r="4115" spans="1:8">
      <c r="A4115"/>
      <c r="B4115"/>
      <c r="C4115"/>
      <c r="E4115"/>
      <c r="F4115"/>
      <c r="G4115"/>
      <c r="H4115"/>
    </row>
    <row r="4116" spans="1:8">
      <c r="A4116"/>
      <c r="B4116"/>
      <c r="C4116"/>
      <c r="E4116"/>
      <c r="F4116"/>
      <c r="G4116"/>
      <c r="H4116"/>
    </row>
    <row r="4117" spans="1:8">
      <c r="A4117"/>
      <c r="B4117"/>
      <c r="C4117"/>
      <c r="E4117"/>
      <c r="F4117"/>
      <c r="G4117"/>
      <c r="H4117"/>
    </row>
    <row r="4118" spans="1:8">
      <c r="A4118"/>
      <c r="B4118"/>
      <c r="C4118"/>
      <c r="E4118"/>
      <c r="F4118"/>
      <c r="G4118"/>
      <c r="H4118"/>
    </row>
    <row r="4119" spans="1:8">
      <c r="A4119"/>
      <c r="B4119"/>
      <c r="C4119"/>
      <c r="E4119"/>
      <c r="F4119"/>
      <c r="G4119"/>
      <c r="H4119"/>
    </row>
    <row r="4120" spans="1:8">
      <c r="A4120"/>
      <c r="B4120"/>
      <c r="C4120"/>
      <c r="E4120"/>
      <c r="F4120"/>
      <c r="G4120"/>
      <c r="H4120"/>
    </row>
    <row r="4121" spans="1:8">
      <c r="A4121"/>
      <c r="B4121"/>
      <c r="C4121"/>
      <c r="E4121"/>
      <c r="F4121"/>
      <c r="G4121"/>
      <c r="H4121"/>
    </row>
    <row r="4122" spans="1:8">
      <c r="A4122"/>
      <c r="B4122"/>
      <c r="C4122"/>
      <c r="E4122"/>
      <c r="F4122"/>
      <c r="G4122"/>
      <c r="H4122"/>
    </row>
    <row r="4123" spans="1:8">
      <c r="A4123"/>
      <c r="B4123"/>
      <c r="C4123"/>
      <c r="E4123"/>
      <c r="F4123"/>
      <c r="G4123"/>
      <c r="H4123"/>
    </row>
    <row r="4124" spans="1:8">
      <c r="A4124"/>
      <c r="B4124"/>
      <c r="C4124"/>
      <c r="E4124"/>
      <c r="F4124"/>
      <c r="G4124"/>
      <c r="H4124"/>
    </row>
    <row r="4125" spans="1:8">
      <c r="A4125"/>
      <c r="B4125"/>
      <c r="C4125"/>
      <c r="E4125"/>
      <c r="F4125"/>
      <c r="G4125"/>
      <c r="H4125"/>
    </row>
    <row r="4126" spans="1:8">
      <c r="A4126"/>
      <c r="B4126"/>
      <c r="C4126"/>
      <c r="E4126"/>
      <c r="F4126"/>
      <c r="G4126"/>
      <c r="H4126"/>
    </row>
    <row r="4127" spans="1:8">
      <c r="A4127"/>
      <c r="B4127"/>
      <c r="C4127"/>
      <c r="E4127"/>
      <c r="F4127"/>
      <c r="G4127"/>
      <c r="H4127"/>
    </row>
    <row r="4128" spans="1:8">
      <c r="A4128"/>
      <c r="B4128"/>
      <c r="C4128"/>
      <c r="E4128"/>
      <c r="F4128"/>
      <c r="G4128"/>
      <c r="H4128"/>
    </row>
    <row r="4129" spans="1:8">
      <c r="A4129"/>
      <c r="B4129"/>
      <c r="C4129"/>
      <c r="E4129"/>
      <c r="F4129"/>
      <c r="G4129"/>
      <c r="H4129"/>
    </row>
    <row r="4130" spans="1:8">
      <c r="A4130"/>
      <c r="B4130"/>
      <c r="C4130"/>
      <c r="E4130"/>
      <c r="F4130"/>
      <c r="G4130"/>
      <c r="H4130"/>
    </row>
    <row r="4131" spans="1:8">
      <c r="A4131"/>
      <c r="B4131"/>
      <c r="C4131"/>
      <c r="E4131"/>
      <c r="F4131"/>
      <c r="G4131"/>
      <c r="H4131"/>
    </row>
    <row r="4132" spans="1:8">
      <c r="A4132"/>
      <c r="B4132"/>
      <c r="C4132"/>
      <c r="E4132"/>
      <c r="F4132"/>
      <c r="G4132"/>
      <c r="H4132"/>
    </row>
    <row r="4133" spans="1:8">
      <c r="A4133"/>
      <c r="B4133"/>
      <c r="C4133"/>
      <c r="E4133"/>
      <c r="F4133"/>
      <c r="G4133"/>
      <c r="H4133"/>
    </row>
    <row r="4134" spans="1:8">
      <c r="A4134"/>
      <c r="B4134"/>
      <c r="C4134"/>
      <c r="E4134"/>
      <c r="F4134"/>
      <c r="G4134"/>
      <c r="H4134"/>
    </row>
    <row r="4135" spans="1:8">
      <c r="A4135"/>
      <c r="B4135"/>
      <c r="C4135"/>
      <c r="E4135"/>
      <c r="F4135"/>
      <c r="G4135"/>
      <c r="H4135"/>
    </row>
    <row r="4136" spans="1:8">
      <c r="A4136"/>
      <c r="B4136"/>
      <c r="C4136"/>
      <c r="E4136"/>
      <c r="F4136"/>
      <c r="G4136"/>
      <c r="H4136"/>
    </row>
    <row r="4137" spans="1:8">
      <c r="A4137"/>
      <c r="B4137"/>
      <c r="C4137"/>
      <c r="E4137"/>
      <c r="F4137"/>
      <c r="G4137"/>
      <c r="H4137"/>
    </row>
    <row r="4138" spans="1:8">
      <c r="A4138"/>
      <c r="B4138"/>
      <c r="C4138"/>
      <c r="E4138"/>
      <c r="F4138"/>
      <c r="G4138"/>
      <c r="H4138"/>
    </row>
    <row r="4139" spans="1:8">
      <c r="A4139"/>
      <c r="B4139"/>
      <c r="C4139"/>
      <c r="E4139"/>
      <c r="F4139"/>
      <c r="G4139"/>
      <c r="H4139"/>
    </row>
    <row r="4140" spans="1:8">
      <c r="A4140"/>
      <c r="B4140"/>
      <c r="C4140"/>
      <c r="E4140"/>
      <c r="F4140"/>
      <c r="G4140"/>
      <c r="H4140"/>
    </row>
    <row r="4141" spans="1:8">
      <c r="A4141"/>
      <c r="B4141"/>
      <c r="C4141"/>
      <c r="E4141"/>
      <c r="F4141"/>
      <c r="G4141"/>
      <c r="H4141"/>
    </row>
    <row r="4142" spans="1:8">
      <c r="A4142"/>
      <c r="B4142"/>
      <c r="C4142"/>
      <c r="E4142"/>
      <c r="F4142"/>
      <c r="G4142"/>
      <c r="H4142"/>
    </row>
    <row r="4143" spans="1:8">
      <c r="A4143"/>
      <c r="B4143"/>
      <c r="C4143"/>
      <c r="E4143"/>
      <c r="F4143"/>
      <c r="G4143"/>
      <c r="H4143"/>
    </row>
    <row r="4144" spans="1:8">
      <c r="A4144"/>
      <c r="B4144"/>
      <c r="C4144"/>
      <c r="E4144"/>
      <c r="F4144"/>
      <c r="G4144"/>
      <c r="H4144"/>
    </row>
    <row r="4145" spans="1:8">
      <c r="A4145"/>
      <c r="B4145"/>
      <c r="C4145"/>
      <c r="E4145"/>
      <c r="F4145"/>
      <c r="G4145"/>
      <c r="H4145"/>
    </row>
    <row r="4146" spans="1:8">
      <c r="A4146"/>
      <c r="B4146"/>
      <c r="C4146"/>
      <c r="E4146"/>
      <c r="F4146"/>
      <c r="G4146"/>
      <c r="H4146"/>
    </row>
    <row r="4147" spans="1:8">
      <c r="A4147"/>
      <c r="B4147"/>
      <c r="C4147"/>
      <c r="E4147"/>
      <c r="F4147"/>
      <c r="G4147"/>
      <c r="H4147"/>
    </row>
    <row r="4148" spans="1:8">
      <c r="A4148"/>
      <c r="B4148"/>
      <c r="C4148"/>
      <c r="E4148"/>
      <c r="F4148"/>
      <c r="G4148"/>
      <c r="H4148"/>
    </row>
    <row r="4149" spans="1:8">
      <c r="A4149"/>
      <c r="B4149"/>
      <c r="C4149"/>
      <c r="E4149"/>
      <c r="F4149"/>
      <c r="G4149"/>
      <c r="H4149"/>
    </row>
    <row r="4150" spans="1:8">
      <c r="A4150"/>
      <c r="B4150"/>
      <c r="C4150"/>
      <c r="E4150"/>
      <c r="F4150"/>
      <c r="G4150"/>
      <c r="H4150"/>
    </row>
    <row r="4151" spans="1:8">
      <c r="A4151"/>
      <c r="B4151"/>
      <c r="C4151"/>
      <c r="E4151"/>
      <c r="F4151"/>
      <c r="G4151"/>
      <c r="H4151"/>
    </row>
    <row r="4152" spans="1:8">
      <c r="A4152"/>
      <c r="B4152"/>
      <c r="C4152"/>
      <c r="E4152"/>
      <c r="F4152"/>
      <c r="G4152"/>
      <c r="H4152"/>
    </row>
    <row r="4153" spans="1:8">
      <c r="A4153"/>
      <c r="B4153"/>
      <c r="C4153"/>
      <c r="E4153"/>
      <c r="F4153"/>
      <c r="G4153"/>
      <c r="H4153"/>
    </row>
    <row r="4154" spans="1:8">
      <c r="A4154"/>
      <c r="B4154"/>
      <c r="C4154"/>
      <c r="E4154"/>
      <c r="F4154"/>
      <c r="G4154"/>
      <c r="H4154"/>
    </row>
    <row r="4155" spans="1:8">
      <c r="A4155"/>
      <c r="B4155"/>
      <c r="C4155"/>
      <c r="E4155"/>
      <c r="F4155"/>
      <c r="G4155"/>
      <c r="H4155"/>
    </row>
    <row r="4156" spans="1:8">
      <c r="A4156"/>
      <c r="B4156"/>
      <c r="C4156"/>
      <c r="E4156"/>
      <c r="F4156"/>
      <c r="G4156"/>
      <c r="H4156"/>
    </row>
    <row r="4157" spans="1:8">
      <c r="A4157"/>
      <c r="B4157"/>
      <c r="C4157"/>
      <c r="E4157"/>
      <c r="F4157"/>
      <c r="G4157"/>
      <c r="H4157"/>
    </row>
    <row r="4158" spans="1:8">
      <c r="A4158"/>
      <c r="B4158"/>
      <c r="C4158"/>
      <c r="E4158"/>
      <c r="F4158"/>
      <c r="G4158"/>
      <c r="H4158"/>
    </row>
    <row r="4159" spans="1:8">
      <c r="A4159"/>
      <c r="B4159"/>
      <c r="C4159"/>
      <c r="E4159"/>
      <c r="F4159"/>
      <c r="G4159"/>
      <c r="H4159"/>
    </row>
    <row r="4160" spans="1:8">
      <c r="A4160"/>
      <c r="B4160"/>
      <c r="C4160"/>
      <c r="E4160"/>
      <c r="F4160"/>
      <c r="G4160"/>
      <c r="H4160"/>
    </row>
    <row r="4161" spans="1:8">
      <c r="A4161"/>
      <c r="B4161"/>
      <c r="C4161"/>
      <c r="E4161"/>
      <c r="F4161"/>
      <c r="G4161"/>
      <c r="H4161"/>
    </row>
    <row r="4162" spans="1:8">
      <c r="A4162"/>
      <c r="B4162"/>
      <c r="C4162"/>
      <c r="E4162"/>
      <c r="F4162"/>
      <c r="G4162"/>
      <c r="H4162"/>
    </row>
    <row r="4163" spans="1:8">
      <c r="A4163"/>
      <c r="B4163"/>
      <c r="C4163"/>
      <c r="E4163"/>
      <c r="F4163"/>
      <c r="G4163"/>
      <c r="H4163"/>
    </row>
    <row r="4164" spans="1:8">
      <c r="A4164"/>
      <c r="B4164"/>
      <c r="C4164"/>
      <c r="E4164"/>
      <c r="F4164"/>
      <c r="G4164"/>
      <c r="H4164"/>
    </row>
    <row r="4165" spans="1:8">
      <c r="A4165"/>
      <c r="B4165"/>
      <c r="C4165"/>
      <c r="E4165"/>
      <c r="F4165"/>
      <c r="G4165"/>
      <c r="H4165"/>
    </row>
    <row r="4166" spans="1:8">
      <c r="A4166"/>
      <c r="B4166"/>
      <c r="C4166"/>
      <c r="E4166"/>
      <c r="F4166"/>
      <c r="G4166"/>
      <c r="H4166"/>
    </row>
    <row r="4167" spans="1:8">
      <c r="A4167"/>
      <c r="B4167"/>
      <c r="C4167"/>
      <c r="E4167"/>
      <c r="F4167"/>
      <c r="G4167"/>
      <c r="H4167"/>
    </row>
    <row r="4168" spans="1:8">
      <c r="A4168"/>
      <c r="B4168"/>
      <c r="C4168"/>
      <c r="E4168"/>
      <c r="F4168"/>
      <c r="G4168"/>
      <c r="H4168"/>
    </row>
    <row r="4169" spans="1:8">
      <c r="A4169"/>
      <c r="B4169"/>
      <c r="C4169"/>
      <c r="E4169"/>
      <c r="F4169"/>
      <c r="G4169"/>
      <c r="H4169"/>
    </row>
    <row r="4170" spans="1:8">
      <c r="A4170"/>
      <c r="B4170"/>
      <c r="C4170"/>
      <c r="E4170"/>
      <c r="F4170"/>
      <c r="G4170"/>
      <c r="H4170"/>
    </row>
    <row r="4171" spans="1:8">
      <c r="A4171"/>
      <c r="B4171"/>
      <c r="C4171"/>
      <c r="E4171"/>
      <c r="F4171"/>
      <c r="G4171"/>
      <c r="H4171"/>
    </row>
    <row r="4172" spans="1:8">
      <c r="A4172"/>
      <c r="B4172"/>
      <c r="C4172"/>
      <c r="E4172"/>
      <c r="F4172"/>
      <c r="G4172"/>
      <c r="H4172"/>
    </row>
    <row r="4173" spans="1:8">
      <c r="A4173"/>
      <c r="B4173"/>
      <c r="C4173"/>
      <c r="E4173"/>
      <c r="F4173"/>
      <c r="G4173"/>
      <c r="H4173"/>
    </row>
    <row r="4174" spans="1:8">
      <c r="A4174"/>
      <c r="B4174"/>
      <c r="C4174"/>
      <c r="E4174"/>
      <c r="F4174"/>
      <c r="G4174"/>
      <c r="H4174"/>
    </row>
    <row r="4175" spans="1:8">
      <c r="A4175"/>
      <c r="B4175"/>
      <c r="C4175"/>
      <c r="E4175"/>
      <c r="F4175"/>
      <c r="G4175"/>
      <c r="H4175"/>
    </row>
    <row r="4176" spans="1:8">
      <c r="A4176"/>
      <c r="B4176"/>
      <c r="C4176"/>
      <c r="E4176"/>
      <c r="F4176"/>
      <c r="G4176"/>
      <c r="H4176"/>
    </row>
    <row r="4177" spans="1:8">
      <c r="A4177"/>
      <c r="B4177"/>
      <c r="C4177"/>
      <c r="E4177"/>
      <c r="F4177"/>
      <c r="G4177"/>
      <c r="H4177"/>
    </row>
    <row r="4178" spans="1:8">
      <c r="A4178"/>
      <c r="B4178"/>
      <c r="C4178"/>
      <c r="E4178"/>
      <c r="F4178"/>
      <c r="G4178"/>
      <c r="H4178"/>
    </row>
    <row r="4179" spans="1:8">
      <c r="A4179"/>
      <c r="B4179"/>
      <c r="C4179"/>
      <c r="E4179"/>
      <c r="F4179"/>
      <c r="G4179"/>
      <c r="H4179"/>
    </row>
    <row r="4180" spans="1:8">
      <c r="A4180"/>
      <c r="B4180"/>
      <c r="C4180"/>
      <c r="E4180"/>
      <c r="F4180"/>
      <c r="G4180"/>
      <c r="H4180"/>
    </row>
    <row r="4181" spans="1:8">
      <c r="A4181"/>
      <c r="B4181"/>
      <c r="C4181"/>
      <c r="E4181"/>
      <c r="F4181"/>
      <c r="G4181"/>
      <c r="H4181"/>
    </row>
    <row r="4182" spans="1:8">
      <c r="A4182"/>
      <c r="B4182"/>
      <c r="C4182"/>
      <c r="E4182"/>
      <c r="F4182"/>
      <c r="G4182"/>
      <c r="H4182"/>
    </row>
    <row r="4183" spans="1:8">
      <c r="A4183"/>
      <c r="B4183"/>
      <c r="C4183"/>
      <c r="E4183"/>
      <c r="F4183"/>
      <c r="G4183"/>
      <c r="H4183"/>
    </row>
    <row r="4184" spans="1:8">
      <c r="A4184"/>
      <c r="B4184"/>
      <c r="C4184"/>
      <c r="E4184"/>
      <c r="F4184"/>
      <c r="G4184"/>
      <c r="H4184"/>
    </row>
    <row r="4185" spans="1:8">
      <c r="A4185"/>
      <c r="B4185"/>
      <c r="C4185"/>
      <c r="E4185"/>
      <c r="F4185"/>
      <c r="G4185"/>
      <c r="H4185"/>
    </row>
    <row r="4186" spans="1:8">
      <c r="A4186"/>
      <c r="B4186"/>
      <c r="C4186"/>
      <c r="E4186"/>
      <c r="F4186"/>
      <c r="G4186"/>
      <c r="H4186"/>
    </row>
    <row r="4187" spans="1:8">
      <c r="A4187"/>
      <c r="B4187"/>
      <c r="C4187"/>
      <c r="E4187"/>
      <c r="F4187"/>
      <c r="G4187"/>
      <c r="H4187"/>
    </row>
    <row r="4188" spans="1:8">
      <c r="A4188"/>
      <c r="B4188"/>
      <c r="C4188"/>
      <c r="E4188"/>
      <c r="F4188"/>
      <c r="G4188"/>
      <c r="H4188"/>
    </row>
    <row r="4189" spans="1:8">
      <c r="A4189"/>
      <c r="B4189"/>
      <c r="C4189"/>
      <c r="E4189"/>
      <c r="F4189"/>
      <c r="G4189"/>
      <c r="H4189"/>
    </row>
    <row r="4190" spans="1:8">
      <c r="A4190"/>
      <c r="B4190"/>
      <c r="C4190"/>
      <c r="E4190"/>
      <c r="F4190"/>
      <c r="G4190"/>
      <c r="H4190"/>
    </row>
    <row r="4191" spans="1:8">
      <c r="A4191"/>
      <c r="B4191"/>
      <c r="C4191"/>
      <c r="E4191"/>
      <c r="F4191"/>
      <c r="G4191"/>
      <c r="H4191"/>
    </row>
    <row r="4192" spans="1:8">
      <c r="A4192"/>
      <c r="B4192"/>
      <c r="C4192"/>
      <c r="E4192"/>
      <c r="F4192"/>
      <c r="G4192"/>
      <c r="H4192"/>
    </row>
    <row r="4193" spans="1:8">
      <c r="A4193"/>
      <c r="B4193"/>
      <c r="C4193"/>
      <c r="E4193"/>
      <c r="F4193"/>
      <c r="G4193"/>
      <c r="H4193"/>
    </row>
    <row r="4194" spans="1:8">
      <c r="A4194"/>
      <c r="B4194"/>
      <c r="C4194"/>
      <c r="E4194"/>
      <c r="F4194"/>
      <c r="G4194"/>
      <c r="H4194"/>
    </row>
    <row r="4195" spans="1:8">
      <c r="A4195"/>
      <c r="B4195"/>
      <c r="C4195"/>
      <c r="E4195"/>
      <c r="F4195"/>
      <c r="G4195"/>
      <c r="H4195"/>
    </row>
    <row r="4196" spans="1:8">
      <c r="A4196"/>
      <c r="B4196"/>
      <c r="C4196"/>
      <c r="E4196"/>
      <c r="F4196"/>
      <c r="G4196"/>
      <c r="H4196"/>
    </row>
    <row r="4197" spans="1:8">
      <c r="A4197"/>
      <c r="B4197"/>
      <c r="C4197"/>
      <c r="E4197"/>
      <c r="F4197"/>
      <c r="G4197"/>
      <c r="H4197"/>
    </row>
    <row r="4198" spans="1:8">
      <c r="A4198"/>
      <c r="B4198"/>
      <c r="C4198"/>
      <c r="E4198"/>
      <c r="F4198"/>
      <c r="G4198"/>
      <c r="H4198"/>
    </row>
    <row r="4199" spans="1:8">
      <c r="A4199"/>
      <c r="B4199"/>
      <c r="C4199"/>
      <c r="E4199"/>
      <c r="F4199"/>
      <c r="G4199"/>
      <c r="H4199"/>
    </row>
    <row r="4200" spans="1:8">
      <c r="A4200"/>
      <c r="B4200"/>
      <c r="C4200"/>
      <c r="E4200"/>
      <c r="F4200"/>
      <c r="G4200"/>
      <c r="H4200"/>
    </row>
    <row r="4201" spans="1:8">
      <c r="A4201"/>
      <c r="B4201"/>
      <c r="C4201"/>
      <c r="E4201"/>
      <c r="F4201"/>
      <c r="G4201"/>
      <c r="H4201"/>
    </row>
    <row r="4202" spans="1:8">
      <c r="A4202"/>
      <c r="B4202"/>
      <c r="C4202"/>
      <c r="E4202"/>
      <c r="F4202"/>
      <c r="G4202"/>
      <c r="H4202"/>
    </row>
    <row r="4203" spans="1:8">
      <c r="A4203"/>
      <c r="B4203"/>
      <c r="C4203"/>
      <c r="E4203"/>
      <c r="F4203"/>
      <c r="G4203"/>
      <c r="H4203"/>
    </row>
    <row r="4204" spans="1:8">
      <c r="A4204"/>
      <c r="B4204"/>
      <c r="C4204"/>
      <c r="E4204"/>
      <c r="F4204"/>
      <c r="G4204"/>
      <c r="H4204"/>
    </row>
    <row r="4205" spans="1:8">
      <c r="A4205"/>
      <c r="B4205"/>
      <c r="C4205"/>
      <c r="E4205"/>
      <c r="F4205"/>
      <c r="G4205"/>
      <c r="H4205"/>
    </row>
    <row r="4206" spans="1:8">
      <c r="A4206"/>
      <c r="B4206"/>
      <c r="C4206"/>
      <c r="E4206"/>
      <c r="F4206"/>
      <c r="G4206"/>
      <c r="H4206"/>
    </row>
    <row r="4207" spans="1:8">
      <c r="A4207"/>
      <c r="B4207"/>
      <c r="C4207"/>
      <c r="E4207"/>
      <c r="F4207"/>
      <c r="G4207"/>
      <c r="H4207"/>
    </row>
    <row r="4208" spans="1:8">
      <c r="A4208"/>
      <c r="B4208"/>
      <c r="C4208"/>
      <c r="E4208"/>
      <c r="F4208"/>
      <c r="G4208"/>
      <c r="H4208"/>
    </row>
    <row r="4209" spans="1:8">
      <c r="A4209"/>
      <c r="B4209"/>
      <c r="C4209"/>
      <c r="E4209"/>
      <c r="F4209"/>
      <c r="G4209"/>
      <c r="H4209"/>
    </row>
    <row r="4210" spans="1:8">
      <c r="A4210"/>
      <c r="B4210"/>
      <c r="C4210"/>
      <c r="E4210"/>
      <c r="F4210"/>
      <c r="G4210"/>
      <c r="H4210"/>
    </row>
    <row r="4211" spans="1:8">
      <c r="A4211"/>
      <c r="B4211"/>
      <c r="C4211"/>
      <c r="E4211"/>
      <c r="F4211"/>
      <c r="G4211"/>
      <c r="H4211"/>
    </row>
    <row r="4212" spans="1:8">
      <c r="A4212"/>
      <c r="B4212"/>
      <c r="C4212"/>
      <c r="E4212"/>
      <c r="F4212"/>
      <c r="G4212"/>
      <c r="H4212"/>
    </row>
    <row r="4213" spans="1:8">
      <c r="A4213"/>
      <c r="B4213"/>
      <c r="C4213"/>
      <c r="E4213"/>
      <c r="F4213"/>
      <c r="G4213"/>
      <c r="H4213"/>
    </row>
    <row r="4214" spans="1:8">
      <c r="A4214"/>
      <c r="B4214"/>
      <c r="C4214"/>
      <c r="E4214"/>
      <c r="F4214"/>
      <c r="G4214"/>
      <c r="H4214"/>
    </row>
    <row r="4215" spans="1:8">
      <c r="A4215"/>
      <c r="B4215"/>
      <c r="C4215"/>
      <c r="E4215"/>
      <c r="F4215"/>
      <c r="G4215"/>
      <c r="H4215"/>
    </row>
    <row r="4216" spans="1:8">
      <c r="A4216"/>
      <c r="B4216"/>
      <c r="C4216"/>
      <c r="E4216"/>
      <c r="F4216"/>
      <c r="G4216"/>
      <c r="H4216"/>
    </row>
    <row r="4217" spans="1:8">
      <c r="A4217"/>
      <c r="B4217"/>
      <c r="C4217"/>
      <c r="E4217"/>
      <c r="F4217"/>
      <c r="G4217"/>
      <c r="H4217"/>
    </row>
    <row r="4218" spans="1:8">
      <c r="A4218"/>
      <c r="B4218"/>
      <c r="C4218"/>
      <c r="E4218"/>
      <c r="F4218"/>
      <c r="G4218"/>
      <c r="H4218"/>
    </row>
    <row r="4219" spans="1:8">
      <c r="A4219"/>
      <c r="B4219"/>
      <c r="C4219"/>
      <c r="E4219"/>
      <c r="F4219"/>
      <c r="G4219"/>
      <c r="H4219"/>
    </row>
    <row r="4220" spans="1:8">
      <c r="A4220"/>
      <c r="B4220"/>
      <c r="C4220"/>
      <c r="E4220"/>
      <c r="F4220"/>
      <c r="G4220"/>
      <c r="H4220"/>
    </row>
    <row r="4221" spans="1:8">
      <c r="A4221"/>
      <c r="B4221"/>
      <c r="C4221"/>
      <c r="E4221"/>
      <c r="F4221"/>
      <c r="G4221"/>
      <c r="H4221"/>
    </row>
    <row r="4222" spans="1:8">
      <c r="A4222"/>
      <c r="B4222"/>
      <c r="C4222"/>
      <c r="E4222"/>
      <c r="F4222"/>
      <c r="G4222"/>
      <c r="H4222"/>
    </row>
    <row r="4223" spans="1:8">
      <c r="A4223"/>
      <c r="B4223"/>
      <c r="C4223"/>
      <c r="E4223"/>
      <c r="F4223"/>
      <c r="G4223"/>
      <c r="H4223"/>
    </row>
    <row r="4224" spans="1:8">
      <c r="A4224"/>
      <c r="B4224"/>
      <c r="C4224"/>
      <c r="E4224"/>
      <c r="F4224"/>
      <c r="G4224"/>
      <c r="H4224"/>
    </row>
    <row r="4225" spans="1:8">
      <c r="A4225"/>
      <c r="B4225"/>
      <c r="C4225"/>
      <c r="E4225"/>
      <c r="F4225"/>
      <c r="G4225"/>
      <c r="H4225"/>
    </row>
    <row r="4226" spans="1:8">
      <c r="A4226"/>
      <c r="B4226"/>
      <c r="C4226"/>
      <c r="E4226"/>
      <c r="F4226"/>
      <c r="G4226"/>
      <c r="H4226"/>
    </row>
    <row r="4227" spans="1:8">
      <c r="A4227"/>
      <c r="B4227"/>
      <c r="C4227"/>
      <c r="E4227"/>
      <c r="F4227"/>
      <c r="G4227"/>
      <c r="H4227"/>
    </row>
    <row r="4228" spans="1:8">
      <c r="A4228"/>
      <c r="B4228"/>
      <c r="C4228"/>
      <c r="E4228"/>
      <c r="F4228"/>
      <c r="G4228"/>
      <c r="H4228"/>
    </row>
    <row r="4229" spans="1:8">
      <c r="A4229"/>
      <c r="B4229"/>
      <c r="C4229"/>
      <c r="E4229"/>
      <c r="F4229"/>
      <c r="G4229"/>
      <c r="H4229"/>
    </row>
    <row r="4230" spans="1:8">
      <c r="A4230"/>
      <c r="B4230"/>
      <c r="C4230"/>
      <c r="E4230"/>
      <c r="F4230"/>
      <c r="G4230"/>
      <c r="H4230"/>
    </row>
    <row r="4231" spans="1:8">
      <c r="A4231"/>
      <c r="B4231"/>
      <c r="C4231"/>
      <c r="E4231"/>
      <c r="F4231"/>
      <c r="G4231"/>
      <c r="H4231"/>
    </row>
    <row r="4232" spans="1:8">
      <c r="A4232"/>
      <c r="B4232"/>
      <c r="C4232"/>
      <c r="E4232"/>
      <c r="F4232"/>
      <c r="G4232"/>
      <c r="H4232"/>
    </row>
    <row r="4233" spans="1:8">
      <c r="A4233"/>
      <c r="B4233"/>
      <c r="C4233"/>
      <c r="E4233"/>
      <c r="F4233"/>
      <c r="G4233"/>
      <c r="H4233"/>
    </row>
    <row r="4234" spans="1:8">
      <c r="A4234"/>
      <c r="B4234"/>
      <c r="C4234"/>
      <c r="E4234"/>
      <c r="F4234"/>
      <c r="G4234"/>
      <c r="H4234"/>
    </row>
    <row r="4235" spans="1:8">
      <c r="A4235"/>
      <c r="B4235"/>
      <c r="C4235"/>
      <c r="E4235"/>
      <c r="F4235"/>
      <c r="G4235"/>
      <c r="H4235"/>
    </row>
    <row r="4236" spans="1:8">
      <c r="A4236"/>
      <c r="B4236"/>
      <c r="C4236"/>
      <c r="E4236"/>
      <c r="F4236"/>
      <c r="G4236"/>
      <c r="H4236"/>
    </row>
    <row r="4237" spans="1:8">
      <c r="A4237"/>
      <c r="B4237"/>
      <c r="C4237"/>
      <c r="E4237"/>
      <c r="F4237"/>
      <c r="G4237"/>
      <c r="H4237"/>
    </row>
    <row r="4238" spans="1:8">
      <c r="A4238"/>
      <c r="B4238"/>
      <c r="C4238"/>
      <c r="E4238"/>
      <c r="F4238"/>
      <c r="G4238"/>
      <c r="H4238"/>
    </row>
    <row r="4239" spans="1:8">
      <c r="A4239"/>
      <c r="B4239"/>
      <c r="C4239"/>
      <c r="E4239"/>
      <c r="F4239"/>
      <c r="G4239"/>
      <c r="H4239"/>
    </row>
    <row r="4240" spans="1:8">
      <c r="A4240"/>
      <c r="B4240"/>
      <c r="C4240"/>
      <c r="E4240"/>
      <c r="F4240"/>
      <c r="G4240"/>
      <c r="H4240"/>
    </row>
    <row r="4241" spans="1:8">
      <c r="A4241"/>
      <c r="B4241"/>
      <c r="C4241"/>
      <c r="E4241"/>
      <c r="F4241"/>
      <c r="G4241"/>
      <c r="H4241"/>
    </row>
    <row r="4242" spans="1:8">
      <c r="A4242"/>
      <c r="B4242"/>
      <c r="C4242"/>
      <c r="E4242"/>
      <c r="F4242"/>
      <c r="G4242"/>
      <c r="H4242"/>
    </row>
    <row r="4243" spans="1:8">
      <c r="A4243"/>
      <c r="B4243"/>
      <c r="C4243"/>
      <c r="E4243"/>
      <c r="F4243"/>
      <c r="G4243"/>
      <c r="H4243"/>
    </row>
    <row r="4244" spans="1:8">
      <c r="A4244"/>
      <c r="B4244"/>
      <c r="C4244"/>
      <c r="E4244"/>
      <c r="F4244"/>
      <c r="G4244"/>
      <c r="H4244"/>
    </row>
    <row r="4245" spans="1:8">
      <c r="A4245"/>
      <c r="B4245"/>
      <c r="C4245"/>
      <c r="E4245"/>
      <c r="F4245"/>
      <c r="G4245"/>
      <c r="H4245"/>
    </row>
    <row r="4246" spans="1:8">
      <c r="A4246"/>
      <c r="B4246"/>
      <c r="C4246"/>
      <c r="E4246"/>
      <c r="F4246"/>
      <c r="G4246"/>
      <c r="H4246"/>
    </row>
    <row r="4247" spans="1:8">
      <c r="A4247"/>
      <c r="B4247"/>
      <c r="C4247"/>
      <c r="E4247"/>
      <c r="F4247"/>
      <c r="G4247"/>
      <c r="H4247"/>
    </row>
    <row r="4248" spans="1:8">
      <c r="A4248"/>
      <c r="B4248"/>
      <c r="C4248"/>
      <c r="E4248"/>
      <c r="F4248"/>
      <c r="G4248"/>
      <c r="H4248"/>
    </row>
    <row r="4249" spans="1:8">
      <c r="A4249"/>
      <c r="B4249"/>
      <c r="C4249"/>
      <c r="E4249"/>
      <c r="F4249"/>
      <c r="G4249"/>
      <c r="H4249"/>
    </row>
    <row r="4250" spans="1:8">
      <c r="A4250"/>
      <c r="B4250"/>
      <c r="C4250"/>
      <c r="E4250"/>
      <c r="F4250"/>
      <c r="G4250"/>
      <c r="H4250"/>
    </row>
    <row r="4251" spans="1:8">
      <c r="A4251"/>
      <c r="B4251"/>
      <c r="C4251"/>
      <c r="E4251"/>
      <c r="F4251"/>
      <c r="G4251"/>
      <c r="H4251"/>
    </row>
    <row r="4252" spans="1:8">
      <c r="A4252"/>
      <c r="B4252"/>
      <c r="C4252"/>
      <c r="E4252"/>
      <c r="F4252"/>
      <c r="G4252"/>
      <c r="H4252"/>
    </row>
    <row r="4253" spans="1:8">
      <c r="A4253"/>
      <c r="B4253"/>
      <c r="C4253"/>
      <c r="E4253"/>
      <c r="F4253"/>
      <c r="G4253"/>
      <c r="H4253"/>
    </row>
    <row r="4254" spans="1:8">
      <c r="A4254"/>
      <c r="B4254"/>
      <c r="C4254"/>
      <c r="E4254"/>
      <c r="F4254"/>
      <c r="G4254"/>
      <c r="H4254"/>
    </row>
    <row r="4255" spans="1:8">
      <c r="A4255"/>
      <c r="B4255"/>
      <c r="C4255"/>
      <c r="E4255"/>
      <c r="F4255"/>
      <c r="G4255"/>
      <c r="H4255"/>
    </row>
    <row r="4256" spans="1:8">
      <c r="A4256"/>
      <c r="B4256"/>
      <c r="C4256"/>
      <c r="E4256"/>
      <c r="F4256"/>
      <c r="G4256"/>
      <c r="H4256"/>
    </row>
    <row r="4257" spans="1:8">
      <c r="A4257"/>
      <c r="B4257"/>
      <c r="C4257"/>
      <c r="E4257"/>
      <c r="F4257"/>
      <c r="G4257"/>
      <c r="H4257"/>
    </row>
    <row r="4258" spans="1:8">
      <c r="A4258"/>
      <c r="B4258"/>
      <c r="C4258"/>
      <c r="E4258"/>
      <c r="F4258"/>
      <c r="G4258"/>
      <c r="H4258"/>
    </row>
    <row r="4259" spans="1:8">
      <c r="A4259"/>
      <c r="B4259"/>
      <c r="C4259"/>
      <c r="E4259"/>
      <c r="F4259"/>
      <c r="G4259"/>
      <c r="H4259"/>
    </row>
    <row r="4260" spans="1:8">
      <c r="A4260"/>
      <c r="B4260"/>
      <c r="C4260"/>
      <c r="E4260"/>
      <c r="F4260"/>
      <c r="G4260"/>
      <c r="H4260"/>
    </row>
    <row r="4261" spans="1:8">
      <c r="A4261"/>
      <c r="B4261"/>
      <c r="C4261"/>
      <c r="E4261"/>
      <c r="F4261"/>
      <c r="G4261"/>
      <c r="H4261"/>
    </row>
    <row r="4262" spans="1:8">
      <c r="A4262"/>
      <c r="B4262"/>
      <c r="C4262"/>
      <c r="E4262"/>
      <c r="F4262"/>
      <c r="G4262"/>
      <c r="H4262"/>
    </row>
    <row r="4263" spans="1:8">
      <c r="A4263"/>
      <c r="B4263"/>
      <c r="C4263"/>
      <c r="E4263"/>
      <c r="F4263"/>
      <c r="G4263"/>
      <c r="H4263"/>
    </row>
    <row r="4264" spans="1:8">
      <c r="A4264"/>
      <c r="B4264"/>
      <c r="C4264"/>
      <c r="E4264"/>
      <c r="F4264"/>
      <c r="G4264"/>
      <c r="H4264"/>
    </row>
    <row r="4265" spans="1:8">
      <c r="A4265"/>
      <c r="B4265"/>
      <c r="C4265"/>
      <c r="E4265"/>
      <c r="F4265"/>
      <c r="G4265"/>
      <c r="H4265"/>
    </row>
    <row r="4266" spans="1:8">
      <c r="A4266"/>
      <c r="B4266"/>
      <c r="C4266"/>
      <c r="E4266"/>
      <c r="F4266"/>
      <c r="G4266"/>
      <c r="H4266"/>
    </row>
    <row r="4267" spans="1:8">
      <c r="A4267"/>
      <c r="B4267"/>
      <c r="C4267"/>
      <c r="E4267"/>
      <c r="F4267"/>
      <c r="G4267"/>
      <c r="H4267"/>
    </row>
    <row r="4268" spans="1:8">
      <c r="A4268"/>
      <c r="B4268"/>
      <c r="C4268"/>
      <c r="E4268"/>
      <c r="F4268"/>
      <c r="G4268"/>
      <c r="H4268"/>
    </row>
    <row r="4269" spans="1:8">
      <c r="A4269"/>
      <c r="B4269"/>
      <c r="C4269"/>
      <c r="E4269"/>
      <c r="F4269"/>
      <c r="G4269"/>
      <c r="H4269"/>
    </row>
    <row r="4270" spans="1:8">
      <c r="A4270"/>
      <c r="B4270"/>
      <c r="C4270"/>
      <c r="E4270"/>
      <c r="F4270"/>
      <c r="G4270"/>
      <c r="H4270"/>
    </row>
    <row r="4271" spans="1:8">
      <c r="A4271"/>
      <c r="B4271"/>
      <c r="C4271"/>
      <c r="E4271"/>
      <c r="F4271"/>
      <c r="G4271"/>
      <c r="H4271"/>
    </row>
    <row r="4272" spans="1:8">
      <c r="A4272"/>
      <c r="B4272"/>
      <c r="C4272"/>
      <c r="E4272"/>
      <c r="F4272"/>
      <c r="G4272"/>
      <c r="H4272"/>
    </row>
    <row r="4273" spans="1:8">
      <c r="A4273"/>
      <c r="B4273"/>
      <c r="C4273"/>
      <c r="E4273"/>
      <c r="F4273"/>
      <c r="G4273"/>
      <c r="H4273"/>
    </row>
    <row r="4274" spans="1:8">
      <c r="A4274"/>
      <c r="B4274"/>
      <c r="C4274"/>
      <c r="E4274"/>
      <c r="F4274"/>
      <c r="G4274"/>
      <c r="H4274"/>
    </row>
    <row r="4275" spans="1:8">
      <c r="A4275"/>
      <c r="B4275"/>
      <c r="C4275"/>
      <c r="E4275"/>
      <c r="F4275"/>
      <c r="G4275"/>
      <c r="H4275"/>
    </row>
    <row r="4276" spans="1:8">
      <c r="A4276"/>
      <c r="B4276"/>
      <c r="C4276"/>
      <c r="E4276"/>
      <c r="F4276"/>
      <c r="G4276"/>
      <c r="H4276"/>
    </row>
    <row r="4277" spans="1:8">
      <c r="A4277"/>
      <c r="B4277"/>
      <c r="C4277"/>
      <c r="E4277"/>
      <c r="F4277"/>
      <c r="G4277"/>
      <c r="H4277"/>
    </row>
    <row r="4278" spans="1:8">
      <c r="A4278"/>
      <c r="B4278"/>
      <c r="C4278"/>
      <c r="E4278"/>
      <c r="F4278"/>
      <c r="G4278"/>
      <c r="H4278"/>
    </row>
    <row r="4279" spans="1:8">
      <c r="A4279"/>
      <c r="B4279"/>
      <c r="C4279"/>
      <c r="E4279"/>
      <c r="F4279"/>
      <c r="G4279"/>
      <c r="H4279"/>
    </row>
    <row r="4280" spans="1:8">
      <c r="A4280"/>
      <c r="B4280"/>
      <c r="C4280"/>
      <c r="E4280"/>
      <c r="F4280"/>
      <c r="G4280"/>
      <c r="H4280"/>
    </row>
    <row r="4281" spans="1:8">
      <c r="A4281"/>
      <c r="B4281"/>
      <c r="C4281"/>
      <c r="E4281"/>
      <c r="F4281"/>
      <c r="G4281"/>
      <c r="H4281"/>
    </row>
    <row r="4282" spans="1:8">
      <c r="A4282"/>
      <c r="B4282"/>
      <c r="C4282"/>
      <c r="E4282"/>
      <c r="F4282"/>
      <c r="G4282"/>
      <c r="H4282"/>
    </row>
    <row r="4283" spans="1:8">
      <c r="A4283"/>
      <c r="B4283"/>
      <c r="C4283"/>
      <c r="E4283"/>
      <c r="F4283"/>
      <c r="G4283"/>
      <c r="H4283"/>
    </row>
    <row r="4284" spans="1:8">
      <c r="A4284"/>
      <c r="B4284"/>
      <c r="C4284"/>
      <c r="E4284"/>
      <c r="F4284"/>
      <c r="G4284"/>
      <c r="H4284"/>
    </row>
    <row r="4285" spans="1:8">
      <c r="A4285"/>
      <c r="B4285"/>
      <c r="C4285"/>
      <c r="E4285"/>
      <c r="F4285"/>
      <c r="G4285"/>
      <c r="H4285"/>
    </row>
    <row r="4286" spans="1:8">
      <c r="A4286"/>
      <c r="B4286"/>
      <c r="C4286"/>
      <c r="E4286"/>
      <c r="F4286"/>
      <c r="G4286"/>
      <c r="H4286"/>
    </row>
    <row r="4287" spans="1:8">
      <c r="A4287"/>
      <c r="B4287"/>
      <c r="C4287"/>
      <c r="E4287"/>
      <c r="F4287"/>
      <c r="G4287"/>
      <c r="H4287"/>
    </row>
    <row r="4288" spans="1:8">
      <c r="A4288"/>
      <c r="B4288"/>
      <c r="C4288"/>
      <c r="E4288"/>
      <c r="F4288"/>
      <c r="G4288"/>
      <c r="H4288"/>
    </row>
    <row r="4289" spans="1:8">
      <c r="A4289"/>
      <c r="B4289"/>
      <c r="C4289"/>
      <c r="E4289"/>
      <c r="F4289"/>
      <c r="G4289"/>
      <c r="H4289"/>
    </row>
    <row r="4290" spans="1:8">
      <c r="A4290"/>
      <c r="B4290"/>
      <c r="C4290"/>
      <c r="E4290"/>
      <c r="F4290"/>
      <c r="G4290"/>
      <c r="H4290"/>
    </row>
    <row r="4291" spans="1:8">
      <c r="A4291"/>
      <c r="B4291"/>
      <c r="C4291"/>
      <c r="E4291"/>
      <c r="F4291"/>
      <c r="G4291"/>
      <c r="H4291"/>
    </row>
    <row r="4292" spans="1:8">
      <c r="A4292"/>
      <c r="B4292"/>
      <c r="C4292"/>
      <c r="E4292"/>
      <c r="F4292"/>
      <c r="G4292"/>
      <c r="H4292"/>
    </row>
    <row r="4293" spans="1:8">
      <c r="A4293"/>
      <c r="B4293"/>
      <c r="C4293"/>
      <c r="E4293"/>
      <c r="F4293"/>
      <c r="G4293"/>
      <c r="H4293"/>
    </row>
    <row r="4294" spans="1:8">
      <c r="A4294"/>
      <c r="B4294"/>
      <c r="C4294"/>
      <c r="E4294"/>
      <c r="F4294"/>
      <c r="G4294"/>
      <c r="H4294"/>
    </row>
    <row r="4295" spans="1:8">
      <c r="A4295"/>
      <c r="B4295"/>
      <c r="C4295"/>
      <c r="E4295"/>
      <c r="F4295"/>
      <c r="G4295"/>
      <c r="H4295"/>
    </row>
    <row r="4296" spans="1:8">
      <c r="A4296"/>
      <c r="B4296"/>
      <c r="C4296"/>
      <c r="E4296"/>
      <c r="F4296"/>
      <c r="G4296"/>
      <c r="H4296"/>
    </row>
    <row r="4297" spans="1:8">
      <c r="A4297"/>
      <c r="B4297"/>
      <c r="C4297"/>
      <c r="E4297"/>
      <c r="F4297"/>
      <c r="G4297"/>
      <c r="H4297"/>
    </row>
    <row r="4298" spans="1:8">
      <c r="A4298"/>
      <c r="B4298"/>
      <c r="C4298"/>
      <c r="E4298"/>
      <c r="F4298"/>
      <c r="G4298"/>
      <c r="H4298"/>
    </row>
    <row r="4299" spans="1:8">
      <c r="A4299"/>
      <c r="B4299"/>
      <c r="C4299"/>
      <c r="E4299"/>
      <c r="F4299"/>
      <c r="G4299"/>
      <c r="H4299"/>
    </row>
    <row r="4300" spans="1:8">
      <c r="A4300"/>
      <c r="B4300"/>
      <c r="C4300"/>
      <c r="E4300"/>
      <c r="F4300"/>
      <c r="G4300"/>
      <c r="H4300"/>
    </row>
    <row r="4301" spans="1:8">
      <c r="A4301"/>
      <c r="B4301"/>
      <c r="C4301"/>
      <c r="E4301"/>
      <c r="F4301"/>
      <c r="G4301"/>
      <c r="H4301"/>
    </row>
    <row r="4302" spans="1:8">
      <c r="A4302"/>
      <c r="B4302"/>
      <c r="C4302"/>
      <c r="E4302"/>
      <c r="F4302"/>
      <c r="G4302"/>
      <c r="H4302"/>
    </row>
    <row r="4303" spans="1:8">
      <c r="A4303"/>
      <c r="B4303"/>
      <c r="C4303"/>
      <c r="E4303"/>
      <c r="F4303"/>
      <c r="G4303"/>
      <c r="H4303"/>
    </row>
    <row r="4304" spans="1:8">
      <c r="A4304"/>
      <c r="B4304"/>
      <c r="C4304"/>
      <c r="E4304"/>
      <c r="F4304"/>
      <c r="G4304"/>
      <c r="H4304"/>
    </row>
    <row r="4305" spans="1:8">
      <c r="A4305"/>
      <c r="B4305"/>
      <c r="C4305"/>
      <c r="E4305"/>
      <c r="F4305"/>
      <c r="G4305"/>
      <c r="H4305"/>
    </row>
    <row r="4306" spans="1:8">
      <c r="A4306"/>
      <c r="B4306"/>
      <c r="C4306"/>
      <c r="E4306"/>
      <c r="F4306"/>
      <c r="G4306"/>
      <c r="H4306"/>
    </row>
    <row r="4307" spans="1:8">
      <c r="A4307"/>
      <c r="B4307"/>
      <c r="C4307"/>
      <c r="E4307"/>
      <c r="F4307"/>
      <c r="G4307"/>
      <c r="H4307"/>
    </row>
    <row r="4308" spans="1:8">
      <c r="A4308"/>
      <c r="B4308"/>
      <c r="C4308"/>
      <c r="E4308"/>
      <c r="F4308"/>
      <c r="G4308"/>
      <c r="H4308"/>
    </row>
    <row r="4309" spans="1:8">
      <c r="A4309"/>
      <c r="B4309"/>
      <c r="C4309"/>
      <c r="E4309"/>
      <c r="F4309"/>
      <c r="G4309"/>
      <c r="H4309"/>
    </row>
    <row r="4310" spans="1:8">
      <c r="A4310"/>
      <c r="B4310"/>
      <c r="C4310"/>
      <c r="E4310"/>
      <c r="F4310"/>
      <c r="G4310"/>
      <c r="H4310"/>
    </row>
    <row r="4311" spans="1:8">
      <c r="A4311"/>
      <c r="B4311"/>
      <c r="C4311"/>
      <c r="E4311"/>
      <c r="F4311"/>
      <c r="G4311"/>
      <c r="H4311"/>
    </row>
    <row r="4312" spans="1:8">
      <c r="A4312"/>
      <c r="B4312"/>
      <c r="C4312"/>
      <c r="E4312"/>
      <c r="F4312"/>
      <c r="G4312"/>
      <c r="H4312"/>
    </row>
    <row r="4313" spans="1:8">
      <c r="A4313"/>
      <c r="B4313"/>
      <c r="C4313"/>
      <c r="E4313"/>
      <c r="F4313"/>
      <c r="G4313"/>
      <c r="H4313"/>
    </row>
    <row r="4314" spans="1:8">
      <c r="A4314"/>
      <c r="B4314"/>
      <c r="C4314"/>
      <c r="E4314"/>
      <c r="F4314"/>
      <c r="G4314"/>
      <c r="H4314"/>
    </row>
    <row r="4315" spans="1:8">
      <c r="A4315"/>
      <c r="B4315"/>
      <c r="C4315"/>
      <c r="E4315"/>
      <c r="F4315"/>
      <c r="G4315"/>
      <c r="H4315"/>
    </row>
    <row r="4316" spans="1:8">
      <c r="A4316"/>
      <c r="B4316"/>
      <c r="C4316"/>
      <c r="E4316"/>
      <c r="F4316"/>
      <c r="G4316"/>
      <c r="H4316"/>
    </row>
    <row r="4317" spans="1:8">
      <c r="A4317"/>
      <c r="B4317"/>
      <c r="C4317"/>
      <c r="E4317"/>
      <c r="F4317"/>
      <c r="G4317"/>
      <c r="H4317"/>
    </row>
    <row r="4318" spans="1:8">
      <c r="A4318"/>
      <c r="B4318"/>
      <c r="C4318"/>
      <c r="E4318"/>
      <c r="F4318"/>
      <c r="G4318"/>
      <c r="H4318"/>
    </row>
    <row r="4319" spans="1:8">
      <c r="A4319"/>
      <c r="B4319"/>
      <c r="C4319"/>
      <c r="E4319"/>
      <c r="F4319"/>
      <c r="G4319"/>
      <c r="H4319"/>
    </row>
    <row r="4320" spans="1:8">
      <c r="A4320"/>
      <c r="B4320"/>
      <c r="C4320"/>
      <c r="E4320"/>
      <c r="F4320"/>
      <c r="G4320"/>
      <c r="H4320"/>
    </row>
    <row r="4321" spans="1:8">
      <c r="A4321"/>
      <c r="B4321"/>
      <c r="C4321"/>
      <c r="E4321"/>
      <c r="F4321"/>
      <c r="G4321"/>
      <c r="H4321"/>
    </row>
    <row r="4322" spans="1:8">
      <c r="A4322"/>
      <c r="B4322"/>
      <c r="C4322"/>
      <c r="E4322"/>
      <c r="F4322"/>
      <c r="G4322"/>
      <c r="H4322"/>
    </row>
    <row r="4323" spans="1:8">
      <c r="A4323"/>
      <c r="B4323"/>
      <c r="C4323"/>
      <c r="E4323"/>
      <c r="F4323"/>
      <c r="G4323"/>
      <c r="H4323"/>
    </row>
    <row r="4324" spans="1:8">
      <c r="A4324"/>
      <c r="B4324"/>
      <c r="C4324"/>
      <c r="E4324"/>
      <c r="F4324"/>
      <c r="G4324"/>
      <c r="H4324"/>
    </row>
    <row r="4325" spans="1:8">
      <c r="A4325"/>
      <c r="B4325"/>
      <c r="C4325"/>
      <c r="E4325"/>
      <c r="F4325"/>
      <c r="G4325"/>
      <c r="H4325"/>
    </row>
    <row r="4326" spans="1:8">
      <c r="A4326"/>
      <c r="B4326"/>
      <c r="C4326"/>
      <c r="E4326"/>
      <c r="F4326"/>
      <c r="G4326"/>
      <c r="H4326"/>
    </row>
    <row r="4327" spans="1:8">
      <c r="A4327"/>
      <c r="B4327"/>
      <c r="C4327"/>
      <c r="E4327"/>
      <c r="F4327"/>
      <c r="G4327"/>
      <c r="H4327"/>
    </row>
    <row r="4328" spans="1:8">
      <c r="A4328"/>
      <c r="B4328"/>
      <c r="C4328"/>
      <c r="E4328"/>
      <c r="F4328"/>
      <c r="G4328"/>
      <c r="H4328"/>
    </row>
    <row r="4329" spans="1:8">
      <c r="A4329"/>
      <c r="B4329"/>
      <c r="C4329"/>
      <c r="E4329"/>
      <c r="F4329"/>
      <c r="G4329"/>
      <c r="H4329"/>
    </row>
    <row r="4330" spans="1:8">
      <c r="A4330"/>
      <c r="B4330"/>
      <c r="C4330"/>
      <c r="E4330"/>
      <c r="F4330"/>
      <c r="G4330"/>
      <c r="H4330"/>
    </row>
    <row r="4331" spans="1:8">
      <c r="A4331"/>
      <c r="B4331"/>
      <c r="C4331"/>
      <c r="E4331"/>
      <c r="F4331"/>
      <c r="G4331"/>
      <c r="H4331"/>
    </row>
    <row r="4332" spans="1:8">
      <c r="A4332"/>
      <c r="B4332"/>
      <c r="C4332"/>
      <c r="E4332"/>
      <c r="F4332"/>
      <c r="G4332"/>
      <c r="H4332"/>
    </row>
    <row r="4333" spans="1:8">
      <c r="A4333"/>
      <c r="B4333"/>
      <c r="C4333"/>
      <c r="E4333"/>
      <c r="F4333"/>
      <c r="G4333"/>
      <c r="H4333"/>
    </row>
    <row r="4334" spans="1:8">
      <c r="A4334"/>
      <c r="B4334"/>
      <c r="C4334"/>
      <c r="E4334"/>
      <c r="F4334"/>
      <c r="G4334"/>
      <c r="H4334"/>
    </row>
    <row r="4335" spans="1:8">
      <c r="A4335"/>
      <c r="B4335"/>
      <c r="C4335"/>
      <c r="E4335"/>
      <c r="F4335"/>
      <c r="G4335"/>
      <c r="H4335"/>
    </row>
    <row r="4336" spans="1:8">
      <c r="A4336"/>
      <c r="B4336"/>
      <c r="C4336"/>
      <c r="E4336"/>
      <c r="F4336"/>
      <c r="G4336"/>
      <c r="H4336"/>
    </row>
    <row r="4337" spans="1:8">
      <c r="A4337"/>
      <c r="B4337"/>
      <c r="C4337"/>
      <c r="E4337"/>
      <c r="F4337"/>
      <c r="G4337"/>
      <c r="H4337"/>
    </row>
    <row r="4338" spans="1:8">
      <c r="A4338"/>
      <c r="B4338"/>
      <c r="C4338"/>
      <c r="E4338"/>
      <c r="F4338"/>
      <c r="G4338"/>
      <c r="H4338"/>
    </row>
    <row r="4339" spans="1:8">
      <c r="A4339"/>
      <c r="B4339"/>
      <c r="C4339"/>
      <c r="E4339"/>
      <c r="F4339"/>
      <c r="G4339"/>
      <c r="H4339"/>
    </row>
    <row r="4340" spans="1:8">
      <c r="A4340"/>
      <c r="B4340"/>
      <c r="C4340"/>
      <c r="E4340"/>
      <c r="F4340"/>
      <c r="G4340"/>
      <c r="H4340"/>
    </row>
    <row r="4341" spans="1:8">
      <c r="A4341"/>
      <c r="B4341"/>
      <c r="C4341"/>
      <c r="E4341"/>
      <c r="F4341"/>
      <c r="G4341"/>
      <c r="H4341"/>
    </row>
    <row r="4342" spans="1:8">
      <c r="A4342"/>
      <c r="B4342"/>
      <c r="C4342"/>
      <c r="E4342"/>
      <c r="F4342"/>
      <c r="G4342"/>
      <c r="H4342"/>
    </row>
    <row r="4343" spans="1:8">
      <c r="A4343"/>
      <c r="B4343"/>
      <c r="C4343"/>
      <c r="E4343"/>
      <c r="F4343"/>
      <c r="G4343"/>
      <c r="H4343"/>
    </row>
    <row r="4344" spans="1:8">
      <c r="A4344"/>
      <c r="B4344"/>
      <c r="C4344"/>
      <c r="E4344"/>
      <c r="F4344"/>
      <c r="G4344"/>
      <c r="H4344"/>
    </row>
    <row r="4345" spans="1:8">
      <c r="A4345"/>
      <c r="B4345"/>
      <c r="C4345"/>
      <c r="E4345"/>
      <c r="F4345"/>
      <c r="G4345"/>
      <c r="H4345"/>
    </row>
    <row r="4346" spans="1:8">
      <c r="A4346"/>
      <c r="B4346"/>
      <c r="C4346"/>
      <c r="E4346"/>
      <c r="F4346"/>
      <c r="G4346"/>
      <c r="H4346"/>
    </row>
    <row r="4347" spans="1:8">
      <c r="A4347"/>
      <c r="B4347"/>
      <c r="C4347"/>
      <c r="E4347"/>
      <c r="F4347"/>
      <c r="G4347"/>
      <c r="H4347"/>
    </row>
    <row r="4348" spans="1:8">
      <c r="A4348"/>
      <c r="B4348"/>
      <c r="C4348"/>
      <c r="E4348"/>
      <c r="F4348"/>
      <c r="G4348"/>
      <c r="H4348"/>
    </row>
    <row r="4349" spans="1:8">
      <c r="A4349"/>
      <c r="B4349"/>
      <c r="C4349"/>
      <c r="E4349"/>
      <c r="F4349"/>
      <c r="G4349"/>
      <c r="H4349"/>
    </row>
    <row r="4350" spans="1:8">
      <c r="A4350"/>
      <c r="B4350"/>
      <c r="C4350"/>
      <c r="E4350"/>
      <c r="F4350"/>
      <c r="G4350"/>
      <c r="H4350"/>
    </row>
    <row r="4351" spans="1:8">
      <c r="A4351"/>
      <c r="B4351"/>
      <c r="C4351"/>
      <c r="E4351"/>
      <c r="F4351"/>
      <c r="G4351"/>
      <c r="H4351"/>
    </row>
    <row r="4352" spans="1:8">
      <c r="A4352"/>
      <c r="B4352"/>
      <c r="C4352"/>
      <c r="E4352"/>
      <c r="F4352"/>
      <c r="G4352"/>
      <c r="H4352"/>
    </row>
    <row r="4353" spans="1:8">
      <c r="A4353"/>
      <c r="B4353"/>
      <c r="C4353"/>
      <c r="E4353"/>
      <c r="F4353"/>
      <c r="G4353"/>
      <c r="H4353"/>
    </row>
    <row r="4354" spans="1:8">
      <c r="A4354"/>
      <c r="B4354"/>
      <c r="C4354"/>
      <c r="E4354"/>
      <c r="F4354"/>
      <c r="G4354"/>
      <c r="H4354"/>
    </row>
    <row r="4355" spans="1:8">
      <c r="A4355"/>
      <c r="B4355"/>
      <c r="C4355"/>
      <c r="E4355"/>
      <c r="F4355"/>
      <c r="G4355"/>
      <c r="H4355"/>
    </row>
    <row r="4356" spans="1:8">
      <c r="A4356"/>
      <c r="B4356"/>
      <c r="C4356"/>
      <c r="E4356"/>
      <c r="F4356"/>
      <c r="G4356"/>
      <c r="H4356"/>
    </row>
    <row r="4357" spans="1:8">
      <c r="A4357"/>
      <c r="B4357"/>
      <c r="C4357"/>
      <c r="E4357"/>
      <c r="F4357"/>
      <c r="G4357"/>
      <c r="H4357"/>
    </row>
    <row r="4358" spans="1:8">
      <c r="A4358"/>
      <c r="B4358"/>
      <c r="C4358"/>
      <c r="E4358"/>
      <c r="F4358"/>
      <c r="G4358"/>
      <c r="H4358"/>
    </row>
    <row r="4359" spans="1:8">
      <c r="A4359"/>
      <c r="B4359"/>
      <c r="C4359"/>
      <c r="E4359"/>
      <c r="F4359"/>
      <c r="G4359"/>
      <c r="H4359"/>
    </row>
    <row r="4360" spans="1:8">
      <c r="A4360"/>
      <c r="B4360"/>
      <c r="C4360"/>
      <c r="E4360"/>
      <c r="F4360"/>
      <c r="G4360"/>
      <c r="H4360"/>
    </row>
    <row r="4361" spans="1:8">
      <c r="A4361"/>
      <c r="B4361"/>
      <c r="C4361"/>
      <c r="E4361"/>
      <c r="F4361"/>
      <c r="G4361"/>
      <c r="H4361"/>
    </row>
    <row r="4362" spans="1:8">
      <c r="A4362"/>
      <c r="B4362"/>
      <c r="C4362"/>
      <c r="E4362"/>
      <c r="F4362"/>
      <c r="G4362"/>
      <c r="H4362"/>
    </row>
    <row r="4363" spans="1:8">
      <c r="A4363"/>
      <c r="B4363"/>
      <c r="C4363"/>
      <c r="E4363"/>
      <c r="F4363"/>
      <c r="G4363"/>
      <c r="H4363"/>
    </row>
    <row r="4364" spans="1:8">
      <c r="A4364"/>
      <c r="B4364"/>
      <c r="C4364"/>
      <c r="E4364"/>
      <c r="F4364"/>
      <c r="G4364"/>
      <c r="H4364"/>
    </row>
    <row r="4365" spans="1:8">
      <c r="A4365"/>
      <c r="B4365"/>
      <c r="C4365"/>
      <c r="E4365"/>
      <c r="F4365"/>
      <c r="G4365"/>
      <c r="H4365"/>
    </row>
    <row r="4366" spans="1:8">
      <c r="A4366"/>
      <c r="B4366"/>
      <c r="C4366"/>
      <c r="E4366"/>
      <c r="F4366"/>
      <c r="G4366"/>
      <c r="H4366"/>
    </row>
    <row r="4367" spans="1:8">
      <c r="A4367"/>
      <c r="B4367"/>
      <c r="C4367"/>
      <c r="E4367"/>
      <c r="F4367"/>
      <c r="G4367"/>
      <c r="H4367"/>
    </row>
    <row r="4368" spans="1:8">
      <c r="A4368"/>
      <c r="B4368"/>
      <c r="C4368"/>
      <c r="E4368"/>
      <c r="F4368"/>
      <c r="G4368"/>
      <c r="H4368"/>
    </row>
    <row r="4369" spans="1:8">
      <c r="A4369"/>
      <c r="B4369"/>
      <c r="C4369"/>
      <c r="E4369"/>
      <c r="F4369"/>
      <c r="G4369"/>
      <c r="H4369"/>
    </row>
    <row r="4370" spans="1:8">
      <c r="A4370"/>
      <c r="B4370"/>
      <c r="C4370"/>
      <c r="E4370"/>
      <c r="F4370"/>
      <c r="G4370"/>
      <c r="H4370"/>
    </row>
    <row r="4371" spans="1:8">
      <c r="A4371"/>
      <c r="B4371"/>
      <c r="C4371"/>
      <c r="E4371"/>
      <c r="F4371"/>
      <c r="G4371"/>
      <c r="H4371"/>
    </row>
    <row r="4372" spans="1:8">
      <c r="A4372"/>
      <c r="B4372"/>
      <c r="C4372"/>
      <c r="E4372"/>
      <c r="F4372"/>
      <c r="G4372"/>
      <c r="H4372"/>
    </row>
    <row r="4373" spans="1:8">
      <c r="A4373"/>
      <c r="B4373"/>
      <c r="C4373"/>
      <c r="E4373"/>
      <c r="F4373"/>
      <c r="G4373"/>
      <c r="H4373"/>
    </row>
    <row r="4374" spans="1:8">
      <c r="A4374"/>
      <c r="B4374"/>
      <c r="C4374"/>
      <c r="E4374"/>
      <c r="F4374"/>
      <c r="G4374"/>
      <c r="H4374"/>
    </row>
    <row r="4375" spans="1:8">
      <c r="A4375"/>
      <c r="B4375"/>
      <c r="C4375"/>
      <c r="E4375"/>
      <c r="F4375"/>
      <c r="G4375"/>
      <c r="H4375"/>
    </row>
    <row r="4376" spans="1:8">
      <c r="A4376"/>
      <c r="B4376"/>
      <c r="C4376"/>
      <c r="E4376"/>
      <c r="F4376"/>
      <c r="G4376"/>
      <c r="H4376"/>
    </row>
    <row r="4377" spans="1:8">
      <c r="A4377"/>
      <c r="B4377"/>
      <c r="C4377"/>
      <c r="E4377"/>
      <c r="F4377"/>
      <c r="G4377"/>
      <c r="H4377"/>
    </row>
    <row r="4378" spans="1:8">
      <c r="A4378"/>
      <c r="B4378"/>
      <c r="C4378"/>
      <c r="E4378"/>
      <c r="F4378"/>
      <c r="G4378"/>
      <c r="H4378"/>
    </row>
    <row r="4379" spans="1:8">
      <c r="A4379"/>
      <c r="B4379"/>
      <c r="C4379"/>
      <c r="E4379"/>
      <c r="F4379"/>
      <c r="G4379"/>
      <c r="H4379"/>
    </row>
    <row r="4380" spans="1:8">
      <c r="A4380"/>
      <c r="B4380"/>
      <c r="C4380"/>
      <c r="E4380"/>
      <c r="F4380"/>
      <c r="G4380"/>
      <c r="H4380"/>
    </row>
    <row r="4381" spans="1:8">
      <c r="A4381"/>
      <c r="B4381"/>
      <c r="C4381"/>
      <c r="E4381"/>
      <c r="F4381"/>
      <c r="G4381"/>
      <c r="H4381"/>
    </row>
    <row r="4382" spans="1:8">
      <c r="A4382"/>
      <c r="B4382"/>
      <c r="C4382"/>
      <c r="E4382"/>
      <c r="F4382"/>
      <c r="G4382"/>
      <c r="H4382"/>
    </row>
    <row r="4383" spans="1:8">
      <c r="A4383"/>
      <c r="B4383"/>
      <c r="C4383"/>
      <c r="E4383"/>
      <c r="F4383"/>
      <c r="G4383"/>
      <c r="H4383"/>
    </row>
    <row r="4384" spans="1:8">
      <c r="A4384"/>
      <c r="B4384"/>
      <c r="C4384"/>
      <c r="E4384"/>
      <c r="F4384"/>
      <c r="G4384"/>
      <c r="H4384"/>
    </row>
    <row r="4385" spans="1:8">
      <c r="A4385"/>
      <c r="B4385"/>
      <c r="C4385"/>
      <c r="E4385"/>
      <c r="F4385"/>
      <c r="G4385"/>
      <c r="H4385"/>
    </row>
    <row r="4386" spans="1:8">
      <c r="A4386"/>
      <c r="B4386"/>
      <c r="C4386"/>
      <c r="E4386"/>
      <c r="F4386"/>
      <c r="G4386"/>
      <c r="H4386"/>
    </row>
    <row r="4387" spans="1:8">
      <c r="A4387"/>
      <c r="B4387"/>
      <c r="C4387"/>
      <c r="E4387"/>
      <c r="F4387"/>
      <c r="G4387"/>
      <c r="H4387"/>
    </row>
    <row r="4388" spans="1:8">
      <c r="A4388"/>
      <c r="B4388"/>
      <c r="C4388"/>
      <c r="E4388"/>
      <c r="F4388"/>
      <c r="G4388"/>
      <c r="H4388"/>
    </row>
    <row r="4389" spans="1:8">
      <c r="A4389"/>
      <c r="B4389"/>
      <c r="C4389"/>
      <c r="E4389"/>
      <c r="F4389"/>
      <c r="G4389"/>
      <c r="H4389"/>
    </row>
    <row r="4390" spans="1:8">
      <c r="A4390"/>
      <c r="B4390"/>
      <c r="C4390"/>
      <c r="E4390"/>
      <c r="F4390"/>
      <c r="G4390"/>
      <c r="H4390"/>
    </row>
    <row r="4391" spans="1:8">
      <c r="A4391"/>
      <c r="B4391"/>
      <c r="C4391"/>
      <c r="E4391"/>
      <c r="F4391"/>
      <c r="G4391"/>
      <c r="H4391"/>
    </row>
    <row r="4392" spans="1:8">
      <c r="A4392"/>
      <c r="B4392"/>
      <c r="C4392"/>
      <c r="E4392"/>
      <c r="F4392"/>
      <c r="G4392"/>
      <c r="H4392"/>
    </row>
    <row r="4393" spans="1:8">
      <c r="A4393"/>
      <c r="B4393"/>
      <c r="C4393"/>
      <c r="E4393"/>
      <c r="F4393"/>
      <c r="G4393"/>
      <c r="H4393"/>
    </row>
    <row r="4394" spans="1:8">
      <c r="A4394"/>
      <c r="B4394"/>
      <c r="C4394"/>
      <c r="E4394"/>
      <c r="F4394"/>
      <c r="G4394"/>
      <c r="H4394"/>
    </row>
    <row r="4395" spans="1:8">
      <c r="A4395"/>
      <c r="B4395"/>
      <c r="C4395"/>
      <c r="E4395"/>
      <c r="F4395"/>
      <c r="G4395"/>
      <c r="H4395"/>
    </row>
    <row r="4396" spans="1:8">
      <c r="A4396"/>
      <c r="B4396"/>
      <c r="C4396"/>
      <c r="E4396"/>
      <c r="F4396"/>
      <c r="G4396"/>
      <c r="H4396"/>
    </row>
    <row r="4397" spans="1:8">
      <c r="A4397"/>
      <c r="B4397"/>
      <c r="C4397"/>
      <c r="E4397"/>
      <c r="F4397"/>
      <c r="G4397"/>
      <c r="H4397"/>
    </row>
    <row r="4398" spans="1:8">
      <c r="A4398"/>
      <c r="B4398"/>
      <c r="C4398"/>
      <c r="E4398"/>
      <c r="F4398"/>
      <c r="G4398"/>
      <c r="H4398"/>
    </row>
    <row r="4399" spans="1:8">
      <c r="A4399"/>
      <c r="B4399"/>
      <c r="C4399"/>
      <c r="E4399"/>
      <c r="F4399"/>
      <c r="G4399"/>
      <c r="H4399"/>
    </row>
    <row r="4400" spans="1:8">
      <c r="A4400"/>
      <c r="B4400"/>
      <c r="C4400"/>
      <c r="E4400"/>
      <c r="F4400"/>
      <c r="G4400"/>
      <c r="H4400"/>
    </row>
    <row r="4401" spans="1:8">
      <c r="A4401"/>
      <c r="B4401"/>
      <c r="C4401"/>
      <c r="E4401"/>
      <c r="F4401"/>
      <c r="G4401"/>
      <c r="H4401"/>
    </row>
    <row r="4402" spans="1:8">
      <c r="A4402"/>
      <c r="B4402"/>
      <c r="C4402"/>
      <c r="E4402"/>
      <c r="F4402"/>
      <c r="G4402"/>
      <c r="H4402"/>
    </row>
    <row r="4403" spans="1:8">
      <c r="A4403"/>
      <c r="B4403"/>
      <c r="C4403"/>
      <c r="E4403"/>
      <c r="F4403"/>
      <c r="G4403"/>
      <c r="H4403"/>
    </row>
    <row r="4404" spans="1:8">
      <c r="A4404"/>
      <c r="B4404"/>
      <c r="C4404"/>
      <c r="E4404"/>
      <c r="F4404"/>
      <c r="G4404"/>
      <c r="H4404"/>
    </row>
    <row r="4405" spans="1:8">
      <c r="A4405"/>
      <c r="B4405"/>
      <c r="C4405"/>
      <c r="E4405"/>
      <c r="F4405"/>
      <c r="G4405"/>
      <c r="H4405"/>
    </row>
    <row r="4406" spans="1:8">
      <c r="A4406"/>
      <c r="B4406"/>
      <c r="C4406"/>
      <c r="E4406"/>
      <c r="F4406"/>
      <c r="G4406"/>
      <c r="H4406"/>
    </row>
    <row r="4407" spans="1:8">
      <c r="A4407"/>
      <c r="B4407"/>
      <c r="C4407"/>
      <c r="E4407"/>
      <c r="F4407"/>
      <c r="G4407"/>
      <c r="H4407"/>
    </row>
    <row r="4408" spans="1:8">
      <c r="A4408"/>
      <c r="B4408"/>
      <c r="C4408"/>
      <c r="E4408"/>
      <c r="F4408"/>
      <c r="G4408"/>
      <c r="H4408"/>
    </row>
    <row r="4409" spans="1:8">
      <c r="A4409"/>
      <c r="B4409"/>
      <c r="C4409"/>
      <c r="E4409"/>
      <c r="F4409"/>
      <c r="G4409"/>
      <c r="H4409"/>
    </row>
    <row r="4410" spans="1:8">
      <c r="A4410"/>
      <c r="B4410"/>
      <c r="C4410"/>
      <c r="E4410"/>
      <c r="F4410"/>
      <c r="G4410"/>
      <c r="H4410"/>
    </row>
    <row r="4411" spans="1:8">
      <c r="A4411"/>
      <c r="B4411"/>
      <c r="C4411"/>
      <c r="E4411"/>
      <c r="F4411"/>
      <c r="G4411"/>
      <c r="H4411"/>
    </row>
    <row r="4412" spans="1:8">
      <c r="A4412"/>
      <c r="B4412"/>
      <c r="C4412"/>
      <c r="E4412"/>
      <c r="F4412"/>
      <c r="G4412"/>
      <c r="H4412"/>
    </row>
    <row r="4413" spans="1:8">
      <c r="A4413"/>
      <c r="B4413"/>
      <c r="C4413"/>
      <c r="E4413"/>
      <c r="F4413"/>
      <c r="G4413"/>
      <c r="H4413"/>
    </row>
    <row r="4414" spans="1:8">
      <c r="A4414"/>
      <c r="B4414"/>
      <c r="C4414"/>
      <c r="E4414"/>
      <c r="F4414"/>
      <c r="G4414"/>
      <c r="H4414"/>
    </row>
    <row r="4415" spans="1:8">
      <c r="A4415"/>
      <c r="B4415"/>
      <c r="C4415"/>
      <c r="E4415"/>
      <c r="F4415"/>
      <c r="G4415"/>
      <c r="H4415"/>
    </row>
    <row r="4416" spans="1:8">
      <c r="A4416"/>
      <c r="B4416"/>
      <c r="C4416"/>
      <c r="E4416"/>
      <c r="F4416"/>
      <c r="G4416"/>
      <c r="H4416"/>
    </row>
    <row r="4417" spans="1:8">
      <c r="A4417"/>
      <c r="B4417"/>
      <c r="C4417"/>
      <c r="E4417"/>
      <c r="F4417"/>
      <c r="G4417"/>
      <c r="H4417"/>
    </row>
    <row r="4418" spans="1:8">
      <c r="A4418"/>
      <c r="B4418"/>
      <c r="C4418"/>
      <c r="E4418"/>
      <c r="F4418"/>
      <c r="G4418"/>
      <c r="H4418"/>
    </row>
    <row r="4419" spans="1:8">
      <c r="A4419"/>
      <c r="B4419"/>
      <c r="C4419"/>
      <c r="E4419"/>
      <c r="F4419"/>
      <c r="G4419"/>
      <c r="H4419"/>
    </row>
    <row r="4420" spans="1:8">
      <c r="A4420"/>
      <c r="B4420"/>
      <c r="C4420"/>
      <c r="E4420"/>
      <c r="F4420"/>
      <c r="G4420"/>
      <c r="H4420"/>
    </row>
    <row r="4421" spans="1:8">
      <c r="A4421"/>
      <c r="B4421"/>
      <c r="C4421"/>
      <c r="E4421"/>
      <c r="F4421"/>
      <c r="G4421"/>
      <c r="H4421"/>
    </row>
    <row r="4422" spans="1:8">
      <c r="A4422"/>
      <c r="B4422"/>
      <c r="C4422"/>
      <c r="E4422"/>
      <c r="F4422"/>
      <c r="G4422"/>
      <c r="H4422"/>
    </row>
    <row r="4423" spans="1:8">
      <c r="A4423"/>
      <c r="B4423"/>
      <c r="C4423"/>
      <c r="E4423"/>
      <c r="F4423"/>
      <c r="G4423"/>
      <c r="H4423"/>
    </row>
    <row r="4424" spans="1:8">
      <c r="A4424"/>
      <c r="B4424"/>
      <c r="C4424"/>
      <c r="E4424"/>
      <c r="F4424"/>
      <c r="G4424"/>
      <c r="H4424"/>
    </row>
    <row r="4425" spans="1:8">
      <c r="A4425"/>
      <c r="B4425"/>
      <c r="C4425"/>
      <c r="E4425"/>
      <c r="F4425"/>
      <c r="G4425"/>
      <c r="H4425"/>
    </row>
    <row r="4426" spans="1:8">
      <c r="A4426"/>
      <c r="B4426"/>
      <c r="C4426"/>
      <c r="E4426"/>
      <c r="F4426"/>
      <c r="G4426"/>
      <c r="H4426"/>
    </row>
    <row r="4427" spans="1:8">
      <c r="A4427"/>
      <c r="B4427"/>
      <c r="C4427"/>
      <c r="E4427"/>
      <c r="F4427"/>
      <c r="G4427"/>
      <c r="H4427"/>
    </row>
    <row r="4428" spans="1:8">
      <c r="A4428"/>
      <c r="B4428"/>
      <c r="C4428"/>
      <c r="E4428"/>
      <c r="F4428"/>
      <c r="G4428"/>
      <c r="H4428"/>
    </row>
    <row r="4429" spans="1:8">
      <c r="A4429"/>
      <c r="B4429"/>
      <c r="C4429"/>
      <c r="E4429"/>
      <c r="F4429"/>
      <c r="G4429"/>
      <c r="H4429"/>
    </row>
    <row r="4430" spans="1:8">
      <c r="A4430"/>
      <c r="B4430"/>
      <c r="C4430"/>
      <c r="E4430"/>
      <c r="F4430"/>
      <c r="G4430"/>
      <c r="H4430"/>
    </row>
    <row r="4431" spans="1:8">
      <c r="A4431"/>
      <c r="B4431"/>
      <c r="C4431"/>
      <c r="E4431"/>
      <c r="F4431"/>
      <c r="G4431"/>
      <c r="H4431"/>
    </row>
    <row r="4432" spans="1:8">
      <c r="A4432"/>
      <c r="B4432"/>
      <c r="C4432"/>
      <c r="E4432"/>
      <c r="F4432"/>
      <c r="G4432"/>
      <c r="H4432"/>
    </row>
    <row r="4433" spans="1:8">
      <c r="A4433"/>
      <c r="B4433"/>
      <c r="C4433"/>
      <c r="E4433"/>
      <c r="F4433"/>
      <c r="G4433"/>
      <c r="H4433"/>
    </row>
    <row r="4434" spans="1:8">
      <c r="A4434"/>
      <c r="B4434"/>
      <c r="C4434"/>
      <c r="E4434"/>
      <c r="F4434"/>
      <c r="G4434"/>
      <c r="H4434"/>
    </row>
    <row r="4435" spans="1:8">
      <c r="A4435"/>
      <c r="B4435"/>
      <c r="C4435"/>
      <c r="E4435"/>
      <c r="F4435"/>
      <c r="G4435"/>
      <c r="H4435"/>
    </row>
    <row r="4436" spans="1:8">
      <c r="A4436"/>
      <c r="B4436"/>
      <c r="C4436"/>
      <c r="E4436"/>
      <c r="F4436"/>
      <c r="G4436"/>
      <c r="H4436"/>
    </row>
    <row r="4437" spans="1:8">
      <c r="A4437"/>
      <c r="B4437"/>
      <c r="C4437"/>
      <c r="E4437"/>
      <c r="F4437"/>
      <c r="G4437"/>
      <c r="H4437"/>
    </row>
    <row r="4438" spans="1:8">
      <c r="A4438"/>
      <c r="B4438"/>
      <c r="C4438"/>
      <c r="E4438"/>
      <c r="F4438"/>
      <c r="G4438"/>
      <c r="H4438"/>
    </row>
    <row r="4439" spans="1:8">
      <c r="A4439"/>
      <c r="B4439"/>
      <c r="C4439"/>
      <c r="E4439"/>
      <c r="F4439"/>
      <c r="G4439"/>
      <c r="H4439"/>
    </row>
    <row r="4440" spans="1:8">
      <c r="A4440"/>
      <c r="B4440"/>
      <c r="C4440"/>
      <c r="E4440"/>
      <c r="F4440"/>
      <c r="G4440"/>
      <c r="H4440"/>
    </row>
    <row r="4441" spans="1:8">
      <c r="A4441"/>
      <c r="B4441"/>
      <c r="C4441"/>
      <c r="E4441"/>
      <c r="F4441"/>
      <c r="G4441"/>
      <c r="H4441"/>
    </row>
    <row r="4442" spans="1:8">
      <c r="A4442"/>
      <c r="B4442"/>
      <c r="C4442"/>
      <c r="E4442"/>
      <c r="F4442"/>
      <c r="G4442"/>
      <c r="H4442"/>
    </row>
    <row r="4443" spans="1:8">
      <c r="A4443"/>
      <c r="B4443"/>
      <c r="C4443"/>
      <c r="E4443"/>
      <c r="F4443"/>
      <c r="G4443"/>
      <c r="H4443"/>
    </row>
    <row r="4444" spans="1:8">
      <c r="A4444"/>
      <c r="B4444"/>
      <c r="C4444"/>
      <c r="E4444"/>
      <c r="F4444"/>
      <c r="G4444"/>
      <c r="H4444"/>
    </row>
    <row r="4445" spans="1:8">
      <c r="A4445"/>
      <c r="B4445"/>
      <c r="C4445"/>
      <c r="E4445"/>
      <c r="F4445"/>
      <c r="G4445"/>
      <c r="H4445"/>
    </row>
    <row r="4446" spans="1:8">
      <c r="A4446"/>
      <c r="B4446"/>
      <c r="C4446"/>
      <c r="E4446"/>
      <c r="F4446"/>
      <c r="G4446"/>
      <c r="H4446"/>
    </row>
    <row r="4447" spans="1:8">
      <c r="A4447"/>
      <c r="B4447"/>
      <c r="C4447"/>
      <c r="E4447"/>
      <c r="F4447"/>
      <c r="G4447"/>
      <c r="H4447"/>
    </row>
    <row r="4448" spans="1:8">
      <c r="A4448"/>
      <c r="B4448"/>
      <c r="C4448"/>
      <c r="E4448"/>
      <c r="F4448"/>
      <c r="G4448"/>
      <c r="H4448"/>
    </row>
    <row r="4449" spans="1:8">
      <c r="A4449"/>
      <c r="B4449"/>
      <c r="C4449"/>
      <c r="E4449"/>
      <c r="F4449"/>
      <c r="G4449"/>
      <c r="H4449"/>
    </row>
    <row r="4450" spans="1:8">
      <c r="A4450"/>
      <c r="B4450"/>
      <c r="C4450"/>
      <c r="E4450"/>
      <c r="F4450"/>
      <c r="G4450"/>
      <c r="H4450"/>
    </row>
    <row r="4451" spans="1:8">
      <c r="A4451"/>
      <c r="B4451"/>
      <c r="C4451"/>
      <c r="E4451"/>
      <c r="F4451"/>
      <c r="G4451"/>
      <c r="H4451"/>
    </row>
    <row r="4452" spans="1:8">
      <c r="A4452"/>
      <c r="B4452"/>
      <c r="C4452"/>
      <c r="E4452"/>
      <c r="F4452"/>
      <c r="G4452"/>
      <c r="H4452"/>
    </row>
    <row r="4453" spans="1:8">
      <c r="A4453"/>
      <c r="B4453"/>
      <c r="C4453"/>
      <c r="E4453"/>
      <c r="F4453"/>
      <c r="G4453"/>
      <c r="H4453"/>
    </row>
    <row r="4454" spans="1:8">
      <c r="A4454"/>
      <c r="B4454"/>
      <c r="C4454"/>
      <c r="E4454"/>
      <c r="F4454"/>
      <c r="G4454"/>
      <c r="H4454"/>
    </row>
    <row r="4455" spans="1:8">
      <c r="A4455"/>
      <c r="B4455"/>
      <c r="C4455"/>
      <c r="E4455"/>
      <c r="F4455"/>
      <c r="G4455"/>
      <c r="H4455"/>
    </row>
    <row r="4456" spans="1:8">
      <c r="A4456"/>
      <c r="B4456"/>
      <c r="C4456"/>
      <c r="E4456"/>
      <c r="F4456"/>
      <c r="G4456"/>
      <c r="H4456"/>
    </row>
    <row r="4457" spans="1:8">
      <c r="A4457"/>
      <c r="B4457"/>
      <c r="C4457"/>
      <c r="E4457"/>
      <c r="F4457"/>
      <c r="G4457"/>
      <c r="H4457"/>
    </row>
    <row r="4458" spans="1:8">
      <c r="A4458"/>
      <c r="B4458"/>
      <c r="C4458"/>
      <c r="E4458"/>
      <c r="F4458"/>
      <c r="G4458"/>
      <c r="H4458"/>
    </row>
    <row r="4459" spans="1:8">
      <c r="A4459"/>
      <c r="B4459"/>
      <c r="C4459"/>
      <c r="E4459"/>
      <c r="F4459"/>
      <c r="G4459"/>
      <c r="H4459"/>
    </row>
    <row r="4460" spans="1:8">
      <c r="A4460"/>
      <c r="B4460"/>
      <c r="C4460"/>
      <c r="E4460"/>
      <c r="F4460"/>
      <c r="G4460"/>
      <c r="H4460"/>
    </row>
    <row r="4461" spans="1:8">
      <c r="A4461"/>
      <c r="B4461"/>
      <c r="C4461"/>
      <c r="E4461"/>
      <c r="F4461"/>
      <c r="G4461"/>
      <c r="H4461"/>
    </row>
    <row r="4462" spans="1:8">
      <c r="A4462"/>
      <c r="B4462"/>
      <c r="C4462"/>
      <c r="E4462"/>
      <c r="F4462"/>
      <c r="G4462"/>
      <c r="H4462"/>
    </row>
    <row r="4463" spans="1:8">
      <c r="A4463"/>
      <c r="B4463"/>
      <c r="C4463"/>
      <c r="E4463"/>
      <c r="F4463"/>
      <c r="G4463"/>
      <c r="H4463"/>
    </row>
    <row r="4464" spans="1:8">
      <c r="A4464"/>
      <c r="B4464"/>
      <c r="C4464"/>
      <c r="E4464"/>
      <c r="F4464"/>
      <c r="G4464"/>
      <c r="H4464"/>
    </row>
    <row r="4465" spans="1:8">
      <c r="A4465"/>
      <c r="B4465"/>
      <c r="C4465"/>
      <c r="E4465"/>
      <c r="F4465"/>
      <c r="G4465"/>
      <c r="H4465"/>
    </row>
  </sheetData>
  <pageMargins left="0.70866141732283472" right="0.70866141732283472" top="0.74803149606299213" bottom="0.74803149606299213" header="0.31496062992125984" footer="0.31496062992125984"/>
  <pageSetup scale="90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13</vt:i4>
      </vt:variant>
    </vt:vector>
  </HeadingPairs>
  <TitlesOfParts>
    <vt:vector size="23" baseType="lpstr">
      <vt:lpstr>Catálogo PEC</vt:lpstr>
      <vt:lpstr>Índice</vt:lpstr>
      <vt:lpstr>Indigenas</vt:lpstr>
      <vt:lpstr>Anexo 9 (SHCP)</vt:lpstr>
      <vt:lpstr>Anexo 10 (Validación)</vt:lpstr>
      <vt:lpstr>Anexo 16</vt:lpstr>
      <vt:lpstr>Anexo 16 (2)</vt:lpstr>
      <vt:lpstr>Anexo 25 (Eliminar)</vt:lpstr>
      <vt:lpstr>TD</vt:lpstr>
      <vt:lpstr>PEC-INDÍGENAS</vt:lpstr>
      <vt:lpstr>'Anexo 10 (Validación)'!Área_de_impresión</vt:lpstr>
      <vt:lpstr>'Anexo 16'!Área_de_impresión</vt:lpstr>
      <vt:lpstr>'Anexo 16 (2)'!Área_de_impresión</vt:lpstr>
      <vt:lpstr>'Anexo 25 (Eliminar)'!Área_de_impresión</vt:lpstr>
      <vt:lpstr>'Anexo 9 (SHCP)'!Área_de_impresión</vt:lpstr>
      <vt:lpstr>Indigenas!Área_de_impresión</vt:lpstr>
      <vt:lpstr>'PEC-INDÍGENAS'!Área_de_impresión</vt:lpstr>
      <vt:lpstr>TD!Área_de_impresión</vt:lpstr>
      <vt:lpstr>'Anexo 10 (Validación)'!Títulos_a_imprimir</vt:lpstr>
      <vt:lpstr>'Anexo 25 (Eliminar)'!Títulos_a_imprimir</vt:lpstr>
      <vt:lpstr>'Anexo 9 (SHCP)'!Títulos_a_imprimir</vt:lpstr>
      <vt:lpstr>Índice!Títulos_a_imprimir</vt:lpstr>
      <vt:lpstr>Indigenas!Títulos_a_imprimir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Isaac</dc:creator>
  <cp:lastModifiedBy>susana_pena</cp:lastModifiedBy>
  <cp:lastPrinted>2013-01-22T20:28:50Z</cp:lastPrinted>
  <dcterms:created xsi:type="dcterms:W3CDTF">2010-10-28T01:24:04Z</dcterms:created>
  <dcterms:modified xsi:type="dcterms:W3CDTF">2013-02-05T23:35:16Z</dcterms:modified>
</cp:coreProperties>
</file>